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urses\Financial modelling\"/>
    </mc:Choice>
  </mc:AlternateContent>
  <bookViews>
    <workbookView xWindow="0" yWindow="504" windowWidth="28800" windowHeight="17496" tabRatio="725" firstSheet="4" activeTab="8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  <sheet name="Cash flow data" sheetId="10" r:id="rId7"/>
    <sheet name="Data&gt;" sheetId="9" r:id="rId8"/>
    <sheet name="Historical FS" sheetId="8" r:id="rId9"/>
    <sheet name="Ratio Analysis" sheetId="11" r:id="rId10"/>
    <sheet name="Forcasting" sheetId="12" r:id="rId11"/>
    <sheet name="Common size Statement" sheetId="13" r:id="rId12"/>
    <sheet name="Financials&gt;" sheetId="7" r:id="rId13"/>
  </sheets>
  <definedNames>
    <definedName name="b">'Data Sheet'!$E$9</definedName>
    <definedName name="UPDATE">'Data Sheet'!$E$1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7" i="13" l="1"/>
  <c r="E37" i="13"/>
  <c r="F37" i="13"/>
  <c r="G37" i="13"/>
  <c r="H37" i="13"/>
  <c r="I37" i="13"/>
  <c r="J37" i="13"/>
  <c r="K37" i="13"/>
  <c r="L37" i="13"/>
  <c r="D38" i="13"/>
  <c r="E38" i="13"/>
  <c r="F38" i="13"/>
  <c r="G38" i="13"/>
  <c r="H38" i="13"/>
  <c r="I38" i="13"/>
  <c r="J38" i="13"/>
  <c r="K38" i="13"/>
  <c r="L38" i="13"/>
  <c r="D39" i="13"/>
  <c r="E39" i="13"/>
  <c r="F39" i="13"/>
  <c r="G39" i="13"/>
  <c r="H39" i="13"/>
  <c r="I39" i="13"/>
  <c r="J39" i="13"/>
  <c r="K39" i="13"/>
  <c r="L39" i="13"/>
  <c r="C38" i="13"/>
  <c r="C39" i="13"/>
  <c r="C37" i="13"/>
  <c r="D36" i="13"/>
  <c r="E36" i="13"/>
  <c r="F36" i="13"/>
  <c r="G36" i="13"/>
  <c r="H36" i="13"/>
  <c r="I36" i="13"/>
  <c r="J36" i="13"/>
  <c r="K36" i="13"/>
  <c r="L36" i="13"/>
  <c r="C36" i="13"/>
  <c r="C34" i="13"/>
  <c r="D34" i="13"/>
  <c r="E34" i="13"/>
  <c r="F34" i="13"/>
  <c r="G34" i="13"/>
  <c r="H34" i="13"/>
  <c r="I34" i="13"/>
  <c r="J34" i="13"/>
  <c r="K34" i="13"/>
  <c r="L34" i="13"/>
  <c r="C35" i="13"/>
  <c r="D35" i="13"/>
  <c r="E35" i="13"/>
  <c r="F35" i="13"/>
  <c r="G35" i="13"/>
  <c r="H35" i="13"/>
  <c r="I35" i="13"/>
  <c r="J35" i="13"/>
  <c r="K35" i="13"/>
  <c r="L35" i="13"/>
  <c r="D33" i="13"/>
  <c r="E33" i="13"/>
  <c r="F33" i="13"/>
  <c r="G33" i="13"/>
  <c r="H33" i="13"/>
  <c r="I33" i="13"/>
  <c r="J33" i="13"/>
  <c r="K33" i="13"/>
  <c r="L33" i="13"/>
  <c r="C33" i="13"/>
  <c r="D32" i="13"/>
  <c r="E32" i="13"/>
  <c r="F32" i="13"/>
  <c r="G32" i="13"/>
  <c r="H32" i="13"/>
  <c r="I32" i="13"/>
  <c r="J32" i="13"/>
  <c r="K32" i="13"/>
  <c r="L32" i="13"/>
  <c r="C32" i="13"/>
  <c r="C28" i="13"/>
  <c r="D28" i="13"/>
  <c r="E28" i="13"/>
  <c r="F28" i="13"/>
  <c r="G28" i="13"/>
  <c r="H28" i="13"/>
  <c r="I28" i="13"/>
  <c r="J28" i="13"/>
  <c r="K28" i="13"/>
  <c r="L28" i="13"/>
  <c r="C29" i="13"/>
  <c r="D29" i="13"/>
  <c r="E29" i="13"/>
  <c r="F29" i="13"/>
  <c r="G29" i="13"/>
  <c r="H29" i="13"/>
  <c r="I29" i="13"/>
  <c r="J29" i="13"/>
  <c r="K29" i="13"/>
  <c r="L29" i="13"/>
  <c r="C30" i="13"/>
  <c r="D30" i="13"/>
  <c r="E30" i="13"/>
  <c r="F30" i="13"/>
  <c r="G30" i="13"/>
  <c r="H30" i="13"/>
  <c r="I30" i="13"/>
  <c r="J30" i="13"/>
  <c r="K30" i="13"/>
  <c r="L30" i="13"/>
  <c r="D27" i="13"/>
  <c r="E27" i="13"/>
  <c r="F27" i="13"/>
  <c r="G27" i="13"/>
  <c r="H27" i="13"/>
  <c r="I27" i="13"/>
  <c r="J27" i="13"/>
  <c r="K27" i="13"/>
  <c r="L27" i="13"/>
  <c r="C27" i="13"/>
  <c r="D26" i="13"/>
  <c r="E26" i="13"/>
  <c r="F26" i="13"/>
  <c r="G26" i="13"/>
  <c r="H26" i="13"/>
  <c r="I26" i="13"/>
  <c r="J26" i="13"/>
  <c r="K26" i="13"/>
  <c r="L26" i="13"/>
  <c r="C26" i="13"/>
  <c r="D25" i="13"/>
  <c r="E25" i="13"/>
  <c r="F25" i="13"/>
  <c r="G25" i="13"/>
  <c r="H25" i="13"/>
  <c r="I25" i="13"/>
  <c r="J25" i="13"/>
  <c r="K25" i="13"/>
  <c r="L25" i="13"/>
  <c r="C25" i="13"/>
  <c r="B27" i="13"/>
  <c r="B28" i="13"/>
  <c r="B29" i="13"/>
  <c r="B30" i="13"/>
  <c r="B33" i="13"/>
  <c r="B34" i="13"/>
  <c r="B35" i="13"/>
  <c r="B36" i="13"/>
  <c r="B37" i="13"/>
  <c r="B38" i="13"/>
  <c r="B39" i="13"/>
  <c r="B23" i="13"/>
  <c r="D21" i="13"/>
  <c r="E21" i="13"/>
  <c r="F21" i="13"/>
  <c r="G21" i="13"/>
  <c r="H21" i="13"/>
  <c r="I21" i="13"/>
  <c r="J21" i="13"/>
  <c r="K21" i="13"/>
  <c r="L21" i="13"/>
  <c r="C21" i="13"/>
  <c r="C7" i="13"/>
  <c r="D7" i="13"/>
  <c r="E7" i="13"/>
  <c r="F7" i="13"/>
  <c r="G7" i="13"/>
  <c r="H7" i="13"/>
  <c r="I7" i="13"/>
  <c r="J7" i="13"/>
  <c r="K7" i="13"/>
  <c r="L7" i="13"/>
  <c r="C8" i="13"/>
  <c r="D8" i="13"/>
  <c r="E8" i="13"/>
  <c r="F8" i="13"/>
  <c r="G8" i="13"/>
  <c r="H8" i="13"/>
  <c r="I8" i="13"/>
  <c r="J8" i="13"/>
  <c r="K8" i="13"/>
  <c r="L8" i="13"/>
  <c r="C9" i="13"/>
  <c r="D9" i="13"/>
  <c r="E9" i="13"/>
  <c r="F9" i="13"/>
  <c r="G9" i="13"/>
  <c r="H9" i="13"/>
  <c r="I9" i="13"/>
  <c r="J9" i="13"/>
  <c r="K9" i="13"/>
  <c r="L9" i="13"/>
  <c r="C10" i="13"/>
  <c r="D10" i="13"/>
  <c r="E10" i="13"/>
  <c r="F10" i="13"/>
  <c r="G10" i="13"/>
  <c r="H10" i="13"/>
  <c r="I10" i="13"/>
  <c r="J10" i="13"/>
  <c r="K10" i="13"/>
  <c r="L10" i="13"/>
  <c r="C11" i="13"/>
  <c r="D11" i="13"/>
  <c r="E11" i="13"/>
  <c r="F11" i="13"/>
  <c r="G11" i="13"/>
  <c r="H11" i="13"/>
  <c r="I11" i="13"/>
  <c r="J11" i="13"/>
  <c r="K11" i="13"/>
  <c r="L11" i="13"/>
  <c r="C12" i="13"/>
  <c r="D12" i="13"/>
  <c r="E12" i="13"/>
  <c r="F12" i="13"/>
  <c r="G12" i="13"/>
  <c r="H12" i="13"/>
  <c r="I12" i="13"/>
  <c r="J12" i="13"/>
  <c r="K12" i="13"/>
  <c r="L12" i="13"/>
  <c r="C13" i="13"/>
  <c r="D13" i="13"/>
  <c r="E13" i="13"/>
  <c r="F13" i="13"/>
  <c r="G13" i="13"/>
  <c r="H13" i="13"/>
  <c r="I13" i="13"/>
  <c r="J13" i="13"/>
  <c r="K13" i="13"/>
  <c r="L13" i="13"/>
  <c r="C14" i="13"/>
  <c r="D14" i="13"/>
  <c r="E14" i="13"/>
  <c r="F14" i="13"/>
  <c r="G14" i="13"/>
  <c r="H14" i="13"/>
  <c r="I14" i="13"/>
  <c r="J14" i="13"/>
  <c r="K14" i="13"/>
  <c r="L14" i="13"/>
  <c r="C15" i="13"/>
  <c r="D15" i="13"/>
  <c r="E15" i="13"/>
  <c r="F15" i="13"/>
  <c r="G15" i="13"/>
  <c r="H15" i="13"/>
  <c r="I15" i="13"/>
  <c r="J15" i="13"/>
  <c r="K15" i="13"/>
  <c r="L15" i="13"/>
  <c r="C16" i="13"/>
  <c r="D16" i="13"/>
  <c r="E16" i="13"/>
  <c r="F16" i="13"/>
  <c r="G16" i="13"/>
  <c r="H16" i="13"/>
  <c r="I16" i="13"/>
  <c r="J16" i="13"/>
  <c r="K16" i="13"/>
  <c r="L16" i="13"/>
  <c r="C17" i="13"/>
  <c r="D17" i="13"/>
  <c r="E17" i="13"/>
  <c r="F17" i="13"/>
  <c r="G17" i="13"/>
  <c r="H17" i="13"/>
  <c r="I17" i="13"/>
  <c r="J17" i="13"/>
  <c r="K17" i="13"/>
  <c r="L17" i="13"/>
  <c r="C18" i="13"/>
  <c r="D18" i="13"/>
  <c r="E18" i="13"/>
  <c r="F18" i="13"/>
  <c r="G18" i="13"/>
  <c r="H18" i="13"/>
  <c r="I18" i="13"/>
  <c r="J18" i="13"/>
  <c r="K18" i="13"/>
  <c r="L18" i="13"/>
  <c r="C19" i="13"/>
  <c r="D19" i="13"/>
  <c r="E19" i="13"/>
  <c r="F19" i="13"/>
  <c r="G19" i="13"/>
  <c r="H19" i="13"/>
  <c r="I19" i="13"/>
  <c r="J19" i="13"/>
  <c r="K19" i="13"/>
  <c r="L19" i="13"/>
  <c r="C20" i="13"/>
  <c r="D20" i="13"/>
  <c r="E20" i="13"/>
  <c r="F20" i="13"/>
  <c r="G20" i="13"/>
  <c r="H20" i="13"/>
  <c r="I20" i="13"/>
  <c r="J20" i="13"/>
  <c r="K20" i="13"/>
  <c r="L20" i="13"/>
  <c r="D6" i="13"/>
  <c r="E6" i="13"/>
  <c r="F6" i="13"/>
  <c r="G6" i="13"/>
  <c r="H6" i="13"/>
  <c r="I6" i="13"/>
  <c r="J6" i="13"/>
  <c r="K6" i="13"/>
  <c r="L6" i="13"/>
  <c r="C6" i="13"/>
  <c r="B21" i="13"/>
  <c r="B19" i="13"/>
  <c r="B20" i="13"/>
  <c r="B17" i="13"/>
  <c r="B18" i="13"/>
  <c r="B7" i="13"/>
  <c r="B8" i="13"/>
  <c r="B9" i="13"/>
  <c r="B10" i="13"/>
  <c r="B11" i="13"/>
  <c r="B12" i="13"/>
  <c r="B13" i="13"/>
  <c r="B14" i="13"/>
  <c r="B15" i="13"/>
  <c r="B16" i="13"/>
  <c r="B6" i="13"/>
  <c r="J4" i="13"/>
  <c r="K4" i="13"/>
  <c r="L4" i="13"/>
  <c r="D4" i="13"/>
  <c r="E4" i="13"/>
  <c r="F4" i="13"/>
  <c r="G4" i="13"/>
  <c r="H4" i="13"/>
  <c r="I4" i="13"/>
  <c r="C4" i="13"/>
  <c r="B2" i="13"/>
  <c r="O14" i="12" l="1"/>
  <c r="O15" i="12"/>
  <c r="O16" i="12"/>
  <c r="O17" i="12"/>
  <c r="N15" i="12"/>
  <c r="N16" i="12"/>
  <c r="N17" i="12"/>
  <c r="N14" i="12"/>
  <c r="O6" i="12"/>
  <c r="O7" i="12"/>
  <c r="O8" i="12"/>
  <c r="O9" i="12"/>
  <c r="O10" i="12"/>
  <c r="O11" i="12"/>
  <c r="O12" i="12"/>
  <c r="O13" i="12"/>
  <c r="O5" i="12"/>
  <c r="N4" i="12" a="1"/>
  <c r="N4" i="12" s="1"/>
  <c r="M6" i="12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5" i="12"/>
  <c r="L6" i="12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5" i="12"/>
  <c r="L2" i="12"/>
  <c r="J14" i="12"/>
  <c r="J15" i="12"/>
  <c r="J16" i="12"/>
  <c r="J17" i="12"/>
  <c r="I15" i="12"/>
  <c r="I16" i="12"/>
  <c r="I17" i="12"/>
  <c r="I14" i="12"/>
  <c r="J6" i="12"/>
  <c r="J7" i="12"/>
  <c r="J8" i="12"/>
  <c r="J9" i="12"/>
  <c r="J10" i="12"/>
  <c r="J11" i="12"/>
  <c r="J12" i="12"/>
  <c r="J13" i="12"/>
  <c r="J5" i="12"/>
  <c r="I4" i="12" a="1"/>
  <c r="I5" i="12" s="1"/>
  <c r="H14" i="12"/>
  <c r="H15" i="12"/>
  <c r="H16" i="12" s="1"/>
  <c r="H17" i="12" s="1"/>
  <c r="H6" i="12"/>
  <c r="H7" i="12" s="1"/>
  <c r="H8" i="12" s="1"/>
  <c r="H9" i="12" s="1"/>
  <c r="H10" i="12" s="1"/>
  <c r="H11" i="12" s="1"/>
  <c r="H12" i="12" s="1"/>
  <c r="H13" i="12" s="1"/>
  <c r="H5" i="12"/>
  <c r="G5" i="12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2" i="12"/>
  <c r="B2" i="12"/>
  <c r="D17" i="12"/>
  <c r="E17" i="12" s="1"/>
  <c r="D18" i="12"/>
  <c r="E18" i="12" s="1"/>
  <c r="D19" i="12"/>
  <c r="E19" i="12" s="1"/>
  <c r="E16" i="12"/>
  <c r="D16" i="12"/>
  <c r="N12" i="12" l="1"/>
  <c r="N11" i="12"/>
  <c r="N10" i="12"/>
  <c r="N9" i="12"/>
  <c r="N8" i="12"/>
  <c r="N7" i="12"/>
  <c r="N6" i="12"/>
  <c r="N5" i="12"/>
  <c r="N13" i="12"/>
  <c r="I13" i="12"/>
  <c r="I4" i="12"/>
  <c r="I11" i="12"/>
  <c r="I9" i="12"/>
  <c r="I6" i="12"/>
  <c r="I12" i="12"/>
  <c r="I10" i="12"/>
  <c r="I8" i="12"/>
  <c r="I7" i="12"/>
  <c r="C16" i="12" l="1"/>
  <c r="C17" i="12"/>
  <c r="C18" i="12" s="1"/>
  <c r="C19" i="12" s="1"/>
  <c r="B16" i="12"/>
  <c r="B17" i="12"/>
  <c r="B18" i="12" s="1"/>
  <c r="B19" i="12" s="1"/>
  <c r="E6" i="12"/>
  <c r="E7" i="12"/>
  <c r="E8" i="12"/>
  <c r="E9" i="12"/>
  <c r="E10" i="12"/>
  <c r="E11" i="12"/>
  <c r="E12" i="12"/>
  <c r="E13" i="12"/>
  <c r="E14" i="12"/>
  <c r="E15" i="12"/>
  <c r="E5" i="12"/>
  <c r="C5" i="12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B5" i="12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2" i="11" l="1"/>
  <c r="O35" i="11"/>
  <c r="O36" i="11"/>
  <c r="O37" i="11"/>
  <c r="N35" i="11"/>
  <c r="N36" i="11"/>
  <c r="N37" i="11"/>
  <c r="O27" i="11"/>
  <c r="O28" i="11"/>
  <c r="O29" i="11"/>
  <c r="O31" i="11"/>
  <c r="N28" i="11"/>
  <c r="N29" i="11"/>
  <c r="N30" i="11"/>
  <c r="N31" i="11"/>
  <c r="O34" i="11"/>
  <c r="O12" i="11"/>
  <c r="O13" i="11"/>
  <c r="O14" i="11"/>
  <c r="O15" i="11"/>
  <c r="O17" i="11"/>
  <c r="O18" i="11"/>
  <c r="O19" i="11"/>
  <c r="O21" i="11"/>
  <c r="O22" i="11"/>
  <c r="O23" i="11"/>
  <c r="O24" i="11"/>
  <c r="O25" i="11"/>
  <c r="O30" i="11"/>
  <c r="O39" i="11"/>
  <c r="O40" i="11"/>
  <c r="O41" i="11"/>
  <c r="O11" i="11"/>
  <c r="O6" i="11"/>
  <c r="O7" i="11"/>
  <c r="O8" i="11"/>
  <c r="O9" i="11"/>
  <c r="O5" i="11"/>
  <c r="N12" i="11"/>
  <c r="N13" i="11"/>
  <c r="N14" i="11"/>
  <c r="N15" i="11"/>
  <c r="N17" i="11"/>
  <c r="N18" i="11"/>
  <c r="N19" i="11"/>
  <c r="N21" i="11"/>
  <c r="N22" i="11"/>
  <c r="N23" i="11"/>
  <c r="N24" i="11"/>
  <c r="N25" i="11"/>
  <c r="N27" i="11"/>
  <c r="N34" i="11"/>
  <c r="N39" i="11"/>
  <c r="N40" i="11"/>
  <c r="N41" i="11"/>
  <c r="N11" i="11"/>
  <c r="N6" i="11"/>
  <c r="N7" i="11"/>
  <c r="N8" i="11"/>
  <c r="N9" i="11"/>
  <c r="N5" i="11"/>
  <c r="D39" i="11"/>
  <c r="E39" i="11"/>
  <c r="F39" i="11"/>
  <c r="G39" i="11"/>
  <c r="H39" i="11"/>
  <c r="I39" i="11"/>
  <c r="J39" i="11"/>
  <c r="K39" i="11"/>
  <c r="L39" i="11"/>
  <c r="D40" i="11"/>
  <c r="E40" i="11"/>
  <c r="F40" i="11"/>
  <c r="G40" i="11"/>
  <c r="H40" i="11"/>
  <c r="I40" i="11"/>
  <c r="J40" i="11"/>
  <c r="K40" i="11"/>
  <c r="L40" i="11"/>
  <c r="D41" i="11"/>
  <c r="E41" i="11"/>
  <c r="F41" i="11"/>
  <c r="G41" i="11"/>
  <c r="H41" i="11"/>
  <c r="I41" i="11"/>
  <c r="J41" i="11"/>
  <c r="K41" i="11"/>
  <c r="L41" i="11"/>
  <c r="C41" i="11"/>
  <c r="C40" i="11"/>
  <c r="C39" i="11"/>
  <c r="D34" i="11"/>
  <c r="E34" i="11"/>
  <c r="F34" i="11"/>
  <c r="G34" i="11"/>
  <c r="H34" i="11"/>
  <c r="I34" i="11"/>
  <c r="J34" i="11"/>
  <c r="K34" i="11"/>
  <c r="L34" i="11"/>
  <c r="D35" i="11"/>
  <c r="D37" i="11" s="1"/>
  <c r="E35" i="11"/>
  <c r="E37" i="11" s="1"/>
  <c r="F35" i="11"/>
  <c r="F37" i="11" s="1"/>
  <c r="G35" i="11"/>
  <c r="H35" i="11"/>
  <c r="I35" i="11"/>
  <c r="J35" i="11"/>
  <c r="K35" i="11"/>
  <c r="L35" i="11"/>
  <c r="D36" i="11"/>
  <c r="E36" i="11"/>
  <c r="F36" i="11"/>
  <c r="G36" i="11"/>
  <c r="H36" i="11"/>
  <c r="H37" i="11" s="1"/>
  <c r="I36" i="11"/>
  <c r="I37" i="11" s="1"/>
  <c r="J36" i="11"/>
  <c r="K36" i="11"/>
  <c r="L36" i="11"/>
  <c r="G37" i="11"/>
  <c r="J37" i="11"/>
  <c r="K37" i="11"/>
  <c r="L37" i="11"/>
  <c r="C37" i="11"/>
  <c r="C36" i="11"/>
  <c r="C35" i="11"/>
  <c r="C34" i="11"/>
  <c r="D28" i="11"/>
  <c r="E28" i="11"/>
  <c r="F28" i="11"/>
  <c r="G28" i="11"/>
  <c r="H28" i="11"/>
  <c r="I28" i="11"/>
  <c r="J28" i="11"/>
  <c r="K28" i="11"/>
  <c r="L28" i="11"/>
  <c r="D29" i="11"/>
  <c r="E29" i="11"/>
  <c r="F29" i="11"/>
  <c r="G29" i="11"/>
  <c r="H29" i="11"/>
  <c r="I29" i="11"/>
  <c r="J29" i="11"/>
  <c r="K29" i="11"/>
  <c r="L29" i="11"/>
  <c r="D30" i="11"/>
  <c r="E30" i="11"/>
  <c r="F30" i="11"/>
  <c r="G30" i="11"/>
  <c r="H30" i="11"/>
  <c r="I30" i="11"/>
  <c r="J30" i="11"/>
  <c r="K30" i="11"/>
  <c r="L30" i="11"/>
  <c r="D31" i="11"/>
  <c r="E31" i="11"/>
  <c r="F31" i="11"/>
  <c r="G31" i="11"/>
  <c r="H31" i="11"/>
  <c r="I31" i="11"/>
  <c r="J31" i="11"/>
  <c r="K31" i="11"/>
  <c r="L31" i="11"/>
  <c r="C31" i="11"/>
  <c r="C30" i="11"/>
  <c r="C29" i="11"/>
  <c r="C28" i="11"/>
  <c r="D27" i="11"/>
  <c r="E27" i="11"/>
  <c r="F27" i="11"/>
  <c r="G27" i="11"/>
  <c r="H27" i="11"/>
  <c r="I27" i="11"/>
  <c r="J27" i="11"/>
  <c r="K27" i="11"/>
  <c r="L27" i="11"/>
  <c r="C27" i="11"/>
  <c r="D25" i="11"/>
  <c r="E25" i="11"/>
  <c r="F25" i="11"/>
  <c r="G25" i="11"/>
  <c r="H25" i="11"/>
  <c r="I25" i="11"/>
  <c r="J25" i="11"/>
  <c r="K25" i="11"/>
  <c r="L25" i="11"/>
  <c r="C25" i="11"/>
  <c r="D7" i="11"/>
  <c r="D24" i="11"/>
  <c r="E24" i="11"/>
  <c r="F24" i="11"/>
  <c r="G24" i="11"/>
  <c r="H24" i="11"/>
  <c r="I24" i="11"/>
  <c r="J24" i="11"/>
  <c r="K24" i="11"/>
  <c r="L24" i="11"/>
  <c r="C24" i="11"/>
  <c r="D23" i="11"/>
  <c r="E23" i="11"/>
  <c r="F23" i="11"/>
  <c r="G23" i="11"/>
  <c r="H23" i="11"/>
  <c r="I23" i="11"/>
  <c r="J23" i="11"/>
  <c r="K23" i="11"/>
  <c r="L23" i="11"/>
  <c r="D21" i="11"/>
  <c r="E21" i="11"/>
  <c r="F21" i="11"/>
  <c r="G21" i="11"/>
  <c r="H21" i="11"/>
  <c r="I21" i="11"/>
  <c r="J21" i="11"/>
  <c r="K21" i="11"/>
  <c r="L21" i="11"/>
  <c r="D22" i="11"/>
  <c r="E22" i="11"/>
  <c r="F22" i="11"/>
  <c r="G22" i="11"/>
  <c r="H22" i="11"/>
  <c r="I22" i="11"/>
  <c r="J22" i="11"/>
  <c r="K22" i="11"/>
  <c r="L22" i="11"/>
  <c r="C23" i="11"/>
  <c r="C22" i="11"/>
  <c r="C21" i="11"/>
  <c r="D47" i="8"/>
  <c r="E47" i="8"/>
  <c r="F47" i="8"/>
  <c r="G47" i="8"/>
  <c r="H47" i="8"/>
  <c r="I47" i="8"/>
  <c r="J47" i="8"/>
  <c r="K47" i="8"/>
  <c r="L47" i="8"/>
  <c r="C47" i="8"/>
  <c r="L3" i="11" l="1"/>
  <c r="K3" i="11"/>
  <c r="J3" i="11"/>
  <c r="I3" i="11"/>
  <c r="H3" i="11"/>
  <c r="G3" i="11"/>
  <c r="F3" i="11"/>
  <c r="E3" i="11"/>
  <c r="D3" i="11"/>
  <c r="C3" i="11"/>
  <c r="J97" i="8" l="1"/>
  <c r="D93" i="8"/>
  <c r="E93" i="8"/>
  <c r="F93" i="8"/>
  <c r="G93" i="8"/>
  <c r="H93" i="8"/>
  <c r="I93" i="8"/>
  <c r="J93" i="8"/>
  <c r="K93" i="8"/>
  <c r="L93" i="8"/>
  <c r="M93" i="8"/>
  <c r="D94" i="8"/>
  <c r="E94" i="8"/>
  <c r="F94" i="8"/>
  <c r="G94" i="8"/>
  <c r="H94" i="8"/>
  <c r="I94" i="8"/>
  <c r="J94" i="8"/>
  <c r="K94" i="8"/>
  <c r="L94" i="8"/>
  <c r="M94" i="8"/>
  <c r="D95" i="8"/>
  <c r="E95" i="8"/>
  <c r="F95" i="8"/>
  <c r="G95" i="8"/>
  <c r="H95" i="8"/>
  <c r="I95" i="8"/>
  <c r="J95" i="8"/>
  <c r="K95" i="8"/>
  <c r="L95" i="8"/>
  <c r="M95" i="8"/>
  <c r="D96" i="8"/>
  <c r="E96" i="8"/>
  <c r="F96" i="8"/>
  <c r="G96" i="8"/>
  <c r="H96" i="8"/>
  <c r="I96" i="8"/>
  <c r="J96" i="8"/>
  <c r="K96" i="8"/>
  <c r="L96" i="8"/>
  <c r="M96" i="8"/>
  <c r="D97" i="8"/>
  <c r="E97" i="8"/>
  <c r="F97" i="8"/>
  <c r="G97" i="8"/>
  <c r="H97" i="8"/>
  <c r="I97" i="8"/>
  <c r="K97" i="8"/>
  <c r="L97" i="8"/>
  <c r="M97" i="8"/>
  <c r="D98" i="8"/>
  <c r="E98" i="8"/>
  <c r="F98" i="8"/>
  <c r="G98" i="8"/>
  <c r="H98" i="8"/>
  <c r="I98" i="8"/>
  <c r="J98" i="8"/>
  <c r="K98" i="8"/>
  <c r="L98" i="8"/>
  <c r="M98" i="8"/>
  <c r="D99" i="8"/>
  <c r="E99" i="8"/>
  <c r="F99" i="8"/>
  <c r="G99" i="8"/>
  <c r="H99" i="8"/>
  <c r="I99" i="8"/>
  <c r="J99" i="8"/>
  <c r="K99" i="8"/>
  <c r="L99" i="8"/>
  <c r="M99" i="8"/>
  <c r="D100" i="8"/>
  <c r="E100" i="8"/>
  <c r="F100" i="8"/>
  <c r="G100" i="8"/>
  <c r="H100" i="8"/>
  <c r="I100" i="8"/>
  <c r="J100" i="8"/>
  <c r="K100" i="8"/>
  <c r="L100" i="8"/>
  <c r="M100" i="8"/>
  <c r="D101" i="8"/>
  <c r="E101" i="8"/>
  <c r="F101" i="8"/>
  <c r="G101" i="8"/>
  <c r="H101" i="8"/>
  <c r="I101" i="8"/>
  <c r="J101" i="8"/>
  <c r="K101" i="8"/>
  <c r="L101" i="8"/>
  <c r="M101" i="8"/>
  <c r="D102" i="8"/>
  <c r="E102" i="8"/>
  <c r="F102" i="8"/>
  <c r="G102" i="8"/>
  <c r="H102" i="8"/>
  <c r="I102" i="8"/>
  <c r="J102" i="8"/>
  <c r="K102" i="8"/>
  <c r="L102" i="8"/>
  <c r="M102" i="8"/>
  <c r="D103" i="8"/>
  <c r="E103" i="8"/>
  <c r="F103" i="8"/>
  <c r="G103" i="8"/>
  <c r="H103" i="8"/>
  <c r="I103" i="8"/>
  <c r="J103" i="8"/>
  <c r="K103" i="8"/>
  <c r="L103" i="8"/>
  <c r="M103" i="8"/>
  <c r="C94" i="8"/>
  <c r="C95" i="8"/>
  <c r="C96" i="8"/>
  <c r="C97" i="8"/>
  <c r="C98" i="8"/>
  <c r="C99" i="8"/>
  <c r="C100" i="8"/>
  <c r="C101" i="8"/>
  <c r="C102" i="8"/>
  <c r="C103" i="8"/>
  <c r="C93" i="8"/>
  <c r="I89" i="8"/>
  <c r="D81" i="8"/>
  <c r="E81" i="8"/>
  <c r="F81" i="8"/>
  <c r="F90" i="8" s="1"/>
  <c r="G81" i="8"/>
  <c r="H81" i="8"/>
  <c r="I81" i="8"/>
  <c r="J81" i="8"/>
  <c r="K81" i="8"/>
  <c r="L81" i="8"/>
  <c r="M81" i="8"/>
  <c r="D82" i="8"/>
  <c r="E82" i="8"/>
  <c r="F82" i="8"/>
  <c r="G82" i="8"/>
  <c r="H82" i="8"/>
  <c r="I82" i="8"/>
  <c r="J82" i="8"/>
  <c r="K82" i="8"/>
  <c r="L82" i="8"/>
  <c r="M82" i="8"/>
  <c r="D83" i="8"/>
  <c r="E83" i="8"/>
  <c r="F83" i="8"/>
  <c r="G83" i="8"/>
  <c r="H83" i="8"/>
  <c r="I83" i="8"/>
  <c r="J83" i="8"/>
  <c r="K83" i="8"/>
  <c r="L83" i="8"/>
  <c r="M83" i="8"/>
  <c r="D84" i="8"/>
  <c r="E84" i="8"/>
  <c r="F84" i="8"/>
  <c r="G84" i="8"/>
  <c r="H84" i="8"/>
  <c r="I84" i="8"/>
  <c r="J84" i="8"/>
  <c r="K84" i="8"/>
  <c r="L84" i="8"/>
  <c r="M84" i="8"/>
  <c r="D85" i="8"/>
  <c r="E85" i="8"/>
  <c r="F85" i="8"/>
  <c r="G85" i="8"/>
  <c r="H85" i="8"/>
  <c r="I85" i="8"/>
  <c r="J85" i="8"/>
  <c r="K85" i="8"/>
  <c r="L85" i="8"/>
  <c r="M85" i="8"/>
  <c r="D86" i="8"/>
  <c r="E86" i="8"/>
  <c r="F86" i="8"/>
  <c r="G86" i="8"/>
  <c r="H86" i="8"/>
  <c r="I86" i="8"/>
  <c r="J86" i="8"/>
  <c r="K86" i="8"/>
  <c r="L86" i="8"/>
  <c r="M86" i="8"/>
  <c r="D87" i="8"/>
  <c r="E87" i="8"/>
  <c r="F87" i="8"/>
  <c r="G87" i="8"/>
  <c r="H87" i="8"/>
  <c r="I87" i="8"/>
  <c r="J87" i="8"/>
  <c r="K87" i="8"/>
  <c r="L87" i="8"/>
  <c r="M87" i="8"/>
  <c r="D88" i="8"/>
  <c r="E88" i="8"/>
  <c r="F88" i="8"/>
  <c r="G88" i="8"/>
  <c r="H88" i="8"/>
  <c r="I88" i="8"/>
  <c r="J88" i="8"/>
  <c r="K88" i="8"/>
  <c r="L88" i="8"/>
  <c r="M88" i="8"/>
  <c r="D89" i="8"/>
  <c r="E89" i="8"/>
  <c r="F89" i="8"/>
  <c r="G89" i="8"/>
  <c r="H89" i="8"/>
  <c r="J89" i="8"/>
  <c r="K89" i="8"/>
  <c r="L89" i="8"/>
  <c r="M89" i="8"/>
  <c r="C82" i="8"/>
  <c r="C83" i="8"/>
  <c r="C84" i="8"/>
  <c r="C85" i="8"/>
  <c r="C86" i="8"/>
  <c r="C87" i="8"/>
  <c r="C88" i="8"/>
  <c r="C89" i="8"/>
  <c r="C81" i="8"/>
  <c r="M70" i="8"/>
  <c r="M71" i="8"/>
  <c r="M72" i="8"/>
  <c r="M73" i="8"/>
  <c r="M74" i="8"/>
  <c r="M75" i="8"/>
  <c r="M76" i="8"/>
  <c r="M77" i="8"/>
  <c r="D70" i="8"/>
  <c r="E70" i="8"/>
  <c r="F70" i="8"/>
  <c r="G70" i="8"/>
  <c r="H70" i="8"/>
  <c r="I70" i="8"/>
  <c r="J70" i="8"/>
  <c r="K70" i="8"/>
  <c r="L70" i="8"/>
  <c r="D71" i="8"/>
  <c r="E71" i="8"/>
  <c r="F71" i="8"/>
  <c r="G71" i="8"/>
  <c r="H71" i="8"/>
  <c r="I71" i="8"/>
  <c r="J71" i="8"/>
  <c r="K71" i="8"/>
  <c r="L71" i="8"/>
  <c r="D72" i="8"/>
  <c r="E72" i="8"/>
  <c r="F72" i="8"/>
  <c r="G72" i="8"/>
  <c r="H72" i="8"/>
  <c r="I72" i="8"/>
  <c r="J72" i="8"/>
  <c r="K72" i="8"/>
  <c r="L72" i="8"/>
  <c r="D73" i="8"/>
  <c r="E73" i="8"/>
  <c r="F73" i="8"/>
  <c r="G73" i="8"/>
  <c r="H73" i="8"/>
  <c r="I73" i="8"/>
  <c r="J73" i="8"/>
  <c r="K73" i="8"/>
  <c r="L73" i="8"/>
  <c r="D74" i="8"/>
  <c r="E74" i="8"/>
  <c r="F74" i="8"/>
  <c r="G74" i="8"/>
  <c r="H74" i="8"/>
  <c r="I74" i="8"/>
  <c r="J74" i="8"/>
  <c r="K74" i="8"/>
  <c r="L74" i="8"/>
  <c r="D75" i="8"/>
  <c r="E75" i="8"/>
  <c r="F75" i="8"/>
  <c r="G75" i="8"/>
  <c r="H75" i="8"/>
  <c r="I75" i="8"/>
  <c r="J75" i="8"/>
  <c r="K75" i="8"/>
  <c r="L75" i="8"/>
  <c r="D76" i="8"/>
  <c r="E76" i="8"/>
  <c r="F76" i="8"/>
  <c r="G76" i="8"/>
  <c r="H76" i="8"/>
  <c r="I76" i="8"/>
  <c r="J76" i="8"/>
  <c r="K76" i="8"/>
  <c r="L76" i="8"/>
  <c r="D77" i="8"/>
  <c r="E77" i="8"/>
  <c r="F77" i="8"/>
  <c r="G77" i="8"/>
  <c r="H77" i="8"/>
  <c r="I77" i="8"/>
  <c r="J77" i="8"/>
  <c r="K77" i="8"/>
  <c r="L77" i="8"/>
  <c r="C71" i="8"/>
  <c r="C72" i="8"/>
  <c r="C73" i="8"/>
  <c r="C74" i="8"/>
  <c r="C75" i="8"/>
  <c r="C76" i="8"/>
  <c r="C77" i="8"/>
  <c r="C70" i="8"/>
  <c r="D48" i="8"/>
  <c r="E48" i="8"/>
  <c r="F48" i="8"/>
  <c r="G48" i="8"/>
  <c r="H48" i="8"/>
  <c r="I48" i="8"/>
  <c r="J48" i="8"/>
  <c r="K48" i="8"/>
  <c r="L48" i="8"/>
  <c r="D49" i="8"/>
  <c r="E49" i="8"/>
  <c r="F49" i="8"/>
  <c r="G49" i="8"/>
  <c r="H49" i="8"/>
  <c r="I49" i="8"/>
  <c r="J49" i="8"/>
  <c r="K49" i="8"/>
  <c r="L49" i="8"/>
  <c r="D50" i="8"/>
  <c r="E50" i="8"/>
  <c r="F50" i="8"/>
  <c r="G50" i="8"/>
  <c r="H50" i="8"/>
  <c r="I50" i="8"/>
  <c r="J50" i="8"/>
  <c r="K50" i="8"/>
  <c r="L50" i="8"/>
  <c r="D51" i="8"/>
  <c r="E51" i="8"/>
  <c r="F51" i="8"/>
  <c r="G51" i="8"/>
  <c r="H51" i="8"/>
  <c r="I51" i="8"/>
  <c r="J51" i="8"/>
  <c r="K51" i="8"/>
  <c r="L51" i="8"/>
  <c r="C49" i="8"/>
  <c r="C50" i="8"/>
  <c r="C51" i="8"/>
  <c r="C48" i="8"/>
  <c r="D56" i="8"/>
  <c r="E56" i="8"/>
  <c r="F56" i="8"/>
  <c r="G56" i="8"/>
  <c r="H56" i="8"/>
  <c r="I56" i="8"/>
  <c r="J56" i="8"/>
  <c r="K56" i="8"/>
  <c r="L56" i="8"/>
  <c r="C56" i="8"/>
  <c r="D59" i="8"/>
  <c r="E59" i="8"/>
  <c r="F59" i="8"/>
  <c r="G59" i="8"/>
  <c r="H59" i="8"/>
  <c r="I59" i="8"/>
  <c r="J59" i="8"/>
  <c r="J62" i="8" s="1"/>
  <c r="K59" i="8"/>
  <c r="K62" i="8" s="1"/>
  <c r="L59" i="8"/>
  <c r="L62" i="8" s="1"/>
  <c r="D60" i="8"/>
  <c r="E60" i="8"/>
  <c r="F60" i="8"/>
  <c r="G60" i="8"/>
  <c r="H60" i="8"/>
  <c r="I60" i="8"/>
  <c r="J60" i="8"/>
  <c r="K60" i="8"/>
  <c r="L60" i="8"/>
  <c r="D61" i="8"/>
  <c r="E61" i="8"/>
  <c r="F61" i="8"/>
  <c r="G61" i="8"/>
  <c r="G62" i="8" s="1"/>
  <c r="H61" i="8"/>
  <c r="I61" i="8"/>
  <c r="J61" i="8"/>
  <c r="K61" i="8"/>
  <c r="L61" i="8"/>
  <c r="C60" i="8"/>
  <c r="C61" i="8"/>
  <c r="C59" i="8"/>
  <c r="C62" i="8" s="1"/>
  <c r="D53" i="8"/>
  <c r="E53" i="8"/>
  <c r="E57" i="8" s="1"/>
  <c r="F53" i="8"/>
  <c r="F57" i="8" s="1"/>
  <c r="G53" i="8"/>
  <c r="G57" i="8" s="1"/>
  <c r="H53" i="8"/>
  <c r="I53" i="8"/>
  <c r="J53" i="8"/>
  <c r="K53" i="8"/>
  <c r="L53" i="8"/>
  <c r="D54" i="8"/>
  <c r="E54" i="8"/>
  <c r="F54" i="8"/>
  <c r="G54" i="8"/>
  <c r="H54" i="8"/>
  <c r="I54" i="8"/>
  <c r="J54" i="8"/>
  <c r="K54" i="8"/>
  <c r="L54" i="8"/>
  <c r="D55" i="8"/>
  <c r="E55" i="8"/>
  <c r="F55" i="8"/>
  <c r="G55" i="8"/>
  <c r="H55" i="8"/>
  <c r="I55" i="8"/>
  <c r="J55" i="8"/>
  <c r="K55" i="8"/>
  <c r="L55" i="8"/>
  <c r="C54" i="8"/>
  <c r="C55" i="8"/>
  <c r="C53" i="8"/>
  <c r="K104" i="8" l="1"/>
  <c r="K78" i="8"/>
  <c r="I90" i="8"/>
  <c r="H90" i="8"/>
  <c r="I104" i="8"/>
  <c r="G104" i="8"/>
  <c r="G90" i="8"/>
  <c r="E90" i="8"/>
  <c r="F104" i="8"/>
  <c r="D90" i="8"/>
  <c r="D106" i="8" s="1"/>
  <c r="E104" i="8"/>
  <c r="J90" i="8"/>
  <c r="D104" i="8"/>
  <c r="M104" i="8"/>
  <c r="J78" i="8"/>
  <c r="G78" i="8"/>
  <c r="D78" i="8"/>
  <c r="C104" i="8"/>
  <c r="L104" i="8"/>
  <c r="L90" i="8"/>
  <c r="K90" i="8"/>
  <c r="K106" i="8" s="1"/>
  <c r="J104" i="8"/>
  <c r="J106" i="8" s="1"/>
  <c r="H104" i="8"/>
  <c r="H106" i="8" s="1"/>
  <c r="H57" i="8"/>
  <c r="H64" i="8" s="1"/>
  <c r="H66" i="8" s="1"/>
  <c r="H62" i="8"/>
  <c r="E62" i="8"/>
  <c r="C90" i="8"/>
  <c r="M90" i="8"/>
  <c r="F106" i="8"/>
  <c r="L106" i="8"/>
  <c r="C57" i="8"/>
  <c r="C64" i="8" s="1"/>
  <c r="C66" i="8" s="1"/>
  <c r="I57" i="8"/>
  <c r="F62" i="8"/>
  <c r="F64" i="8" s="1"/>
  <c r="F66" i="8" s="1"/>
  <c r="I78" i="8"/>
  <c r="I106" i="8" s="1"/>
  <c r="F78" i="8"/>
  <c r="D57" i="8"/>
  <c r="L78" i="8"/>
  <c r="H78" i="8"/>
  <c r="I62" i="8"/>
  <c r="C78" i="8"/>
  <c r="C106" i="8" s="1"/>
  <c r="L57" i="8"/>
  <c r="L64" i="8" s="1"/>
  <c r="L66" i="8" s="1"/>
  <c r="M78" i="8"/>
  <c r="M106" i="8" s="1"/>
  <c r="E78" i="8"/>
  <c r="E106" i="8" s="1"/>
  <c r="K57" i="8"/>
  <c r="K64" i="8" s="1"/>
  <c r="K66" i="8" s="1"/>
  <c r="J57" i="8"/>
  <c r="J64" i="8" s="1"/>
  <c r="J66" i="8" s="1"/>
  <c r="D62" i="8"/>
  <c r="D64" i="8" s="1"/>
  <c r="D66" i="8" s="1"/>
  <c r="E64" i="8"/>
  <c r="E66" i="8" s="1"/>
  <c r="G64" i="8"/>
  <c r="G66" i="8" s="1"/>
  <c r="M41" i="8"/>
  <c r="D36" i="8"/>
  <c r="D41" i="8" s="1"/>
  <c r="E36" i="8"/>
  <c r="E41" i="8" s="1"/>
  <c r="F36" i="8"/>
  <c r="F41" i="8" s="1"/>
  <c r="G36" i="8"/>
  <c r="G41" i="8" s="1"/>
  <c r="G9" i="11" s="1"/>
  <c r="H36" i="8"/>
  <c r="H41" i="8" s="1"/>
  <c r="I36" i="8"/>
  <c r="I41" i="8" s="1"/>
  <c r="J36" i="8"/>
  <c r="J41" i="8" s="1"/>
  <c r="J9" i="11" s="1"/>
  <c r="K36" i="8"/>
  <c r="K41" i="8" s="1"/>
  <c r="K9" i="11" s="1"/>
  <c r="L36" i="8"/>
  <c r="L41" i="8" s="1"/>
  <c r="C36" i="8"/>
  <c r="C41" i="8" s="1"/>
  <c r="M30" i="8"/>
  <c r="D30" i="8"/>
  <c r="E30" i="8"/>
  <c r="F30" i="8"/>
  <c r="G30" i="8"/>
  <c r="H30" i="8"/>
  <c r="I30" i="8"/>
  <c r="J30" i="8"/>
  <c r="K30" i="8"/>
  <c r="L30" i="8"/>
  <c r="C30" i="8"/>
  <c r="D24" i="8"/>
  <c r="E24" i="8"/>
  <c r="F24" i="8"/>
  <c r="G24" i="8"/>
  <c r="H24" i="8"/>
  <c r="I24" i="8"/>
  <c r="J24" i="8"/>
  <c r="K24" i="8"/>
  <c r="L24" i="8"/>
  <c r="M24" i="8"/>
  <c r="C24" i="8"/>
  <c r="M21" i="8"/>
  <c r="D21" i="8"/>
  <c r="E21" i="8"/>
  <c r="F21" i="8"/>
  <c r="G21" i="8"/>
  <c r="H21" i="8"/>
  <c r="I21" i="8"/>
  <c r="J21" i="8"/>
  <c r="K21" i="8"/>
  <c r="L21" i="8"/>
  <c r="C21" i="8"/>
  <c r="D15" i="8"/>
  <c r="E15" i="8"/>
  <c r="F15" i="8"/>
  <c r="G15" i="8"/>
  <c r="H15" i="8"/>
  <c r="I15" i="8"/>
  <c r="J15" i="8"/>
  <c r="K15" i="8"/>
  <c r="L15" i="8"/>
  <c r="C15" i="8"/>
  <c r="M9" i="8"/>
  <c r="D9" i="8"/>
  <c r="E9" i="8"/>
  <c r="F9" i="8"/>
  <c r="G9" i="8"/>
  <c r="H9" i="8"/>
  <c r="I9" i="8"/>
  <c r="J9" i="8"/>
  <c r="K9" i="8"/>
  <c r="L9" i="8"/>
  <c r="C9" i="8"/>
  <c r="M6" i="8"/>
  <c r="J6" i="8"/>
  <c r="L6" i="8"/>
  <c r="L25" i="8" s="1"/>
  <c r="L18" i="11" s="1"/>
  <c r="D6" i="8"/>
  <c r="E6" i="8"/>
  <c r="F6" i="8"/>
  <c r="G6" i="8"/>
  <c r="G12" i="8" s="1"/>
  <c r="G13" i="8" s="1"/>
  <c r="G11" i="11" s="1"/>
  <c r="H6" i="8"/>
  <c r="I6" i="8"/>
  <c r="K6" i="8"/>
  <c r="C6" i="8"/>
  <c r="K3" i="8"/>
  <c r="L3" i="8"/>
  <c r="D3" i="8"/>
  <c r="E3" i="8"/>
  <c r="F3" i="8"/>
  <c r="G3" i="8"/>
  <c r="H3" i="8"/>
  <c r="I3" i="8"/>
  <c r="J3" i="8"/>
  <c r="C3" i="8"/>
  <c r="B2" i="8"/>
  <c r="L9" i="11" l="1"/>
  <c r="G106" i="8"/>
  <c r="I9" i="11"/>
  <c r="H9" i="11"/>
  <c r="D9" i="11"/>
  <c r="I64" i="8"/>
  <c r="I66" i="8" s="1"/>
  <c r="F9" i="11"/>
  <c r="E9" i="11"/>
  <c r="I10" i="8"/>
  <c r="G18" i="8"/>
  <c r="G13" i="11" s="1"/>
  <c r="G19" i="11" s="1"/>
  <c r="F10" i="8"/>
  <c r="H7" i="8"/>
  <c r="H5" i="11" s="1"/>
  <c r="K10" i="8"/>
  <c r="I7" i="8"/>
  <c r="I5" i="11" s="1"/>
  <c r="G16" i="8"/>
  <c r="G17" i="11" s="1"/>
  <c r="C10" i="8"/>
  <c r="G10" i="8"/>
  <c r="H16" i="8"/>
  <c r="H17" i="11" s="1"/>
  <c r="J7" i="8"/>
  <c r="J5" i="11" s="1"/>
  <c r="F12" i="8"/>
  <c r="C22" i="8"/>
  <c r="M25" i="8"/>
  <c r="K16" i="8"/>
  <c r="K17" i="11" s="1"/>
  <c r="H10" i="8"/>
  <c r="F16" i="8"/>
  <c r="F17" i="11" s="1"/>
  <c r="E10" i="8"/>
  <c r="G7" i="8"/>
  <c r="G5" i="11" s="1"/>
  <c r="I22" i="8"/>
  <c r="I25" i="8"/>
  <c r="I18" i="11" s="1"/>
  <c r="H22" i="8"/>
  <c r="H25" i="8"/>
  <c r="H18" i="11" s="1"/>
  <c r="K25" i="8"/>
  <c r="K18" i="11" s="1"/>
  <c r="G22" i="8"/>
  <c r="G25" i="8"/>
  <c r="G18" i="11" s="1"/>
  <c r="F22" i="8"/>
  <c r="F25" i="8"/>
  <c r="F18" i="11" s="1"/>
  <c r="C12" i="8"/>
  <c r="E22" i="8"/>
  <c r="E25" i="8"/>
  <c r="E18" i="11" s="1"/>
  <c r="D10" i="8"/>
  <c r="D22" i="8"/>
  <c r="D25" i="8"/>
  <c r="D18" i="11" s="1"/>
  <c r="J16" i="8"/>
  <c r="J17" i="11" s="1"/>
  <c r="M7" i="8"/>
  <c r="L16" i="8"/>
  <c r="L17" i="11" s="1"/>
  <c r="M22" i="8"/>
  <c r="L12" i="8"/>
  <c r="I16" i="8"/>
  <c r="I17" i="11" s="1"/>
  <c r="K12" i="8"/>
  <c r="C25" i="8"/>
  <c r="C18" i="11" s="1"/>
  <c r="J12" i="8"/>
  <c r="L22" i="8"/>
  <c r="E12" i="8"/>
  <c r="I12" i="8"/>
  <c r="K7" i="8"/>
  <c r="K5" i="11" s="1"/>
  <c r="D12" i="8"/>
  <c r="H12" i="8"/>
  <c r="J22" i="8"/>
  <c r="F7" i="8"/>
  <c r="F5" i="11" s="1"/>
  <c r="G19" i="8"/>
  <c r="G12" i="11" s="1"/>
  <c r="L10" i="8"/>
  <c r="J10" i="8"/>
  <c r="J25" i="8"/>
  <c r="J18" i="11" s="1"/>
  <c r="L7" i="8"/>
  <c r="L5" i="11" s="1"/>
  <c r="E7" i="8"/>
  <c r="E5" i="11" s="1"/>
  <c r="E16" i="8"/>
  <c r="E17" i="11" s="1"/>
  <c r="M12" i="8"/>
  <c r="M16" i="8"/>
  <c r="D7" i="8"/>
  <c r="D5" i="11" s="1"/>
  <c r="D16" i="8"/>
  <c r="D17" i="11" s="1"/>
  <c r="K22" i="8"/>
  <c r="C16" i="8"/>
  <c r="C17" i="11" s="1"/>
  <c r="M10" i="8"/>
  <c r="C6" i="3"/>
  <c r="D6" i="3"/>
  <c r="E6" i="3"/>
  <c r="F6" i="3"/>
  <c r="G6" i="3"/>
  <c r="G14" i="3" s="1"/>
  <c r="H6" i="3"/>
  <c r="I6" i="3"/>
  <c r="I14" i="3" s="1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J13" i="1"/>
  <c r="J14" i="1" s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F24" i="2" s="1"/>
  <c r="E5" i="2"/>
  <c r="F4" i="2"/>
  <c r="G4" i="2"/>
  <c r="G23" i="2" s="1"/>
  <c r="H4" i="2"/>
  <c r="I4" i="2"/>
  <c r="I23" i="2" s="1"/>
  <c r="I5" i="2"/>
  <c r="J4" i="2"/>
  <c r="J5" i="2"/>
  <c r="K4" i="2"/>
  <c r="C5" i="2"/>
  <c r="C23" i="2" s="1"/>
  <c r="D5" i="2"/>
  <c r="F5" i="2"/>
  <c r="G5" i="2"/>
  <c r="H5" i="2"/>
  <c r="H23" i="2" s="1"/>
  <c r="K5" i="2"/>
  <c r="C6" i="2"/>
  <c r="D6" i="2"/>
  <c r="E6" i="2"/>
  <c r="F6" i="2"/>
  <c r="G6" i="2"/>
  <c r="H6" i="2"/>
  <c r="I6" i="2"/>
  <c r="J6" i="2"/>
  <c r="K6" i="2"/>
  <c r="C7" i="2"/>
  <c r="D7" i="2"/>
  <c r="D16" i="2" s="1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C16" i="2" s="1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D14" i="3" s="1"/>
  <c r="E4" i="3"/>
  <c r="F4" i="3"/>
  <c r="G4" i="3"/>
  <c r="H4" i="3"/>
  <c r="I4" i="3"/>
  <c r="J4" i="3"/>
  <c r="J14" i="3" s="1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L10" i="1" s="1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K6" i="1" s="1"/>
  <c r="K19" i="1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D12" i="1"/>
  <c r="E12" i="1"/>
  <c r="F12" i="1"/>
  <c r="F13" i="1" s="1"/>
  <c r="F14" i="1" s="1"/>
  <c r="G12" i="1"/>
  <c r="G13" i="1" s="1"/>
  <c r="G14" i="1" s="1"/>
  <c r="H12" i="1"/>
  <c r="H13" i="1" s="1"/>
  <c r="I12" i="1"/>
  <c r="J12" i="1"/>
  <c r="K12" i="1"/>
  <c r="K13" i="1" s="1"/>
  <c r="K14" i="1" s="1"/>
  <c r="C15" i="1"/>
  <c r="C14" i="1"/>
  <c r="D15" i="1"/>
  <c r="D14" i="1" s="1"/>
  <c r="E15" i="1"/>
  <c r="F15" i="1"/>
  <c r="G15" i="1"/>
  <c r="H15" i="1"/>
  <c r="I15" i="1"/>
  <c r="J15" i="1"/>
  <c r="K15" i="1"/>
  <c r="B15" i="1"/>
  <c r="B14" i="1" s="1"/>
  <c r="I13" i="1"/>
  <c r="B7" i="1"/>
  <c r="B4" i="1"/>
  <c r="B20" i="2" s="1"/>
  <c r="A1" i="1"/>
  <c r="A1" i="3" s="1"/>
  <c r="E1" i="6"/>
  <c r="H1" i="1" s="1"/>
  <c r="E1" i="2"/>
  <c r="E1" i="3"/>
  <c r="H16" i="2"/>
  <c r="K23" i="2"/>
  <c r="F23" i="2"/>
  <c r="K16" i="2"/>
  <c r="F16" i="2"/>
  <c r="B23" i="2"/>
  <c r="E6" i="1"/>
  <c r="E19" i="1"/>
  <c r="D23" i="2"/>
  <c r="I6" i="1"/>
  <c r="I19" i="1" s="1"/>
  <c r="J6" i="1"/>
  <c r="J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 s="1"/>
  <c r="B13" i="2"/>
  <c r="B12" i="2"/>
  <c r="B11" i="2"/>
  <c r="B10" i="2"/>
  <c r="B8" i="2"/>
  <c r="B7" i="2"/>
  <c r="B6" i="2"/>
  <c r="B3" i="2"/>
  <c r="H14" i="3"/>
  <c r="F14" i="3"/>
  <c r="B12" i="3"/>
  <c r="B11" i="3"/>
  <c r="B10" i="3"/>
  <c r="B9" i="3"/>
  <c r="B8" i="3"/>
  <c r="B7" i="3"/>
  <c r="B4" i="3"/>
  <c r="B14" i="3" s="1"/>
  <c r="B3" i="3"/>
  <c r="L15" i="1"/>
  <c r="B12" i="1"/>
  <c r="B13" i="1" s="1"/>
  <c r="B11" i="1"/>
  <c r="B10" i="1"/>
  <c r="B9" i="1"/>
  <c r="B8" i="1"/>
  <c r="B3" i="1"/>
  <c r="E14" i="3"/>
  <c r="K20" i="2"/>
  <c r="D20" i="2"/>
  <c r="J20" i="2"/>
  <c r="C20" i="2"/>
  <c r="E20" i="2"/>
  <c r="L12" i="1"/>
  <c r="L13" i="1" s="1"/>
  <c r="L14" i="1" s="1"/>
  <c r="L25" i="1" s="1"/>
  <c r="L11" i="1"/>
  <c r="L4" i="1"/>
  <c r="L23" i="1" s="1"/>
  <c r="I23" i="1"/>
  <c r="J23" i="1"/>
  <c r="L5" i="1"/>
  <c r="H18" i="8" l="1"/>
  <c r="H13" i="11" s="1"/>
  <c r="H19" i="11" s="1"/>
  <c r="H13" i="8"/>
  <c r="H11" i="11" s="1"/>
  <c r="F18" i="8"/>
  <c r="F13" i="11" s="1"/>
  <c r="F19" i="11" s="1"/>
  <c r="F13" i="8"/>
  <c r="F11" i="11" s="1"/>
  <c r="M18" i="8"/>
  <c r="M13" i="8"/>
  <c r="I18" i="8"/>
  <c r="I13" i="8"/>
  <c r="I11" i="11" s="1"/>
  <c r="E18" i="8"/>
  <c r="E13" i="11" s="1"/>
  <c r="E19" i="11" s="1"/>
  <c r="E13" i="8"/>
  <c r="E11" i="11" s="1"/>
  <c r="J18" i="8"/>
  <c r="J13" i="11" s="1"/>
  <c r="J19" i="11" s="1"/>
  <c r="J13" i="8"/>
  <c r="J11" i="11" s="1"/>
  <c r="L18" i="8"/>
  <c r="L13" i="11" s="1"/>
  <c r="L19" i="11" s="1"/>
  <c r="L13" i="8"/>
  <c r="L11" i="11" s="1"/>
  <c r="D18" i="8"/>
  <c r="D13" i="11" s="1"/>
  <c r="D19" i="11" s="1"/>
  <c r="D13" i="8"/>
  <c r="D11" i="11" s="1"/>
  <c r="K18" i="8"/>
  <c r="K13" i="11" s="1"/>
  <c r="K19" i="11" s="1"/>
  <c r="K13" i="8"/>
  <c r="K11" i="11" s="1"/>
  <c r="C18" i="8"/>
  <c r="C13" i="8"/>
  <c r="C11" i="11" s="1"/>
  <c r="K19" i="8"/>
  <c r="K12" i="11" s="1"/>
  <c r="H27" i="8"/>
  <c r="H28" i="8" s="1"/>
  <c r="H14" i="11" s="1"/>
  <c r="H6" i="11"/>
  <c r="F27" i="8"/>
  <c r="F28" i="8" s="1"/>
  <c r="F14" i="11" s="1"/>
  <c r="G27" i="8"/>
  <c r="G6" i="11"/>
  <c r="L27" i="8"/>
  <c r="L33" i="8" s="1"/>
  <c r="L6" i="11"/>
  <c r="J19" i="8"/>
  <c r="J12" i="11" s="1"/>
  <c r="L19" i="8"/>
  <c r="L12" i="11" s="1"/>
  <c r="C27" i="8"/>
  <c r="D19" i="8"/>
  <c r="D12" i="11" s="1"/>
  <c r="K27" i="8"/>
  <c r="H19" i="8"/>
  <c r="H12" i="11" s="1"/>
  <c r="M19" i="8"/>
  <c r="M27" i="8"/>
  <c r="I19" i="8"/>
  <c r="I12" i="11" s="1"/>
  <c r="I27" i="8"/>
  <c r="N11" i="1"/>
  <c r="M11" i="1"/>
  <c r="L6" i="1"/>
  <c r="L19" i="1" s="1"/>
  <c r="L24" i="1" s="1"/>
  <c r="G20" i="2"/>
  <c r="F20" i="2"/>
  <c r="E24" i="2"/>
  <c r="J23" i="2"/>
  <c r="D24" i="2"/>
  <c r="C14" i="3"/>
  <c r="I16" i="2"/>
  <c r="K24" i="2"/>
  <c r="I14" i="1"/>
  <c r="K25" i="1" s="1"/>
  <c r="M25" i="1" s="1"/>
  <c r="M14" i="1" s="1"/>
  <c r="C24" i="2"/>
  <c r="H14" i="1"/>
  <c r="G16" i="2"/>
  <c r="E13" i="1"/>
  <c r="E14" i="1" s="1"/>
  <c r="J24" i="2"/>
  <c r="H23" i="1"/>
  <c r="G6" i="1"/>
  <c r="G19" i="1" s="1"/>
  <c r="J24" i="1" s="1"/>
  <c r="I24" i="2"/>
  <c r="H24" i="2"/>
  <c r="B16" i="2"/>
  <c r="G24" i="2"/>
  <c r="A1" i="2"/>
  <c r="A1" i="4" s="1"/>
  <c r="K24" i="1"/>
  <c r="L9" i="1"/>
  <c r="E23" i="2"/>
  <c r="J25" i="1"/>
  <c r="M24" i="1"/>
  <c r="M9" i="1"/>
  <c r="N9" i="1"/>
  <c r="N8" i="1"/>
  <c r="M8" i="1"/>
  <c r="N23" i="1"/>
  <c r="N4" i="1" s="1"/>
  <c r="I20" i="2"/>
  <c r="H20" i="2"/>
  <c r="K23" i="1"/>
  <c r="M23" i="1" s="1"/>
  <c r="M4" i="1" s="1"/>
  <c r="H6" i="1"/>
  <c r="H19" i="1" s="1"/>
  <c r="F6" i="1"/>
  <c r="F19" i="1" s="1"/>
  <c r="H24" i="1" s="1"/>
  <c r="E1" i="4"/>
  <c r="C19" i="8" l="1"/>
  <c r="C12" i="11" s="1"/>
  <c r="C13" i="11"/>
  <c r="C19" i="11" s="1"/>
  <c r="I6" i="11"/>
  <c r="I13" i="11"/>
  <c r="I19" i="11" s="1"/>
  <c r="I7" i="11"/>
  <c r="H31" i="8"/>
  <c r="E27" i="8"/>
  <c r="E7" i="11" s="1"/>
  <c r="J27" i="8"/>
  <c r="J7" i="11" s="1"/>
  <c r="K6" i="11"/>
  <c r="F6" i="11"/>
  <c r="H33" i="8"/>
  <c r="H38" i="8" s="1"/>
  <c r="L28" i="8"/>
  <c r="L14" i="11" s="1"/>
  <c r="E6" i="11"/>
  <c r="F19" i="8"/>
  <c r="F12" i="11" s="1"/>
  <c r="D6" i="11"/>
  <c r="E19" i="8"/>
  <c r="E12" i="11" s="1"/>
  <c r="J6" i="11"/>
  <c r="D27" i="8"/>
  <c r="F31" i="8"/>
  <c r="F7" i="11"/>
  <c r="G28" i="8"/>
  <c r="G14" i="11" s="1"/>
  <c r="G7" i="11"/>
  <c r="G33" i="8"/>
  <c r="G31" i="8"/>
  <c r="H7" i="11"/>
  <c r="L7" i="11"/>
  <c r="E33" i="8"/>
  <c r="E38" i="8" s="1"/>
  <c r="F33" i="8"/>
  <c r="F8" i="11" s="1"/>
  <c r="L31" i="8"/>
  <c r="I28" i="8"/>
  <c r="I14" i="11" s="1"/>
  <c r="I33" i="8"/>
  <c r="I31" i="8"/>
  <c r="C28" i="8"/>
  <c r="C14" i="11" s="1"/>
  <c r="C33" i="8"/>
  <c r="C31" i="8"/>
  <c r="J31" i="8"/>
  <c r="H34" i="8"/>
  <c r="H15" i="11" s="1"/>
  <c r="L34" i="8"/>
  <c r="L15" i="11" s="1"/>
  <c r="L38" i="8"/>
  <c r="M28" i="8"/>
  <c r="M33" i="8"/>
  <c r="M31" i="8"/>
  <c r="K28" i="8"/>
  <c r="K14" i="11" s="1"/>
  <c r="K33" i="8"/>
  <c r="L8" i="11" s="1"/>
  <c r="K31" i="8"/>
  <c r="E34" i="8"/>
  <c r="E15" i="11" s="1"/>
  <c r="H25" i="1"/>
  <c r="N25" i="1" s="1"/>
  <c r="N14" i="1" s="1"/>
  <c r="I25" i="1"/>
  <c r="I24" i="1"/>
  <c r="N24" i="1" s="1"/>
  <c r="N6" i="1" s="1"/>
  <c r="M6" i="1"/>
  <c r="M10" i="1" s="1"/>
  <c r="M12" i="1" s="1"/>
  <c r="M13" i="1" s="1"/>
  <c r="M15" i="1" s="1"/>
  <c r="J28" i="8" l="1"/>
  <c r="J14" i="11" s="1"/>
  <c r="J33" i="8"/>
  <c r="J8" i="11" s="1"/>
  <c r="F38" i="8"/>
  <c r="E28" i="8"/>
  <c r="E14" i="11" s="1"/>
  <c r="K7" i="11"/>
  <c r="E31" i="8"/>
  <c r="I8" i="11"/>
  <c r="D31" i="8"/>
  <c r="D33" i="8"/>
  <c r="D28" i="8"/>
  <c r="D14" i="11" s="1"/>
  <c r="F34" i="8"/>
  <c r="F15" i="11" s="1"/>
  <c r="G34" i="8"/>
  <c r="G15" i="11" s="1"/>
  <c r="G8" i="11"/>
  <c r="G38" i="8"/>
  <c r="K8" i="11"/>
  <c r="H8" i="11"/>
  <c r="E42" i="8"/>
  <c r="E44" i="8" s="1"/>
  <c r="F39" i="8"/>
  <c r="F42" i="8"/>
  <c r="F44" i="8" s="1"/>
  <c r="G39" i="8"/>
  <c r="H39" i="8"/>
  <c r="H42" i="8"/>
  <c r="H44" i="8" s="1"/>
  <c r="L42" i="8"/>
  <c r="L44" i="8" s="1"/>
  <c r="C38" i="8"/>
  <c r="C42" i="8" s="1"/>
  <c r="C34" i="8"/>
  <c r="C15" i="11" s="1"/>
  <c r="J34" i="8"/>
  <c r="J15" i="11" s="1"/>
  <c r="J38" i="8"/>
  <c r="M34" i="8"/>
  <c r="M38" i="8"/>
  <c r="M39" i="8" s="1"/>
  <c r="I34" i="8"/>
  <c r="I15" i="11" s="1"/>
  <c r="I38" i="8"/>
  <c r="K38" i="8"/>
  <c r="K34" i="8"/>
  <c r="K15" i="11" s="1"/>
  <c r="N10" i="1"/>
  <c r="N12" i="1" s="1"/>
  <c r="N13" i="1" s="1"/>
  <c r="N5" i="1"/>
  <c r="N15" i="1"/>
  <c r="M5" i="1"/>
  <c r="D38" i="8" l="1"/>
  <c r="D8" i="11"/>
  <c r="D34" i="8"/>
  <c r="D15" i="11" s="1"/>
  <c r="E8" i="11"/>
  <c r="G42" i="8"/>
  <c r="G44" i="8"/>
  <c r="K39" i="8"/>
  <c r="K42" i="8"/>
  <c r="K44" i="8" s="1"/>
  <c r="J39" i="8"/>
  <c r="J42" i="8"/>
  <c r="J44" i="8" s="1"/>
  <c r="D39" i="8"/>
  <c r="I39" i="8"/>
  <c r="I42" i="8"/>
  <c r="I44" i="8" s="1"/>
  <c r="L39" i="8"/>
  <c r="E39" i="8" l="1"/>
  <c r="D42" i="8"/>
  <c r="D44" i="8" s="1"/>
</calcChain>
</file>

<file path=xl/sharedStrings.xml><?xml version="1.0" encoding="utf-8"?>
<sst xmlns="http://schemas.openxmlformats.org/spreadsheetml/2006/main" count="313" uniqueCount="199">
  <si>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</si>
  <si>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</si>
  <si>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</si>
  <si>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</si>
  <si>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</si>
  <si>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</si>
  <si>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</si>
  <si>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</si>
  <si>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</si>
  <si>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</si>
  <si>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</si>
  <si>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</si>
  <si>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</si>
  <si>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</si>
  <si>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</si>
  <si>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</si>
  <si>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</si>
  <si>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</si>
  <si>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</si>
  <si>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</si>
  <si>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</si>
  <si>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</si>
  <si>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</si>
  <si>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</si>
  <si>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</si>
  <si>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</si>
  <si>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</si>
  <si>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</si>
  <si>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</si>
  <si>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</si>
  <si>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</si>
  <si>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</si>
  <si>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</si>
  <si>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</si>
  <si>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</si>
  <si>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</si>
  <si>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</si>
  <si>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</si>
  <si>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</si>
  <si>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</si>
  <si>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</si>
  <si>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</si>
  <si>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</si>
  <si>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</si>
  <si>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</si>
  <si>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</si>
  <si>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</si>
  <si>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</si>
  <si>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</si>
  <si>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</si>
  <si>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</si>
  <si>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</si>
  <si>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</si>
  <si>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</si>
  <si>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</si>
  <si>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</si>
  <si>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</si>
  <si>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</si>
  <si>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</si>
  <si>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</si>
  <si>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</si>
  <si>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</si>
  <si>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</si>
  <si>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VARUN BEVERAGES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</si>
  <si>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</si>
  <si>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</si>
  <si>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</si>
  <si>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</si>
  <si>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</si>
  <si>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</si>
  <si>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</si>
  <si>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</si>
  <si>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</si>
  <si>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</si>
  <si>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</si>
  <si>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</si>
  <si>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</si>
  <si>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</si>
  <si>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</si>
  <si>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</si>
  <si>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</si>
  <si>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</si>
  <si>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</si>
  <si>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</si>
  <si>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</si>
  <si>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</si>
  <si>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</si>
  <si>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</si>
  <si>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</si>
  <si>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</si>
  <si>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</si>
  <si>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</si>
  <si>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</si>
  <si>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Years</t>
  </si>
  <si>
    <t>LTM</t>
  </si>
  <si>
    <t>#</t>
  </si>
  <si>
    <t>Income Statement</t>
  </si>
  <si>
    <t xml:space="preserve"> -</t>
  </si>
  <si>
    <t>COGS</t>
  </si>
  <si>
    <t>COGS % Sales</t>
  </si>
  <si>
    <t>Gross Profit</t>
  </si>
  <si>
    <t>Selling &amp; General Expenses</t>
  </si>
  <si>
    <t>S&amp;G Exp % Sales</t>
  </si>
  <si>
    <t>EBITDA</t>
  </si>
  <si>
    <t>EBIDTA Margins</t>
  </si>
  <si>
    <t>Interest % sales</t>
  </si>
  <si>
    <t>Depriciation</t>
  </si>
  <si>
    <t>Depriciation % Sales</t>
  </si>
  <si>
    <t>Earning Before Tax</t>
  </si>
  <si>
    <t>EBT % Sales</t>
  </si>
  <si>
    <t>Effective tax rate</t>
  </si>
  <si>
    <t>Net Profit</t>
  </si>
  <si>
    <t>Net Margins</t>
  </si>
  <si>
    <t>Number of Equity Shares</t>
  </si>
  <si>
    <t>Earnings Per Share</t>
  </si>
  <si>
    <t>Dividend Per Share</t>
  </si>
  <si>
    <t>EPS % Growth</t>
  </si>
  <si>
    <t>Dividend Payout Ratio</t>
  </si>
  <si>
    <t>Retained Earnings</t>
  </si>
  <si>
    <t>Balance Sheet</t>
  </si>
  <si>
    <t>Total Liability</t>
  </si>
  <si>
    <t>Fixed Assets Net Block</t>
  </si>
  <si>
    <t>Total Non Current Assets</t>
  </si>
  <si>
    <t>Total current Assets</t>
  </si>
  <si>
    <t>Total Assets</t>
  </si>
  <si>
    <t>Check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</si>
  <si>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</si>
  <si>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</si>
  <si>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</si>
  <si>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</si>
  <si>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</si>
  <si>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</si>
  <si>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</si>
  <si>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</si>
  <si>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</si>
  <si>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</si>
  <si>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</si>
  <si>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</si>
  <si>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</si>
  <si>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</si>
  <si>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</si>
  <si>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Acquisition of companies</t>
  </si>
  <si>
    <t>Other investing items</t>
  </si>
  <si>
    <t>Cash from Financing Activity -</t>
  </si>
  <si>
    <t>Proceeds from shares</t>
  </si>
  <si>
    <t>Proceeds from debentures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</si>
  <si>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</si>
  <si>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</si>
  <si>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</si>
  <si>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</si>
  <si>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</si>
  <si>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</si>
  <si>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Share application money</t>
  </si>
  <si>
    <t>Application money refund</t>
  </si>
  <si>
    <t>Other financing items</t>
  </si>
  <si>
    <t>Cash Flow Statements</t>
  </si>
  <si>
    <t>Cash From Operating Activities</t>
  </si>
  <si>
    <t>Operating Activities</t>
  </si>
  <si>
    <t>Investing Activities</t>
  </si>
  <si>
    <t>Financing Activities</t>
  </si>
  <si>
    <t>Cash From Financing Activities</t>
  </si>
  <si>
    <t>Cash From Investing Activities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</si>
  <si>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</si>
  <si>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</si>
  <si>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</si>
  <si>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</si>
  <si>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</si>
  <si>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</si>
  <si>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</si>
  <si>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Net Profit Margin</t>
  </si>
  <si>
    <t>EBT Margin</t>
  </si>
  <si>
    <t>Sales Expenses % Sales</t>
  </si>
  <si>
    <t>Return on Capital Employed</t>
  </si>
  <si>
    <t>Retained Earnings%</t>
  </si>
  <si>
    <t>Return on Equity%</t>
  </si>
  <si>
    <t>Self Sustained Growth Rate</t>
  </si>
  <si>
    <t>Interest Coverage Ratio</t>
  </si>
  <si>
    <t>Creditor Turnover Ratio</t>
  </si>
  <si>
    <t>Debtor Turnover Ratio</t>
  </si>
  <si>
    <t>Fixed Asset Turnover</t>
  </si>
  <si>
    <t>Capital Turnover Ratio</t>
  </si>
  <si>
    <t>Payable Days</t>
  </si>
  <si>
    <t>Inventory Days</t>
  </si>
  <si>
    <t>CFO/Sales</t>
  </si>
  <si>
    <t>CFO/Total Assets</t>
  </si>
  <si>
    <t>CFO/Total Debt</t>
  </si>
  <si>
    <t>Gross Margins</t>
  </si>
  <si>
    <t>Equity Share capital</t>
  </si>
  <si>
    <t>Operating Income % Sales</t>
  </si>
  <si>
    <t>Cash Conversion Cycle (In Days)</t>
  </si>
  <si>
    <t>Mean</t>
  </si>
  <si>
    <t>Median</t>
  </si>
  <si>
    <t>Trend</t>
  </si>
  <si>
    <t>Year weight</t>
  </si>
  <si>
    <t>Year</t>
  </si>
  <si>
    <t>EBIDTA</t>
  </si>
  <si>
    <t>EBIDTA Growth</t>
  </si>
  <si>
    <t>Particulars</t>
  </si>
  <si>
    <t>Total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</si>
</sst>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* #,##0.00_);_(* \(#,##0.00\);_(* &quot;-&quot;??_);_(@_)"/>
    <numFmt numFmtId="165" formatCode="_ * #,##0.00_ ;_ * \-#,##0.00_ ;_ * &quot;-&quot;??_ ;_ @_ "/>
    <numFmt numFmtId="166" formatCode="[$-409]mmm\-yy;@"/>
    <numFmt numFmtId="167" formatCode="[$₹-4009]\ #,##0.00"/>
    <numFmt numFmtId="168" formatCode="0.00&quot;x&quot;"/>
    <numFmt numFmtId="169" formatCode="#,##0.0"/>
    <numFmt numFmtId="170" formatCode="0&quot;A&quot;"/>
    <numFmt numFmtId="171" formatCode="0&quot;E&quot;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113">
    <xf numFmtId="0" fontId="0" fillId="0" borderId="0" xfId="0"/>
    <xf numFmtId="165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5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5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5" fontId="2" fillId="2" borderId="0" xfId="3" applyNumberFormat="1" applyFont="1" applyBorder="1"/>
    <xf numFmtId="165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6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5" fontId="0" fillId="0" borderId="0" xfId="1" applyNumberFormat="1" applyFont="1" applyBorder="1" applyAlignment="1">
      <alignment horizontal="center"/>
    </xf>
    <xf numFmtId="165" fontId="1" fillId="0" borderId="0" xfId="1" applyNumberFormat="1" applyFont="1" applyBorder="1" applyAlignment="1">
      <alignment horizontal="center"/>
    </xf>
    <xf numFmtId="165" fontId="0" fillId="0" borderId="0" xfId="1" applyNumberFormat="1" applyFont="1" applyBorder="1"/>
    <xf numFmtId="10" fontId="1" fillId="0" borderId="0" xfId="0" applyNumberFormat="1" applyFont="1" applyBorder="1"/>
    <xf numFmtId="166" fontId="2" fillId="5" borderId="0" xfId="1" applyNumberFormat="1" applyFont="1" applyFill="1" applyBorder="1"/>
    <xf numFmtId="166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164" fontId="0" fillId="0" borderId="0" xfId="1" applyNumberFormat="1" applyFont="1" applyBorder="1"/>
    <xf numFmtId="0" fontId="2" fillId="6" borderId="0" xfId="0" applyFont="1" applyFill="1"/>
    <xf numFmtId="17" fontId="2" fillId="6" borderId="0" xfId="0" applyNumberFormat="1" applyFont="1" applyFill="1"/>
    <xf numFmtId="17" fontId="2" fillId="6" borderId="0" xfId="0" applyNumberFormat="1" applyFont="1" applyFill="1" applyAlignment="1">
      <alignment horizontal="right"/>
    </xf>
    <xf numFmtId="0" fontId="1" fillId="0" borderId="0" xfId="0" applyFont="1"/>
    <xf numFmtId="167" fontId="0" fillId="0" borderId="0" xfId="0" applyNumberFormat="1"/>
    <xf numFmtId="10" fontId="0" fillId="0" borderId="0" xfId="6" applyNumberFormat="1" applyFont="1"/>
    <xf numFmtId="0" fontId="10" fillId="0" borderId="0" xfId="0" applyFont="1"/>
    <xf numFmtId="0" fontId="10" fillId="0" borderId="0" xfId="0" applyFont="1" applyAlignment="1">
      <alignment horizontal="right"/>
    </xf>
    <xf numFmtId="10" fontId="10" fillId="0" borderId="0" xfId="6" applyNumberFormat="1" applyFont="1"/>
    <xf numFmtId="9" fontId="10" fillId="0" borderId="0" xfId="6" applyFont="1"/>
    <xf numFmtId="0" fontId="2" fillId="7" borderId="0" xfId="0" applyFont="1" applyFill="1"/>
    <xf numFmtId="17" fontId="2" fillId="7" borderId="0" xfId="0" applyNumberFormat="1" applyFont="1" applyFill="1"/>
    <xf numFmtId="17" fontId="2" fillId="7" borderId="0" xfId="0" applyNumberFormat="1" applyFont="1" applyFill="1" applyAlignment="1">
      <alignment horizontal="right"/>
    </xf>
    <xf numFmtId="2" fontId="0" fillId="0" borderId="0" xfId="0" applyNumberFormat="1"/>
    <xf numFmtId="2" fontId="10" fillId="0" borderId="0" xfId="0" applyNumberFormat="1" applyFont="1"/>
    <xf numFmtId="0" fontId="1" fillId="8" borderId="0" xfId="0" applyFont="1" applyFill="1"/>
    <xf numFmtId="0" fontId="0" fillId="8" borderId="0" xfId="0" applyFill="1"/>
    <xf numFmtId="167" fontId="1" fillId="0" borderId="0" xfId="0" applyNumberFormat="1" applyFont="1"/>
    <xf numFmtId="165" fontId="1" fillId="0" borderId="0" xfId="1" applyFont="1" applyFill="1" applyBorder="1"/>
    <xf numFmtId="17" fontId="0" fillId="0" borderId="0" xfId="0" applyNumberFormat="1"/>
    <xf numFmtId="3" fontId="0" fillId="0" borderId="0" xfId="0" applyNumberFormat="1"/>
    <xf numFmtId="0" fontId="0" fillId="7" borderId="0" xfId="0" applyFill="1"/>
    <xf numFmtId="0" fontId="0" fillId="7" borderId="0" xfId="0" applyFont="1" applyFill="1"/>
    <xf numFmtId="0" fontId="1" fillId="0" borderId="1" xfId="0" applyFont="1" applyBorder="1"/>
    <xf numFmtId="167" fontId="1" fillId="0" borderId="1" xfId="0" applyNumberFormat="1" applyFont="1" applyBorder="1"/>
    <xf numFmtId="165" fontId="1" fillId="0" borderId="1" xfId="1" applyFont="1" applyBorder="1"/>
    <xf numFmtId="165" fontId="1" fillId="0" borderId="1" xfId="1" applyFont="1" applyFill="1" applyBorder="1"/>
    <xf numFmtId="0" fontId="11" fillId="0" borderId="0" xfId="0" applyFont="1"/>
    <xf numFmtId="0" fontId="0" fillId="0" borderId="2" xfId="0" applyFont="1" applyBorder="1"/>
    <xf numFmtId="0" fontId="0" fillId="0" borderId="2" xfId="0" applyBorder="1"/>
    <xf numFmtId="10" fontId="0" fillId="0" borderId="2" xfId="6" applyNumberFormat="1" applyFont="1" applyBorder="1"/>
    <xf numFmtId="10" fontId="0" fillId="0" borderId="0" xfId="6" applyNumberFormat="1" applyFont="1" applyBorder="1"/>
    <xf numFmtId="0" fontId="0" fillId="0" borderId="3" xfId="0" applyBorder="1"/>
    <xf numFmtId="10" fontId="0" fillId="0" borderId="3" xfId="6" applyNumberFormat="1" applyFont="1" applyBorder="1"/>
    <xf numFmtId="168" fontId="0" fillId="0" borderId="3" xfId="0" applyNumberFormat="1" applyBorder="1"/>
    <xf numFmtId="168" fontId="0" fillId="0" borderId="2" xfId="0" applyNumberFormat="1" applyBorder="1"/>
    <xf numFmtId="168" fontId="0" fillId="0" borderId="0" xfId="0" applyNumberFormat="1" applyBorder="1"/>
    <xf numFmtId="1" fontId="0" fillId="0" borderId="2" xfId="0" applyNumberFormat="1" applyBorder="1"/>
    <xf numFmtId="1" fontId="0" fillId="0" borderId="0" xfId="0" applyNumberFormat="1" applyBorder="1"/>
    <xf numFmtId="0" fontId="0" fillId="0" borderId="3" xfId="0" applyFont="1" applyBorder="1"/>
    <xf numFmtId="1" fontId="0" fillId="0" borderId="3" xfId="0" applyNumberFormat="1" applyBorder="1"/>
    <xf numFmtId="17" fontId="2" fillId="6" borderId="0" xfId="0" applyNumberFormat="1" applyFont="1" applyFill="1" applyAlignment="1">
      <alignment horizontal="center" vertical="center"/>
    </xf>
    <xf numFmtId="17" fontId="2" fillId="6" borderId="0" xfId="0" applyNumberFormat="1" applyFont="1" applyFill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7" borderId="2" xfId="0" applyFill="1" applyBorder="1"/>
    <xf numFmtId="0" fontId="0" fillId="7" borderId="0" xfId="0" applyFill="1" applyBorder="1"/>
    <xf numFmtId="0" fontId="0" fillId="7" borderId="3" xfId="0" applyFill="1" applyBorder="1"/>
    <xf numFmtId="0" fontId="5" fillId="6" borderId="0" xfId="0" applyFont="1" applyFill="1"/>
    <xf numFmtId="3" fontId="5" fillId="6" borderId="0" xfId="0" applyNumberFormat="1" applyFont="1" applyFill="1" applyAlignment="1"/>
    <xf numFmtId="3" fontId="5" fillId="6" borderId="0" xfId="0" applyNumberFormat="1" applyFont="1" applyFill="1"/>
    <xf numFmtId="0" fontId="0" fillId="0" borderId="0" xfId="0" applyAlignment="1">
      <alignment horizontal="left"/>
    </xf>
    <xf numFmtId="171" fontId="0" fillId="0" borderId="0" xfId="0" applyNumberFormat="1"/>
    <xf numFmtId="0" fontId="5" fillId="6" borderId="5" xfId="0" applyFont="1" applyFill="1" applyBorder="1"/>
    <xf numFmtId="3" fontId="5" fillId="6" borderId="0" xfId="0" applyNumberFormat="1" applyFont="1" applyFill="1" applyBorder="1" applyAlignment="1"/>
    <xf numFmtId="3" fontId="5" fillId="6" borderId="0" xfId="0" applyNumberFormat="1" applyFont="1" applyFill="1" applyBorder="1"/>
    <xf numFmtId="0" fontId="0" fillId="0" borderId="5" xfId="0" applyBorder="1" applyAlignment="1">
      <alignment horizontal="left"/>
    </xf>
    <xf numFmtId="170" fontId="0" fillId="0" borderId="0" xfId="0" applyNumberFormat="1" applyBorder="1"/>
    <xf numFmtId="169" fontId="12" fillId="0" borderId="0" xfId="0" applyNumberFormat="1" applyFont="1" applyBorder="1"/>
    <xf numFmtId="171" fontId="0" fillId="0" borderId="0" xfId="0" applyNumberFormat="1" applyBorder="1"/>
    <xf numFmtId="169" fontId="0" fillId="0" borderId="0" xfId="0" applyNumberFormat="1" applyBorder="1"/>
    <xf numFmtId="0" fontId="0" fillId="0" borderId="6" xfId="0" applyBorder="1"/>
    <xf numFmtId="10" fontId="0" fillId="0" borderId="6" xfId="6" applyNumberFormat="1" applyFont="1" applyBorder="1"/>
    <xf numFmtId="0" fontId="0" fillId="0" borderId="7" xfId="0" applyBorder="1" applyAlignment="1">
      <alignment horizontal="left"/>
    </xf>
    <xf numFmtId="171" fontId="0" fillId="0" borderId="3" xfId="0" applyNumberFormat="1" applyBorder="1"/>
    <xf numFmtId="169" fontId="0" fillId="0" borderId="3" xfId="0" applyNumberFormat="1" applyBorder="1"/>
    <xf numFmtId="10" fontId="0" fillId="0" borderId="8" xfId="6" applyNumberFormat="1" applyFont="1" applyBorder="1"/>
    <xf numFmtId="0" fontId="1" fillId="0" borderId="3" xfId="0" applyFont="1" applyBorder="1" applyAlignment="1">
      <alignment horizontal="left"/>
    </xf>
    <xf numFmtId="17" fontId="1" fillId="0" borderId="3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0" fontId="0" fillId="0" borderId="0" xfId="6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17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10" fontId="1" fillId="0" borderId="0" xfId="0" applyNumberFormat="1" applyFont="1" applyBorder="1" applyAlignment="1">
      <alignment horizontal="right"/>
    </xf>
    <xf numFmtId="10" fontId="0" fillId="0" borderId="0" xfId="0" applyNumberFormat="1"/>
    <xf numFmtId="165" fontId="4" fillId="0" borderId="0" xfId="2" applyNumberFormat="1" applyBorder="1" applyAlignment="1" applyProtection="1">
      <alignment horizontal="center"/>
    </xf>
    <xf numFmtId="165" fontId="2" fillId="4" borderId="0" xfId="5" applyNumberFormat="1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6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000FF"/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5"/>
  <sheetViews>
    <sheetView zoomScale="70" zoomScaleNormal="7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77734375" defaultRowHeight="14.4" x14ac:dyDescent="0.3"/>
  <cols>
    <col min="1" max="1" width="20.6640625" style="6" customWidth="1"/>
    <col min="2" max="6" width="13.44140625" style="6" customWidth="1"/>
    <col min="7" max="7" width="14.77734375" style="6" bestFit="1" customWidth="1"/>
    <col min="8" max="11" width="13.44140625" style="6" customWidth="1"/>
    <col min="12" max="12" width="13.33203125" style="6" customWidth="1"/>
    <col min="13" max="14" width="12.109375" style="6" customWidth="1"/>
    <col min="15" max="16384" width="8.77734375" style="6"/>
  </cols>
  <sheetData>
    <row r="1" spans="1:14" s="8" customFormat="1" x14ac:dyDescent="0.3">
      <c r="A1" s="8" t="str">
        <f>'Data Sheet'!B1</f>
        <v>VARUN BEVERAGES LTD</v>
      </c>
      <c r="H1" t="str">
        <f>UPDATE</f>
        <v/>
      </c>
      <c r="J1" s="3"/>
      <c r="K1" s="3"/>
      <c r="M1" s="8" t="s">
        <v>1</v>
      </c>
    </row>
    <row r="3" spans="1:14" s="2" customFormat="1" x14ac:dyDescent="0.3">
      <c r="A3" s="15" t="s">
        <v>2</v>
      </c>
      <c r="B3" s="16">
        <f>'Data Sheet'!B16</f>
        <v>42004</v>
      </c>
      <c r="C3" s="16">
        <f>'Data Sheet'!C16</f>
        <v>42369</v>
      </c>
      <c r="D3" s="16">
        <f>'Data Sheet'!D16</f>
        <v>42735</v>
      </c>
      <c r="E3" s="16">
        <f>'Data Sheet'!E16</f>
        <v>43100</v>
      </c>
      <c r="F3" s="16">
        <f>'Data Sheet'!F16</f>
        <v>43465</v>
      </c>
      <c r="G3" s="16">
        <f>'Data Sheet'!G16</f>
        <v>43830</v>
      </c>
      <c r="H3" s="16">
        <f>'Data Sheet'!H16</f>
        <v>44196</v>
      </c>
      <c r="I3" s="16">
        <f>'Data Sheet'!I16</f>
        <v>44561</v>
      </c>
      <c r="J3" s="16">
        <f>'Data Sheet'!J16</f>
        <v>44926</v>
      </c>
      <c r="K3" s="16">
        <f>'Data Sheet'!K16</f>
        <v>45291</v>
      </c>
      <c r="L3" s="17" t="s">
        <v>3</v>
      </c>
      <c r="M3" s="17" t="s">
        <v>4</v>
      </c>
      <c r="N3" s="17" t="s">
        <v>5</v>
      </c>
    </row>
    <row r="4" spans="1:14" s="8" customFormat="1" x14ac:dyDescent="0.3">
      <c r="A4" s="8" t="s">
        <v>6</v>
      </c>
      <c r="B4" s="1">
        <f>'Data Sheet'!B17</f>
        <v>2502.4</v>
      </c>
      <c r="C4" s="1">
        <f>'Data Sheet'!C17</f>
        <v>3394.14</v>
      </c>
      <c r="D4" s="1">
        <f>'Data Sheet'!D17</f>
        <v>3861.18</v>
      </c>
      <c r="E4" s="1">
        <f>'Data Sheet'!E17</f>
        <v>4003.54</v>
      </c>
      <c r="F4" s="1">
        <f>'Data Sheet'!F17</f>
        <v>5105.26</v>
      </c>
      <c r="G4" s="1">
        <f>'Data Sheet'!G17</f>
        <v>7129.58</v>
      </c>
      <c r="H4" s="1">
        <f>'Data Sheet'!H17</f>
        <v>6450.14</v>
      </c>
      <c r="I4" s="1">
        <f>'Data Sheet'!I17</f>
        <v>8823.23</v>
      </c>
      <c r="J4" s="1">
        <f>'Data Sheet'!J17</f>
        <v>13173.14</v>
      </c>
      <c r="K4" s="1">
        <f>'Data Sheet'!K17</f>
        <v>16042.58</v>
      </c>
      <c r="L4" s="1">
        <f>SUM(Quarters!H4:K4)</f>
        <v>16042.59</v>
      </c>
      <c r="M4" s="1">
        <f>$K4+M23*K4</f>
        <v>21735.813775194325</v>
      </c>
      <c r="N4" s="1">
        <f>$K4+N23*L4</f>
        <v>19537.058116045228</v>
      </c>
    </row>
    <row r="5" spans="1:14" x14ac:dyDescent="0.3">
      <c r="A5" s="6" t="s">
        <v>7</v>
      </c>
      <c r="B5" s="9">
        <f>SUM('Data Sheet'!B18,'Data Sheet'!B20:B24, -1*'Data Sheet'!B19)</f>
        <v>2115.5099999999998</v>
      </c>
      <c r="C5" s="9">
        <f>SUM('Data Sheet'!C18,'Data Sheet'!C20:C24, -1*'Data Sheet'!C19)</f>
        <v>2751.6700000000005</v>
      </c>
      <c r="D5" s="9">
        <f>SUM('Data Sheet'!D18,'Data Sheet'!D20:D24, -1*'Data Sheet'!D19)</f>
        <v>3051.6699999999992</v>
      </c>
      <c r="E5" s="9">
        <f>SUM('Data Sheet'!E18,'Data Sheet'!E20:E24, -1*'Data Sheet'!E19)</f>
        <v>3165.21</v>
      </c>
      <c r="F5" s="9">
        <f>SUM('Data Sheet'!F18,'Data Sheet'!F20:F24, -1*'Data Sheet'!F19)</f>
        <v>4069.4600000000005</v>
      </c>
      <c r="G5" s="9">
        <f>SUM('Data Sheet'!G18,'Data Sheet'!G20:G24, -1*'Data Sheet'!G19)</f>
        <v>5667.26</v>
      </c>
      <c r="H5" s="9">
        <f>SUM('Data Sheet'!H18,'Data Sheet'!H20:H24, -1*'Data Sheet'!H19)</f>
        <v>5235.18</v>
      </c>
      <c r="I5" s="9">
        <f>SUM('Data Sheet'!I18,'Data Sheet'!I20:I24, -1*'Data Sheet'!I19)</f>
        <v>7129.2800000000016</v>
      </c>
      <c r="J5" s="9">
        <f>SUM('Data Sheet'!J18,'Data Sheet'!J20:J24, -1*'Data Sheet'!J19)</f>
        <v>10310.140000000001</v>
      </c>
      <c r="K5" s="9">
        <f>SUM('Data Sheet'!K18,'Data Sheet'!K20:K24, -1*'Data Sheet'!K19)</f>
        <v>12325.84</v>
      </c>
      <c r="L5" s="9">
        <f>SUM(Quarters!H5:K5)</f>
        <v>12433.789999999999</v>
      </c>
      <c r="M5" s="9">
        <f t="shared" ref="M5:N5" si="0">M4-M6</f>
        <v>16846.31620953184</v>
      </c>
      <c r="N5" s="9">
        <f t="shared" si="0"/>
        <v>15472.504497023365</v>
      </c>
    </row>
    <row r="6" spans="1:14" s="8" customFormat="1" x14ac:dyDescent="0.3">
      <c r="A6" s="8" t="s">
        <v>8</v>
      </c>
      <c r="B6" s="1">
        <f>B4-B5</f>
        <v>386.89000000000033</v>
      </c>
      <c r="C6" s="1">
        <f t="shared" ref="C6:K6" si="1">C4-C5</f>
        <v>642.46999999999935</v>
      </c>
      <c r="D6" s="1">
        <f t="shared" si="1"/>
        <v>809.51000000000067</v>
      </c>
      <c r="E6" s="1">
        <f t="shared" si="1"/>
        <v>838.32999999999993</v>
      </c>
      <c r="F6" s="1">
        <f t="shared" si="1"/>
        <v>1035.7999999999997</v>
      </c>
      <c r="G6" s="1">
        <f t="shared" si="1"/>
        <v>1462.3199999999997</v>
      </c>
      <c r="H6" s="1">
        <f t="shared" si="1"/>
        <v>1214.96</v>
      </c>
      <c r="I6" s="1">
        <f t="shared" si="1"/>
        <v>1693.949999999998</v>
      </c>
      <c r="J6" s="1">
        <f t="shared" si="1"/>
        <v>2862.9999999999982</v>
      </c>
      <c r="K6" s="1">
        <f t="shared" si="1"/>
        <v>3716.74</v>
      </c>
      <c r="L6" s="1">
        <f>SUM(Quarters!H6:K6)</f>
        <v>3608.8</v>
      </c>
      <c r="M6" s="1">
        <f>M4*M24</f>
        <v>4889.4975656624829</v>
      </c>
      <c r="N6" s="1">
        <f>N4*N24</f>
        <v>4064.5536190218636</v>
      </c>
    </row>
    <row r="7" spans="1:14" x14ac:dyDescent="0.3">
      <c r="A7" s="6" t="s">
        <v>9</v>
      </c>
      <c r="B7" s="9">
        <f>'Data Sheet'!B25</f>
        <v>14.3</v>
      </c>
      <c r="C7" s="9">
        <f>'Data Sheet'!C25</f>
        <v>35.700000000000003</v>
      </c>
      <c r="D7" s="9">
        <f>'Data Sheet'!D25</f>
        <v>26.77</v>
      </c>
      <c r="E7" s="9">
        <f>'Data Sheet'!E25</f>
        <v>13.86</v>
      </c>
      <c r="F7" s="9">
        <f>'Data Sheet'!F25</f>
        <v>5.87</v>
      </c>
      <c r="G7" s="9">
        <f>'Data Sheet'!G25</f>
        <v>46.89</v>
      </c>
      <c r="H7" s="9">
        <f>'Data Sheet'!H25</f>
        <v>-30.01</v>
      </c>
      <c r="I7" s="9">
        <f>'Data Sheet'!I25</f>
        <v>50.89</v>
      </c>
      <c r="J7" s="9">
        <f>'Data Sheet'!J25</f>
        <v>-18.079999999999998</v>
      </c>
      <c r="K7" s="9">
        <f>'Data Sheet'!K25</f>
        <v>-4.87</v>
      </c>
      <c r="L7" s="9">
        <f>SUM(Quarters!H7:K7)</f>
        <v>79.569999999999993</v>
      </c>
      <c r="M7" s="9">
        <v>0</v>
      </c>
      <c r="N7" s="9">
        <v>0</v>
      </c>
    </row>
    <row r="8" spans="1:14" x14ac:dyDescent="0.3">
      <c r="A8" s="6" t="s">
        <v>10</v>
      </c>
      <c r="B8" s="9">
        <f>'Data Sheet'!B26</f>
        <v>210.06</v>
      </c>
      <c r="C8" s="9">
        <f>'Data Sheet'!C26</f>
        <v>317.41000000000003</v>
      </c>
      <c r="D8" s="9">
        <f>'Data Sheet'!D26</f>
        <v>322.20999999999998</v>
      </c>
      <c r="E8" s="9">
        <f>'Data Sheet'!E26</f>
        <v>346.64</v>
      </c>
      <c r="F8" s="9">
        <f>'Data Sheet'!F26</f>
        <v>385.07</v>
      </c>
      <c r="G8" s="9">
        <f>'Data Sheet'!G26</f>
        <v>488.63</v>
      </c>
      <c r="H8" s="9">
        <f>'Data Sheet'!H26</f>
        <v>528.70000000000005</v>
      </c>
      <c r="I8" s="9">
        <f>'Data Sheet'!I26</f>
        <v>531.26</v>
      </c>
      <c r="J8" s="9">
        <f>'Data Sheet'!J26</f>
        <v>617.19000000000005</v>
      </c>
      <c r="K8" s="9">
        <f>'Data Sheet'!K26</f>
        <v>680.91</v>
      </c>
      <c r="L8" s="9">
        <f>SUM(Quarters!H8:K8)</f>
        <v>680.91000000000008</v>
      </c>
      <c r="M8" s="9">
        <f>+$L8</f>
        <v>680.91000000000008</v>
      </c>
      <c r="N8" s="9">
        <f>+$L8</f>
        <v>680.91000000000008</v>
      </c>
    </row>
    <row r="9" spans="1:14" x14ac:dyDescent="0.3">
      <c r="A9" s="6" t="s">
        <v>11</v>
      </c>
      <c r="B9" s="9">
        <f>'Data Sheet'!B27</f>
        <v>187.36</v>
      </c>
      <c r="C9" s="9">
        <f>'Data Sheet'!C27</f>
        <v>170.15</v>
      </c>
      <c r="D9" s="9">
        <f>'Data Sheet'!D27</f>
        <v>434.74</v>
      </c>
      <c r="E9" s="9">
        <f>'Data Sheet'!E27</f>
        <v>214.59</v>
      </c>
      <c r="F9" s="9">
        <f>'Data Sheet'!F27</f>
        <v>222.8</v>
      </c>
      <c r="G9" s="9">
        <f>'Data Sheet'!G27</f>
        <v>324.31</v>
      </c>
      <c r="H9" s="9">
        <f>'Data Sheet'!H27</f>
        <v>293.74</v>
      </c>
      <c r="I9" s="9">
        <f>'Data Sheet'!I27</f>
        <v>206.97</v>
      </c>
      <c r="J9" s="9">
        <f>'Data Sheet'!J27</f>
        <v>204.09</v>
      </c>
      <c r="K9" s="9">
        <f>'Data Sheet'!K27</f>
        <v>291.60000000000002</v>
      </c>
      <c r="L9" s="9">
        <f>SUM(Quarters!H9:K9)</f>
        <v>268.10000000000002</v>
      </c>
      <c r="M9" s="9">
        <f>+$L9</f>
        <v>268.10000000000002</v>
      </c>
      <c r="N9" s="9">
        <f>+$L9</f>
        <v>268.10000000000002</v>
      </c>
    </row>
    <row r="10" spans="1:14" x14ac:dyDescent="0.3">
      <c r="A10" s="6" t="s">
        <v>12</v>
      </c>
      <c r="B10" s="9">
        <f>'Data Sheet'!B28</f>
        <v>3.77</v>
      </c>
      <c r="C10" s="9">
        <f>'Data Sheet'!C28</f>
        <v>190.61</v>
      </c>
      <c r="D10" s="9">
        <f>'Data Sheet'!D28</f>
        <v>79.33</v>
      </c>
      <c r="E10" s="9">
        <f>'Data Sheet'!E28</f>
        <v>290.95999999999998</v>
      </c>
      <c r="F10" s="9">
        <f>'Data Sheet'!F28</f>
        <v>433.8</v>
      </c>
      <c r="G10" s="9">
        <f>'Data Sheet'!G28</f>
        <v>696.27</v>
      </c>
      <c r="H10" s="9">
        <f>'Data Sheet'!H28</f>
        <v>362.51</v>
      </c>
      <c r="I10" s="9">
        <f>'Data Sheet'!I28</f>
        <v>1006.61</v>
      </c>
      <c r="J10" s="9">
        <f>'Data Sheet'!J28</f>
        <v>2023.64</v>
      </c>
      <c r="K10" s="9">
        <f>'Data Sheet'!K28</f>
        <v>2739.36</v>
      </c>
      <c r="L10" s="9">
        <f>SUM(Quarters!H10:K10)</f>
        <v>2739.36</v>
      </c>
      <c r="M10" s="9">
        <f>M6+M7-SUM(M8:M9)</f>
        <v>3940.4875656624827</v>
      </c>
      <c r="N10" s="9">
        <f>N6+N7-SUM(N8:N9)</f>
        <v>3115.5436190218634</v>
      </c>
    </row>
    <row r="11" spans="1:14" x14ac:dyDescent="0.3">
      <c r="A11" s="6" t="s">
        <v>13</v>
      </c>
      <c r="B11" s="9">
        <f>'Data Sheet'!B29</f>
        <v>24.81</v>
      </c>
      <c r="C11" s="9">
        <f>'Data Sheet'!C29</f>
        <v>78.849999999999994</v>
      </c>
      <c r="D11" s="9">
        <f>'Data Sheet'!D29</f>
        <v>31.3</v>
      </c>
      <c r="E11" s="9">
        <f>'Data Sheet'!E29</f>
        <v>76.900000000000006</v>
      </c>
      <c r="F11" s="9">
        <f>'Data Sheet'!F29</f>
        <v>133.93</v>
      </c>
      <c r="G11" s="9">
        <f>'Data Sheet'!G29</f>
        <v>224.07</v>
      </c>
      <c r="H11" s="9">
        <f>'Data Sheet'!H29</f>
        <v>5.23</v>
      </c>
      <c r="I11" s="9">
        <f>'Data Sheet'!I29</f>
        <v>260.55</v>
      </c>
      <c r="J11" s="9">
        <f>'Data Sheet'!J29</f>
        <v>473.53</v>
      </c>
      <c r="K11" s="9">
        <f>'Data Sheet'!K29</f>
        <v>637.54999999999995</v>
      </c>
      <c r="L11" s="9">
        <f>SUM(Quarters!H11:K11)</f>
        <v>637.54000000000008</v>
      </c>
      <c r="M11" s="10">
        <f>IF($L10&gt;0,$L11/$L10,0)</f>
        <v>0.23273319315460547</v>
      </c>
      <c r="N11" s="10">
        <f>IF($L10&gt;0,$L11/$L10,0)</f>
        <v>0.23273319315460547</v>
      </c>
    </row>
    <row r="12" spans="1:14" s="8" customFormat="1" x14ac:dyDescent="0.3">
      <c r="A12" s="8" t="s">
        <v>14</v>
      </c>
      <c r="B12" s="1">
        <f>'Data Sheet'!B30</f>
        <v>-20.16</v>
      </c>
      <c r="C12" s="1">
        <f>'Data Sheet'!C30</f>
        <v>113.04</v>
      </c>
      <c r="D12" s="1">
        <f>'Data Sheet'!D30</f>
        <v>42.38</v>
      </c>
      <c r="E12" s="1">
        <f>'Data Sheet'!E30</f>
        <v>210.15</v>
      </c>
      <c r="F12" s="1">
        <f>'Data Sheet'!F30</f>
        <v>292.83999999999997</v>
      </c>
      <c r="G12" s="1">
        <f>'Data Sheet'!G30</f>
        <v>468.98</v>
      </c>
      <c r="H12" s="1">
        <f>'Data Sheet'!H30</f>
        <v>329</v>
      </c>
      <c r="I12" s="1">
        <f>'Data Sheet'!I30</f>
        <v>694.05</v>
      </c>
      <c r="J12" s="1">
        <f>'Data Sheet'!J30</f>
        <v>1497.43</v>
      </c>
      <c r="K12" s="1">
        <f>'Data Sheet'!K30</f>
        <v>2055.92</v>
      </c>
      <c r="L12" s="1">
        <f>SUM(Quarters!H12:K12)</f>
        <v>2055.9199999999996</v>
      </c>
      <c r="M12" s="1">
        <f>M10-M11*M10</f>
        <v>3023.4053119198352</v>
      </c>
      <c r="N12" s="1">
        <f>N10-N11*N10</f>
        <v>2390.4532041544494</v>
      </c>
    </row>
    <row r="13" spans="1:14" x14ac:dyDescent="0.3">
      <c r="A13" s="11" t="s">
        <v>57</v>
      </c>
      <c r="B13" s="9">
        <f>IF('Data Sheet'!B93&gt;0,B12/'Data Sheet'!B93,0)</f>
        <v>-0.22325581395348837</v>
      </c>
      <c r="C13" s="9">
        <f>IF('Data Sheet'!C93&gt;0,C12/'Data Sheet'!C93,0)</f>
        <v>1.2518272425249171</v>
      </c>
      <c r="D13" s="9">
        <f>IF('Data Sheet'!D93&gt;0,D12/'Data Sheet'!D93,0)</f>
        <v>0.34438485291727616</v>
      </c>
      <c r="E13" s="9">
        <f>IF('Data Sheet'!E93&gt;0,E12/'Data Sheet'!E93,0)</f>
        <v>1.7049326626642869</v>
      </c>
      <c r="F13" s="9">
        <f>IF('Data Sheet'!F93&gt;0,F12/'Data Sheet'!F93,0)</f>
        <v>2.3750202757502028</v>
      </c>
      <c r="G13" s="9">
        <f>IF('Data Sheet'!G93&gt;0,G12/'Data Sheet'!G93,0)</f>
        <v>3.6097598522167491</v>
      </c>
      <c r="H13" s="9">
        <f>IF('Data Sheet'!H93&gt;0,H12/'Data Sheet'!H93,0)</f>
        <v>2.5323275862068968</v>
      </c>
      <c r="I13" s="9">
        <f>IF('Data Sheet'!I93&gt;0,I12/'Data Sheet'!I93,0)</f>
        <v>5.3421336206896557</v>
      </c>
      <c r="J13" s="9">
        <f>IF('Data Sheet'!J93&gt;0,J12/'Data Sheet'!J93,0)</f>
        <v>11.52667231160034</v>
      </c>
      <c r="K13" s="9">
        <f>IF('Data Sheet'!K93&gt;0,K12/'Data Sheet'!K93,0)</f>
        <v>15.824507389162564</v>
      </c>
      <c r="L13" s="9">
        <f>IF('Data Sheet'!$B6&gt;0,'Profit &amp; Loss'!L12/'Data Sheet'!$B6,0)</f>
        <v>15.8177678285591</v>
      </c>
      <c r="M13" s="9">
        <f>IF('Data Sheet'!$B6&gt;0,'Profit &amp; Loss'!M12/'Data Sheet'!$B6,0)</f>
        <v>23.261373631065542</v>
      </c>
      <c r="N13" s="9">
        <f>IF('Data Sheet'!$B6&gt;0,'Profit &amp; Loss'!N12/'Data Sheet'!$B6,0)</f>
        <v>18.391588091146676</v>
      </c>
    </row>
    <row r="14" spans="1:14" x14ac:dyDescent="0.3">
      <c r="A14" s="6" t="s">
        <v>16</v>
      </c>
      <c r="B14" s="9" t="str">
        <f>IF(B15&gt;0,B15/B13,"")</f>
        <v/>
      </c>
      <c r="C14" s="9" t="str">
        <f t="shared" ref="C14:K14" si="2">IF(C15&gt;0,C15/C13,"")</f>
        <v/>
      </c>
      <c r="D14" s="9">
        <f t="shared" si="2"/>
        <v>163.71219443133552</v>
      </c>
      <c r="E14" s="9">
        <f t="shared" si="2"/>
        <v>56.764705210563882</v>
      </c>
      <c r="F14" s="9">
        <f t="shared" si="2"/>
        <v>48.930108591722437</v>
      </c>
      <c r="G14" s="9">
        <f t="shared" si="2"/>
        <v>43.623400571452933</v>
      </c>
      <c r="H14" s="9">
        <f t="shared" si="2"/>
        <v>80.388493617021268</v>
      </c>
      <c r="I14" s="9">
        <f t="shared" si="2"/>
        <v>55.427291981845684</v>
      </c>
      <c r="J14" s="9">
        <f t="shared" si="2"/>
        <v>57.369549695144336</v>
      </c>
      <c r="K14" s="9">
        <f t="shared" si="2"/>
        <v>78.163570566948124</v>
      </c>
      <c r="L14" s="9">
        <f t="shared" ref="L14" si="3">IF(L13&gt;0,L15/L13,0)</f>
        <v>93.530896143818836</v>
      </c>
      <c r="M14" s="9">
        <f>M25</f>
        <v>93.530896143818836</v>
      </c>
      <c r="N14" s="9">
        <f>N25</f>
        <v>64.274752047314678</v>
      </c>
    </row>
    <row r="15" spans="1:14" s="8" customFormat="1" x14ac:dyDescent="0.3">
      <c r="A15" s="8" t="s">
        <v>58</v>
      </c>
      <c r="B15" s="1">
        <f>'Data Sheet'!B90</f>
        <v>0</v>
      </c>
      <c r="C15" s="1">
        <f>'Data Sheet'!C90</f>
        <v>0</v>
      </c>
      <c r="D15" s="1">
        <f>'Data Sheet'!D90</f>
        <v>56.38</v>
      </c>
      <c r="E15" s="1">
        <f>'Data Sheet'!E90</f>
        <v>96.78</v>
      </c>
      <c r="F15" s="1">
        <f>'Data Sheet'!F90</f>
        <v>116.21</v>
      </c>
      <c r="G15" s="1">
        <f>'Data Sheet'!G90</f>
        <v>157.47</v>
      </c>
      <c r="H15" s="1">
        <f>'Data Sheet'!H90</f>
        <v>203.57</v>
      </c>
      <c r="I15" s="1">
        <f>'Data Sheet'!I90</f>
        <v>296.10000000000002</v>
      </c>
      <c r="J15" s="1">
        <f>'Data Sheet'!J90</f>
        <v>661.28</v>
      </c>
      <c r="K15" s="1">
        <f>'Data Sheet'!K90</f>
        <v>1236.9000000000001</v>
      </c>
      <c r="L15" s="1">
        <f>'Data Sheet'!B8</f>
        <v>1479.45</v>
      </c>
      <c r="M15" s="12">
        <f>M13*M14</f>
        <v>2175.6571212497574</v>
      </c>
      <c r="N15" s="13">
        <f>N13*N14</f>
        <v>1182.1147643147981</v>
      </c>
    </row>
    <row r="17" spans="1:14" s="8" customFormat="1" x14ac:dyDescent="0.3">
      <c r="A17" s="8" t="s">
        <v>15</v>
      </c>
    </row>
    <row r="18" spans="1:14" x14ac:dyDescent="0.3">
      <c r="A18" s="6" t="s">
        <v>17</v>
      </c>
      <c r="B18" s="7">
        <f>IF('Data Sheet'!B30&gt;0, 'Data Sheet'!B31/'Data Sheet'!B30, 0)</f>
        <v>0</v>
      </c>
      <c r="C18" s="7">
        <f>IF('Data Sheet'!C30&gt;0, 'Data Sheet'!C31/'Data Sheet'!C30, 0)</f>
        <v>0</v>
      </c>
      <c r="D18" s="7">
        <f>IF('Data Sheet'!D30&gt;0, 'Data Sheet'!D31/'Data Sheet'!D30, 0)</f>
        <v>0</v>
      </c>
      <c r="E18" s="7">
        <f>IF('Data Sheet'!E30&gt;0, 'Data Sheet'!E31/'Data Sheet'!E30, 0)</f>
        <v>0.2172257911015941</v>
      </c>
      <c r="F18" s="7">
        <f>IF('Data Sheet'!F30&gt;0, 'Data Sheet'!F31/'Data Sheet'!F30, 0)</f>
        <v>0.15592132222373992</v>
      </c>
      <c r="G18" s="7">
        <f>IF('Data Sheet'!G30&gt;0, 'Data Sheet'!G31/'Data Sheet'!G30, 0)</f>
        <v>0.15388715936713718</v>
      </c>
      <c r="H18" s="7">
        <f>IF('Data Sheet'!H30&gt;0, 'Data Sheet'!H31/'Data Sheet'!H30, 0)</f>
        <v>0.21936170212765957</v>
      </c>
      <c r="I18" s="7">
        <f>IF('Data Sheet'!I30&gt;0, 'Data Sheet'!I31/'Data Sheet'!I30, 0)</f>
        <v>0.15598299834305887</v>
      </c>
      <c r="J18" s="7">
        <f>IF('Data Sheet'!J30&gt;0, 'Data Sheet'!J31/'Data Sheet'!J30, 0)</f>
        <v>0.15182011846964466</v>
      </c>
      <c r="K18" s="7">
        <f>IF('Data Sheet'!K30&gt;0, 'Data Sheet'!K31/'Data Sheet'!K30, 0)</f>
        <v>0.15798280088719405</v>
      </c>
    </row>
    <row r="19" spans="1:14" x14ac:dyDescent="0.3">
      <c r="A19" s="6" t="s">
        <v>18</v>
      </c>
      <c r="B19" s="7">
        <f t="shared" ref="B19:L19" si="4">IF(B6&gt;0,B6/B4,0)</f>
        <v>0.15460757672634284</v>
      </c>
      <c r="C19" s="7">
        <f t="shared" ref="C19:K19" si="5">IF(C6&gt;0,C6/C4,0)</f>
        <v>0.18928800815523206</v>
      </c>
      <c r="D19" s="7">
        <f t="shared" si="5"/>
        <v>0.20965352560616202</v>
      </c>
      <c r="E19" s="7">
        <f t="shared" si="5"/>
        <v>0.20939718349260902</v>
      </c>
      <c r="F19" s="7">
        <f t="shared" si="5"/>
        <v>0.20288878529203208</v>
      </c>
      <c r="G19" s="7">
        <f t="shared" si="5"/>
        <v>0.20510605112783639</v>
      </c>
      <c r="H19" s="7">
        <f t="shared" si="5"/>
        <v>0.18836180299962482</v>
      </c>
      <c r="I19" s="7">
        <f t="shared" si="5"/>
        <v>0.19198751477633452</v>
      </c>
      <c r="J19" s="7">
        <f t="shared" si="5"/>
        <v>0.21733618560191406</v>
      </c>
      <c r="K19" s="7">
        <f t="shared" si="5"/>
        <v>0.23167969241855113</v>
      </c>
      <c r="L19" s="7">
        <f t="shared" si="4"/>
        <v>0.22495120800319651</v>
      </c>
    </row>
    <row r="20" spans="1:14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3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3">
      <c r="A23" s="6"/>
      <c r="B23" s="6"/>
      <c r="C23" s="6"/>
      <c r="D23" s="6"/>
      <c r="E23" s="6"/>
      <c r="F23" s="6"/>
      <c r="G23" s="6" t="s">
        <v>22</v>
      </c>
      <c r="H23" s="7">
        <f>IF(B4=0,"",POWER($K4/B4,1/9)-1)</f>
        <v>0.22929891422736759</v>
      </c>
      <c r="I23" s="7">
        <f>IF(D4=0,"",POWER($K4/D4,1/7)-1)</f>
        <v>0.22564551632226926</v>
      </c>
      <c r="J23" s="7">
        <f>IF(F4=0,"",POWER($K4/F4,1/5)-1)</f>
        <v>0.2573357665494036</v>
      </c>
      <c r="K23" s="7">
        <f>IF(H4=0,"",POWER($K4/H4, 1/3)-1)</f>
        <v>0.35488267941904139</v>
      </c>
      <c r="L23" s="7">
        <f>IF(ISERROR(MAX(IF(J4=0,"",(K4-J4)/J4),IF(K4=0,"",(L4-K4)/K4))),"",MAX(IF(J4=0,"",(K4-J4)/J4),IF(K4=0,"",(L4-K4)/K4)))</f>
        <v>0.21782505917343933</v>
      </c>
      <c r="M23" s="22">
        <f>MAX(K23:L23)</f>
        <v>0.35488267941904139</v>
      </c>
      <c r="N23" s="22">
        <f>MIN(H23:L23)</f>
        <v>0.21782505917343933</v>
      </c>
    </row>
    <row r="24" spans="1:14" x14ac:dyDescent="0.3">
      <c r="G24" s="6" t="s">
        <v>18</v>
      </c>
      <c r="H24" s="7">
        <f>IF(SUM(B4:$K$4)=0,"",SUMPRODUCT(B19:$K$19,B4:$K$4)/SUM(B4:$K$4))</f>
        <v>0.20804327831137287</v>
      </c>
      <c r="I24" s="7">
        <f>IF(SUM(E4:$K$4)=0,"",SUMPRODUCT(E19:$K$19,E4:$K$4)/SUM(E4:$K$4))</f>
        <v>0.21119108041220877</v>
      </c>
      <c r="J24" s="7">
        <f>IF(SUM(G4:$K$4)=0,"",SUMPRODUCT(G19:$K$19,G4:$K$4)/SUM(G4:$K$4))</f>
        <v>0.21215133981561315</v>
      </c>
      <c r="K24" s="7">
        <f>IF(SUM(I4:$K$4)=0, "", SUMPRODUCT(I19:$K$19,I4:$K$4)/SUM(I4:$K$4))</f>
        <v>0.21750574082617938</v>
      </c>
      <c r="L24" s="7">
        <f>L19</f>
        <v>0.22495120800319651</v>
      </c>
      <c r="M24" s="22">
        <f>MAX(K24:L24)</f>
        <v>0.22495120800319651</v>
      </c>
      <c r="N24" s="22">
        <f>MIN(H24:L24)</f>
        <v>0.20804327831137287</v>
      </c>
    </row>
    <row r="25" spans="1:14" x14ac:dyDescent="0.3">
      <c r="G25" s="6" t="s">
        <v>23</v>
      </c>
      <c r="H25" s="9">
        <f>IF(ISERROR(AVERAGEIF(B14:$L14,"&gt;0")),"",AVERAGEIF(B14:$L14,"&gt;0"))</f>
        <v>75.323356756650327</v>
      </c>
      <c r="I25" s="9">
        <f>IF(ISERROR(AVERAGEIF(E14:$L14,"&gt;0")),"",AVERAGEIF(E14:$L14,"&gt;0"))</f>
        <v>64.274752047314678</v>
      </c>
      <c r="J25" s="9">
        <f>IF(ISERROR(AVERAGEIF(G14:$L14,"&gt;0")),"",AVERAGEIF(G14:$L14,"&gt;0"))</f>
        <v>68.083867096038531</v>
      </c>
      <c r="K25" s="9">
        <f>IF(ISERROR(AVERAGEIF(I14:$L14,"&gt;0")),"",AVERAGEIF(I14:$L14,"&gt;0"))</f>
        <v>71.122827096939247</v>
      </c>
      <c r="L25" s="9">
        <f>L14</f>
        <v>93.530896143818836</v>
      </c>
      <c r="M25" s="1">
        <f>MAX(K25:L25)</f>
        <v>93.530896143818836</v>
      </c>
      <c r="N25" s="1">
        <f>MIN(H25:L25)</f>
        <v>64.274752047314678</v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7734375" defaultRowHeight="14.4" x14ac:dyDescent="0.3"/>
  <cols>
    <col min="1" max="1" width="20.6640625" style="6" customWidth="1"/>
    <col min="2" max="11" width="13.44140625" style="6" bestFit="1" customWidth="1"/>
    <col min="12" max="16384" width="8.77734375" style="6"/>
  </cols>
  <sheetData>
    <row r="1" spans="1:11" s="8" customFormat="1" x14ac:dyDescent="0.3">
      <c r="A1" s="8" t="str">
        <f>'Profit &amp; Loss'!A1</f>
        <v>VARUN BEVERAGES LTD</v>
      </c>
      <c r="E1" t="str">
        <f>UPDATE</f>
        <v/>
      </c>
      <c r="J1" s="4" t="s">
        <v>1</v>
      </c>
      <c r="K1" s="4"/>
    </row>
    <row r="3" spans="1:11" s="2" customFormat="1" x14ac:dyDescent="0.3">
      <c r="A3" s="15" t="s">
        <v>2</v>
      </c>
      <c r="B3" s="16">
        <f>'Data Sheet'!B41</f>
        <v>44469</v>
      </c>
      <c r="C3" s="16">
        <f>'Data Sheet'!C41</f>
        <v>44561</v>
      </c>
      <c r="D3" s="16">
        <f>'Data Sheet'!D41</f>
        <v>44651</v>
      </c>
      <c r="E3" s="16">
        <f>'Data Sheet'!E41</f>
        <v>44742</v>
      </c>
      <c r="F3" s="16">
        <f>'Data Sheet'!F41</f>
        <v>44834</v>
      </c>
      <c r="G3" s="16">
        <f>'Data Sheet'!G41</f>
        <v>44926</v>
      </c>
      <c r="H3" s="16">
        <f>'Data Sheet'!H41</f>
        <v>45016</v>
      </c>
      <c r="I3" s="16">
        <f>'Data Sheet'!I41</f>
        <v>45107</v>
      </c>
      <c r="J3" s="16">
        <f>'Data Sheet'!J41</f>
        <v>45199</v>
      </c>
      <c r="K3" s="16">
        <f>'Data Sheet'!K41</f>
        <v>45291</v>
      </c>
    </row>
    <row r="4" spans="1:11" s="8" customFormat="1" x14ac:dyDescent="0.3">
      <c r="A4" s="8" t="s">
        <v>6</v>
      </c>
      <c r="B4" s="1">
        <f>'Data Sheet'!B42</f>
        <v>2398.16</v>
      </c>
      <c r="C4" s="1">
        <f>'Data Sheet'!C42</f>
        <v>1734.34</v>
      </c>
      <c r="D4" s="1">
        <f>'Data Sheet'!D42</f>
        <v>2827.47</v>
      </c>
      <c r="E4" s="1">
        <f>'Data Sheet'!E42</f>
        <v>4954.82</v>
      </c>
      <c r="F4" s="1">
        <f>'Data Sheet'!F42</f>
        <v>3176.62</v>
      </c>
      <c r="G4" s="1">
        <f>'Data Sheet'!G42</f>
        <v>2214.2399999999998</v>
      </c>
      <c r="H4" s="1">
        <f>'Data Sheet'!H42</f>
        <v>3892.98</v>
      </c>
      <c r="I4" s="1">
        <f>'Data Sheet'!I42</f>
        <v>5611.4</v>
      </c>
      <c r="J4" s="1">
        <f>'Data Sheet'!J42</f>
        <v>3870.52</v>
      </c>
      <c r="K4" s="1">
        <f>'Data Sheet'!K42</f>
        <v>2667.69</v>
      </c>
    </row>
    <row r="5" spans="1:11" x14ac:dyDescent="0.3">
      <c r="A5" s="6" t="s">
        <v>7</v>
      </c>
      <c r="B5" s="9">
        <f>'Data Sheet'!B43</f>
        <v>1903.5</v>
      </c>
      <c r="C5" s="9">
        <f>'Data Sheet'!C43</f>
        <v>1526.77</v>
      </c>
      <c r="D5" s="9">
        <f>'Data Sheet'!D43</f>
        <v>2296.4699999999998</v>
      </c>
      <c r="E5" s="9">
        <f>'Data Sheet'!E43</f>
        <v>3704.2</v>
      </c>
      <c r="F5" s="9">
        <f>'Data Sheet'!F43</f>
        <v>2477.63</v>
      </c>
      <c r="G5" s="9">
        <f>'Data Sheet'!G43</f>
        <v>1906.75</v>
      </c>
      <c r="H5" s="9">
        <f>'Data Sheet'!H43</f>
        <v>3094.97</v>
      </c>
      <c r="I5" s="9">
        <f>'Data Sheet'!I43</f>
        <v>4100.62</v>
      </c>
      <c r="J5" s="9">
        <f>'Data Sheet'!J43</f>
        <v>2988.8</v>
      </c>
      <c r="K5" s="9">
        <f>'Data Sheet'!K43</f>
        <v>2249.4</v>
      </c>
    </row>
    <row r="6" spans="1:11" s="8" customFormat="1" x14ac:dyDescent="0.3">
      <c r="A6" s="8" t="s">
        <v>8</v>
      </c>
      <c r="B6" s="1">
        <f>'Data Sheet'!B50</f>
        <v>494.66</v>
      </c>
      <c r="C6" s="1">
        <f>'Data Sheet'!C50</f>
        <v>207.57</v>
      </c>
      <c r="D6" s="1">
        <f>'Data Sheet'!D50</f>
        <v>531</v>
      </c>
      <c r="E6" s="1">
        <f>'Data Sheet'!E50</f>
        <v>1250.6199999999999</v>
      </c>
      <c r="F6" s="1">
        <f>'Data Sheet'!F50</f>
        <v>698.99</v>
      </c>
      <c r="G6" s="1">
        <f>'Data Sheet'!G50</f>
        <v>307.49</v>
      </c>
      <c r="H6" s="1">
        <f>'Data Sheet'!H50</f>
        <v>798.01</v>
      </c>
      <c r="I6" s="1">
        <f>'Data Sheet'!I50</f>
        <v>1510.78</v>
      </c>
      <c r="J6" s="1">
        <f>'Data Sheet'!J50</f>
        <v>881.72</v>
      </c>
      <c r="K6" s="1">
        <f>'Data Sheet'!K50</f>
        <v>418.29</v>
      </c>
    </row>
    <row r="7" spans="1:11" x14ac:dyDescent="0.3">
      <c r="A7" s="6" t="s">
        <v>9</v>
      </c>
      <c r="B7" s="9">
        <f>'Data Sheet'!B44</f>
        <v>36.93</v>
      </c>
      <c r="C7" s="9">
        <f>'Data Sheet'!C44</f>
        <v>0.85</v>
      </c>
      <c r="D7" s="9">
        <f>'Data Sheet'!D44</f>
        <v>8.51</v>
      </c>
      <c r="E7" s="9">
        <f>'Data Sheet'!E44</f>
        <v>10.48</v>
      </c>
      <c r="F7" s="9">
        <f>'Data Sheet'!F44</f>
        <v>10.62</v>
      </c>
      <c r="G7" s="9">
        <f>'Data Sheet'!G44</f>
        <v>9.25</v>
      </c>
      <c r="H7" s="9">
        <f>'Data Sheet'!H44</f>
        <v>10.14</v>
      </c>
      <c r="I7" s="9">
        <f>'Data Sheet'!I44</f>
        <v>41.6</v>
      </c>
      <c r="J7" s="9">
        <f>'Data Sheet'!J44</f>
        <v>18.510000000000002</v>
      </c>
      <c r="K7" s="9">
        <f>'Data Sheet'!K44</f>
        <v>9.32</v>
      </c>
    </row>
    <row r="8" spans="1:11" x14ac:dyDescent="0.3">
      <c r="A8" s="6" t="s">
        <v>10</v>
      </c>
      <c r="B8" s="9">
        <f>'Data Sheet'!B45</f>
        <v>138.49</v>
      </c>
      <c r="C8" s="9">
        <f>'Data Sheet'!C45</f>
        <v>129.27000000000001</v>
      </c>
      <c r="D8" s="9">
        <f>'Data Sheet'!D45</f>
        <v>131.32</v>
      </c>
      <c r="E8" s="9">
        <f>'Data Sheet'!E45</f>
        <v>153.07</v>
      </c>
      <c r="F8" s="9">
        <f>'Data Sheet'!F45</f>
        <v>153.13999999999999</v>
      </c>
      <c r="G8" s="9">
        <f>'Data Sheet'!G45</f>
        <v>179.66</v>
      </c>
      <c r="H8" s="9">
        <f>'Data Sheet'!H45</f>
        <v>172.2</v>
      </c>
      <c r="I8" s="9">
        <f>'Data Sheet'!I45</f>
        <v>171.93</v>
      </c>
      <c r="J8" s="9">
        <f>'Data Sheet'!J45</f>
        <v>170.81</v>
      </c>
      <c r="K8" s="9">
        <f>'Data Sheet'!K45</f>
        <v>165.97</v>
      </c>
    </row>
    <row r="9" spans="1:11" x14ac:dyDescent="0.3">
      <c r="A9" s="6" t="s">
        <v>11</v>
      </c>
      <c r="B9" s="9">
        <f>'Data Sheet'!B46</f>
        <v>42.69</v>
      </c>
      <c r="C9" s="9">
        <f>'Data Sheet'!C46</f>
        <v>37.29</v>
      </c>
      <c r="D9" s="9">
        <f>'Data Sheet'!D46</f>
        <v>46.96</v>
      </c>
      <c r="E9" s="9">
        <f>'Data Sheet'!E46</f>
        <v>46.4</v>
      </c>
      <c r="F9" s="9">
        <f>'Data Sheet'!F46</f>
        <v>45.29</v>
      </c>
      <c r="G9" s="9">
        <f>'Data Sheet'!G46</f>
        <v>47.48</v>
      </c>
      <c r="H9" s="9">
        <f>'Data Sheet'!H46</f>
        <v>62.57</v>
      </c>
      <c r="I9" s="9">
        <f>'Data Sheet'!I46</f>
        <v>69.37</v>
      </c>
      <c r="J9" s="9">
        <f>'Data Sheet'!J46</f>
        <v>62.5</v>
      </c>
      <c r="K9" s="9">
        <f>'Data Sheet'!K46</f>
        <v>73.66</v>
      </c>
    </row>
    <row r="10" spans="1:11" x14ac:dyDescent="0.3">
      <c r="A10" s="6" t="s">
        <v>12</v>
      </c>
      <c r="B10" s="9">
        <f>'Data Sheet'!B47</f>
        <v>350.41</v>
      </c>
      <c r="C10" s="9">
        <f>'Data Sheet'!C47</f>
        <v>41.86</v>
      </c>
      <c r="D10" s="9">
        <f>'Data Sheet'!D47</f>
        <v>361.23</v>
      </c>
      <c r="E10" s="9">
        <f>'Data Sheet'!E47</f>
        <v>1061.6300000000001</v>
      </c>
      <c r="F10" s="9">
        <f>'Data Sheet'!F47</f>
        <v>511.18</v>
      </c>
      <c r="G10" s="9">
        <f>'Data Sheet'!G47</f>
        <v>89.6</v>
      </c>
      <c r="H10" s="9">
        <f>'Data Sheet'!H47</f>
        <v>573.38</v>
      </c>
      <c r="I10" s="9">
        <f>'Data Sheet'!I47</f>
        <v>1311.08</v>
      </c>
      <c r="J10" s="9">
        <f>'Data Sheet'!J47</f>
        <v>666.92</v>
      </c>
      <c r="K10" s="9">
        <f>'Data Sheet'!K47</f>
        <v>187.98</v>
      </c>
    </row>
    <row r="11" spans="1:11" x14ac:dyDescent="0.3">
      <c r="A11" s="6" t="s">
        <v>13</v>
      </c>
      <c r="B11" s="9">
        <f>'Data Sheet'!B48</f>
        <v>92.51</v>
      </c>
      <c r="C11" s="9">
        <f>'Data Sheet'!C48</f>
        <v>9.27</v>
      </c>
      <c r="D11" s="9">
        <f>'Data Sheet'!D48</f>
        <v>90.14</v>
      </c>
      <c r="E11" s="9">
        <f>'Data Sheet'!E48</f>
        <v>259.61</v>
      </c>
      <c r="F11" s="9">
        <f>'Data Sheet'!F48</f>
        <v>115.69</v>
      </c>
      <c r="G11" s="9">
        <f>'Data Sheet'!G48</f>
        <v>8.08</v>
      </c>
      <c r="H11" s="9">
        <f>'Data Sheet'!H48</f>
        <v>134.80000000000001</v>
      </c>
      <c r="I11" s="9">
        <f>'Data Sheet'!I48</f>
        <v>305.66000000000003</v>
      </c>
      <c r="J11" s="9">
        <f>'Data Sheet'!J48</f>
        <v>152.86000000000001</v>
      </c>
      <c r="K11" s="9">
        <f>'Data Sheet'!K48</f>
        <v>44.22</v>
      </c>
    </row>
    <row r="12" spans="1:11" s="8" customFormat="1" x14ac:dyDescent="0.3">
      <c r="A12" s="8" t="s">
        <v>14</v>
      </c>
      <c r="B12" s="1">
        <f>'Data Sheet'!B49</f>
        <v>240.14</v>
      </c>
      <c r="C12" s="1">
        <f>'Data Sheet'!C49</f>
        <v>16.489999999999998</v>
      </c>
      <c r="D12" s="1">
        <f>'Data Sheet'!D49</f>
        <v>254.21</v>
      </c>
      <c r="E12" s="1">
        <f>'Data Sheet'!E49</f>
        <v>787.44</v>
      </c>
      <c r="F12" s="1">
        <f>'Data Sheet'!F49</f>
        <v>381.04</v>
      </c>
      <c r="G12" s="1">
        <f>'Data Sheet'!G49</f>
        <v>74.75</v>
      </c>
      <c r="H12" s="1">
        <f>'Data Sheet'!H49</f>
        <v>429.07</v>
      </c>
      <c r="I12" s="1">
        <f>'Data Sheet'!I49</f>
        <v>993.81</v>
      </c>
      <c r="J12" s="1">
        <f>'Data Sheet'!J49</f>
        <v>501.07</v>
      </c>
      <c r="K12" s="1">
        <f>'Data Sheet'!K49</f>
        <v>131.97</v>
      </c>
    </row>
    <row r="14" spans="1:11" s="8" customFormat="1" x14ac:dyDescent="0.3">
      <c r="A14" s="2" t="s">
        <v>18</v>
      </c>
      <c r="B14" s="14">
        <f>IF(B4&gt;0,B6/B4,"")</f>
        <v>0.20626647096107018</v>
      </c>
      <c r="C14" s="14">
        <f t="shared" ref="C14:K14" si="0">IF(C4&gt;0,C6/C4,"")</f>
        <v>0.1196824152127034</v>
      </c>
      <c r="D14" s="14">
        <f t="shared" si="0"/>
        <v>0.1878004010652633</v>
      </c>
      <c r="E14" s="14">
        <f t="shared" si="0"/>
        <v>0.25240472913244072</v>
      </c>
      <c r="F14" s="14">
        <f t="shared" si="0"/>
        <v>0.2200420572810094</v>
      </c>
      <c r="G14" s="14">
        <f t="shared" si="0"/>
        <v>0.13886931859238386</v>
      </c>
      <c r="H14" s="14">
        <f t="shared" si="0"/>
        <v>0.20498692518327863</v>
      </c>
      <c r="I14" s="14">
        <f t="shared" si="0"/>
        <v>0.26923405923655419</v>
      </c>
      <c r="J14" s="14">
        <f t="shared" si="0"/>
        <v>0.22780401599785044</v>
      </c>
      <c r="K14" s="14">
        <f t="shared" si="0"/>
        <v>0.15679857854548318</v>
      </c>
    </row>
    <row r="22" s="30" customFormat="1" x14ac:dyDescent="0.3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25"/>
  <sheetViews>
    <sheetView zoomScale="125" workbookViewId="0">
      <pane xSplit="1" ySplit="3" topLeftCell="E19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defaultColWidth="8.77734375" defaultRowHeight="14.4" x14ac:dyDescent="0.3"/>
  <cols>
    <col min="1" max="1" width="22.77734375" style="11" bestFit="1" customWidth="1"/>
    <col min="2" max="2" width="13.44140625" style="11" customWidth="1"/>
    <col min="3" max="11" width="15.44140625" style="11" customWidth="1"/>
    <col min="12" max="16384" width="8.77734375" style="11"/>
  </cols>
  <sheetData>
    <row r="1" spans="1:11" s="8" customFormat="1" x14ac:dyDescent="0.3">
      <c r="A1" s="8" t="str">
        <f>'Profit &amp; Loss'!A1</f>
        <v>VARUN BEVERAGES LTD</v>
      </c>
      <c r="E1" t="str">
        <f>UPDATE</f>
        <v/>
      </c>
      <c r="G1"/>
      <c r="J1" s="4" t="s">
        <v>1</v>
      </c>
      <c r="K1" s="4"/>
    </row>
    <row r="2" spans="1:11" x14ac:dyDescent="0.3">
      <c r="G2" s="8"/>
      <c r="H2" s="8"/>
    </row>
    <row r="3" spans="1:11" s="18" customFormat="1" x14ac:dyDescent="0.3">
      <c r="A3" s="15" t="s">
        <v>2</v>
      </c>
      <c r="B3" s="16">
        <f>'Data Sheet'!B56</f>
        <v>42004</v>
      </c>
      <c r="C3" s="16">
        <f>'Data Sheet'!C56</f>
        <v>42369</v>
      </c>
      <c r="D3" s="16">
        <f>'Data Sheet'!D56</f>
        <v>42735</v>
      </c>
      <c r="E3" s="16">
        <f>'Data Sheet'!E56</f>
        <v>43100</v>
      </c>
      <c r="F3" s="16">
        <f>'Data Sheet'!F56</f>
        <v>43465</v>
      </c>
      <c r="G3" s="16">
        <f>'Data Sheet'!G56</f>
        <v>43830</v>
      </c>
      <c r="H3" s="16">
        <f>'Data Sheet'!H56</f>
        <v>44196</v>
      </c>
      <c r="I3" s="16">
        <f>'Data Sheet'!I56</f>
        <v>44561</v>
      </c>
      <c r="J3" s="16">
        <f>'Data Sheet'!J56</f>
        <v>44926</v>
      </c>
      <c r="K3" s="16">
        <f>'Data Sheet'!K56</f>
        <v>45291</v>
      </c>
    </row>
    <row r="4" spans="1:11" x14ac:dyDescent="0.3">
      <c r="A4" s="6" t="s">
        <v>24</v>
      </c>
      <c r="B4" s="19">
        <f>'Data Sheet'!B57</f>
        <v>133.77000000000001</v>
      </c>
      <c r="C4" s="19">
        <f>'Data Sheet'!C57</f>
        <v>133.77000000000001</v>
      </c>
      <c r="D4" s="19">
        <f>'Data Sheet'!D57</f>
        <v>182.31</v>
      </c>
      <c r="E4" s="19">
        <f>'Data Sheet'!E57</f>
        <v>182.59</v>
      </c>
      <c r="F4" s="19">
        <f>'Data Sheet'!F57</f>
        <v>182.64</v>
      </c>
      <c r="G4" s="19">
        <f>'Data Sheet'!G57</f>
        <v>288.69</v>
      </c>
      <c r="H4" s="19">
        <f>'Data Sheet'!H57</f>
        <v>288.69</v>
      </c>
      <c r="I4" s="19">
        <f>'Data Sheet'!I57</f>
        <v>433.03</v>
      </c>
      <c r="J4" s="19">
        <f>'Data Sheet'!J57</f>
        <v>649.54999999999995</v>
      </c>
      <c r="K4" s="19">
        <f>'Data Sheet'!K57</f>
        <v>649.61</v>
      </c>
    </row>
    <row r="5" spans="1:11" s="6" customFormat="1" x14ac:dyDescent="0.3">
      <c r="A5" s="6" t="s">
        <v>25</v>
      </c>
      <c r="B5" s="19">
        <f>'Data Sheet'!B58</f>
        <v>9.31</v>
      </c>
      <c r="C5" s="19">
        <f>'Data Sheet'!C58</f>
        <v>90.51</v>
      </c>
      <c r="D5" s="19">
        <f>'Data Sheet'!D58</f>
        <v>1511.28</v>
      </c>
      <c r="E5" s="19">
        <f>'Data Sheet'!E58</f>
        <v>1586.84</v>
      </c>
      <c r="F5" s="19">
        <f>'Data Sheet'!F58</f>
        <v>1815.86</v>
      </c>
      <c r="G5" s="19">
        <f>'Data Sheet'!G58</f>
        <v>3039.73</v>
      </c>
      <c r="H5" s="19">
        <f>'Data Sheet'!H58</f>
        <v>3235.31</v>
      </c>
      <c r="I5" s="19">
        <f>'Data Sheet'!I58</f>
        <v>3646.88</v>
      </c>
      <c r="J5" s="19">
        <f>'Data Sheet'!J58</f>
        <v>4452.83</v>
      </c>
      <c r="K5" s="19">
        <f>'Data Sheet'!K58</f>
        <v>6286.89</v>
      </c>
    </row>
    <row r="6" spans="1:11" x14ac:dyDescent="0.3">
      <c r="A6" s="11" t="s">
        <v>71</v>
      </c>
      <c r="B6" s="19">
        <f>'Data Sheet'!B59</f>
        <v>2415.31</v>
      </c>
      <c r="C6" s="19">
        <f>'Data Sheet'!C59</f>
        <v>2077.35</v>
      </c>
      <c r="D6" s="19">
        <f>'Data Sheet'!D59</f>
        <v>2215.4</v>
      </c>
      <c r="E6" s="19">
        <f>'Data Sheet'!E59</f>
        <v>2653.7</v>
      </c>
      <c r="F6" s="19">
        <f>'Data Sheet'!F59</f>
        <v>2807.87</v>
      </c>
      <c r="G6" s="19">
        <f>'Data Sheet'!G59</f>
        <v>3417.18</v>
      </c>
      <c r="H6" s="19">
        <f>'Data Sheet'!H59</f>
        <v>3216.12</v>
      </c>
      <c r="I6" s="19">
        <f>'Data Sheet'!I59</f>
        <v>3386.76</v>
      </c>
      <c r="J6" s="19">
        <f>'Data Sheet'!J59</f>
        <v>3883.81</v>
      </c>
      <c r="K6" s="19">
        <f>'Data Sheet'!K59</f>
        <v>5431.31</v>
      </c>
    </row>
    <row r="7" spans="1:11" s="6" customFormat="1" x14ac:dyDescent="0.3">
      <c r="A7" s="11" t="s">
        <v>72</v>
      </c>
      <c r="B7" s="19">
        <f>'Data Sheet'!B60</f>
        <v>733.25</v>
      </c>
      <c r="C7" s="19">
        <f>'Data Sheet'!C60</f>
        <v>2129.62</v>
      </c>
      <c r="D7" s="19">
        <f>'Data Sheet'!D60</f>
        <v>915.43</v>
      </c>
      <c r="E7" s="19">
        <f>'Data Sheet'!E60</f>
        <v>852.48</v>
      </c>
      <c r="F7" s="19">
        <f>'Data Sheet'!F60</f>
        <v>1191.6400000000001</v>
      </c>
      <c r="G7" s="19">
        <f>'Data Sheet'!G60</f>
        <v>1629.98</v>
      </c>
      <c r="H7" s="19">
        <f>'Data Sheet'!H60</f>
        <v>1707.24</v>
      </c>
      <c r="I7" s="19">
        <f>'Data Sheet'!I60</f>
        <v>2112.81</v>
      </c>
      <c r="J7" s="19">
        <f>'Data Sheet'!J60</f>
        <v>2632.05</v>
      </c>
      <c r="K7" s="19">
        <f>'Data Sheet'!K60</f>
        <v>2819.37</v>
      </c>
    </row>
    <row r="8" spans="1:11" s="8" customFormat="1" x14ac:dyDescent="0.3">
      <c r="A8" s="8" t="s">
        <v>26</v>
      </c>
      <c r="B8" s="20">
        <f>'Data Sheet'!B61</f>
        <v>3291.64</v>
      </c>
      <c r="C8" s="20">
        <f>'Data Sheet'!C61</f>
        <v>4431.25</v>
      </c>
      <c r="D8" s="20">
        <f>'Data Sheet'!D61</f>
        <v>4824.42</v>
      </c>
      <c r="E8" s="20">
        <f>'Data Sheet'!E61</f>
        <v>5275.61</v>
      </c>
      <c r="F8" s="20">
        <f>'Data Sheet'!F61</f>
        <v>5998.01</v>
      </c>
      <c r="G8" s="20">
        <f>'Data Sheet'!G61</f>
        <v>8375.58</v>
      </c>
      <c r="H8" s="20">
        <f>'Data Sheet'!H61</f>
        <v>8447.36</v>
      </c>
      <c r="I8" s="20">
        <f>'Data Sheet'!I61</f>
        <v>9579.48</v>
      </c>
      <c r="J8" s="20">
        <f>'Data Sheet'!J61</f>
        <v>11618.24</v>
      </c>
      <c r="K8" s="20">
        <f>'Data Sheet'!K61</f>
        <v>15187.18</v>
      </c>
    </row>
    <row r="9" spans="1:11" s="8" customFormat="1" x14ac:dyDescent="0.3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3">
      <c r="A10" s="6" t="s">
        <v>27</v>
      </c>
      <c r="B10" s="19">
        <f>'Data Sheet'!B62</f>
        <v>2354.87</v>
      </c>
      <c r="C10" s="19">
        <f>'Data Sheet'!C62</f>
        <v>3495.57</v>
      </c>
      <c r="D10" s="19">
        <f>'Data Sheet'!D62</f>
        <v>3715.5</v>
      </c>
      <c r="E10" s="19">
        <f>'Data Sheet'!E62</f>
        <v>3980.52</v>
      </c>
      <c r="F10" s="19">
        <f>'Data Sheet'!F62</f>
        <v>4386.97</v>
      </c>
      <c r="G10" s="19">
        <f>'Data Sheet'!G62</f>
        <v>6479.04</v>
      </c>
      <c r="H10" s="19">
        <f>'Data Sheet'!H62</f>
        <v>6408.62</v>
      </c>
      <c r="I10" s="19">
        <f>'Data Sheet'!I62</f>
        <v>6310.78</v>
      </c>
      <c r="J10" s="19">
        <f>'Data Sheet'!J62</f>
        <v>6932.22</v>
      </c>
      <c r="K10" s="19">
        <f>'Data Sheet'!K62</f>
        <v>8409.17</v>
      </c>
    </row>
    <row r="11" spans="1:11" x14ac:dyDescent="0.3">
      <c r="A11" s="6" t="s">
        <v>28</v>
      </c>
      <c r="B11" s="19">
        <f>'Data Sheet'!B63</f>
        <v>24.75</v>
      </c>
      <c r="C11" s="19">
        <f>'Data Sheet'!C63</f>
        <v>37.909999999999997</v>
      </c>
      <c r="D11" s="19">
        <f>'Data Sheet'!D63</f>
        <v>95.58</v>
      </c>
      <c r="E11" s="19">
        <f>'Data Sheet'!E63</f>
        <v>145.44</v>
      </c>
      <c r="F11" s="19">
        <f>'Data Sheet'!F63</f>
        <v>352.36</v>
      </c>
      <c r="G11" s="19">
        <f>'Data Sheet'!G63</f>
        <v>63.82</v>
      </c>
      <c r="H11" s="19">
        <f>'Data Sheet'!H63</f>
        <v>66.819999999999993</v>
      </c>
      <c r="I11" s="19">
        <f>'Data Sheet'!I63</f>
        <v>496.61</v>
      </c>
      <c r="J11" s="19">
        <f>'Data Sheet'!J63</f>
        <v>606.63</v>
      </c>
      <c r="K11" s="19">
        <f>'Data Sheet'!K63</f>
        <v>1922.22</v>
      </c>
    </row>
    <row r="12" spans="1:11" x14ac:dyDescent="0.3">
      <c r="A12" s="6" t="s">
        <v>29</v>
      </c>
      <c r="B12" s="19">
        <f>'Data Sheet'!B64</f>
        <v>303.74</v>
      </c>
      <c r="C12" s="19">
        <f>'Data Sheet'!C64</f>
        <v>3.27</v>
      </c>
      <c r="D12" s="19">
        <f>'Data Sheet'!D64</f>
        <v>6.87</v>
      </c>
      <c r="E12" s="19">
        <f>'Data Sheet'!E64</f>
        <v>8.23</v>
      </c>
      <c r="F12" s="19">
        <f>'Data Sheet'!F64</f>
        <v>11.24</v>
      </c>
      <c r="G12" s="19">
        <f>'Data Sheet'!G64</f>
        <v>0</v>
      </c>
      <c r="H12" s="19">
        <f>'Data Sheet'!H64</f>
        <v>0</v>
      </c>
      <c r="I12" s="19">
        <f>'Data Sheet'!I64</f>
        <v>0</v>
      </c>
      <c r="J12" s="19">
        <f>'Data Sheet'!J64</f>
        <v>0.01</v>
      </c>
      <c r="K12" s="19">
        <f>'Data Sheet'!K64</f>
        <v>21.08</v>
      </c>
    </row>
    <row r="13" spans="1:11" x14ac:dyDescent="0.3">
      <c r="A13" s="11" t="s">
        <v>73</v>
      </c>
      <c r="B13" s="19">
        <f>'Data Sheet'!B65</f>
        <v>608.28</v>
      </c>
      <c r="C13" s="19">
        <f>'Data Sheet'!C65</f>
        <v>894.5</v>
      </c>
      <c r="D13" s="19">
        <f>'Data Sheet'!D65</f>
        <v>1006.47</v>
      </c>
      <c r="E13" s="19">
        <f>'Data Sheet'!E65</f>
        <v>1141.42</v>
      </c>
      <c r="F13" s="19">
        <f>'Data Sheet'!F65</f>
        <v>1247.44</v>
      </c>
      <c r="G13" s="19">
        <f>'Data Sheet'!G65</f>
        <v>1832.72</v>
      </c>
      <c r="H13" s="19">
        <f>'Data Sheet'!H65</f>
        <v>1971.92</v>
      </c>
      <c r="I13" s="19">
        <f>'Data Sheet'!I65</f>
        <v>2772.09</v>
      </c>
      <c r="J13" s="19">
        <f>'Data Sheet'!J65</f>
        <v>4079.38</v>
      </c>
      <c r="K13" s="19">
        <f>'Data Sheet'!K65</f>
        <v>4834.71</v>
      </c>
    </row>
    <row r="14" spans="1:11" s="8" customFormat="1" x14ac:dyDescent="0.3">
      <c r="A14" s="8" t="s">
        <v>26</v>
      </c>
      <c r="B14" s="19">
        <f>'Data Sheet'!B66</f>
        <v>3291.64</v>
      </c>
      <c r="C14" s="19">
        <f>'Data Sheet'!C66</f>
        <v>4431.25</v>
      </c>
      <c r="D14" s="19">
        <f>'Data Sheet'!D66</f>
        <v>4824.42</v>
      </c>
      <c r="E14" s="19">
        <f>'Data Sheet'!E66</f>
        <v>5275.61</v>
      </c>
      <c r="F14" s="19">
        <f>'Data Sheet'!F66</f>
        <v>5998.01</v>
      </c>
      <c r="G14" s="19">
        <f>'Data Sheet'!G66</f>
        <v>8375.58</v>
      </c>
      <c r="H14" s="19">
        <f>'Data Sheet'!H66</f>
        <v>8447.36</v>
      </c>
      <c r="I14" s="19">
        <f>'Data Sheet'!I66</f>
        <v>9579.48</v>
      </c>
      <c r="J14" s="19">
        <f>'Data Sheet'!J66</f>
        <v>11618.24</v>
      </c>
      <c r="K14" s="19">
        <f>'Data Sheet'!K66</f>
        <v>15187.18</v>
      </c>
    </row>
    <row r="15" spans="1:11" x14ac:dyDescent="0.3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3">
      <c r="A16" s="29" t="s">
        <v>30</v>
      </c>
      <c r="B16" s="21">
        <f>B13-B7</f>
        <v>-124.97000000000003</v>
      </c>
      <c r="C16" s="21">
        <f t="shared" ref="C16:K16" si="0">C13-C7</f>
        <v>-1235.1199999999999</v>
      </c>
      <c r="D16" s="21">
        <f t="shared" si="0"/>
        <v>91.040000000000077</v>
      </c>
      <c r="E16" s="21">
        <f t="shared" si="0"/>
        <v>288.94000000000005</v>
      </c>
      <c r="F16" s="21">
        <f t="shared" si="0"/>
        <v>55.799999999999955</v>
      </c>
      <c r="G16" s="21">
        <f t="shared" si="0"/>
        <v>202.74</v>
      </c>
      <c r="H16" s="21">
        <f t="shared" si="0"/>
        <v>264.68000000000006</v>
      </c>
      <c r="I16" s="21">
        <f t="shared" si="0"/>
        <v>659.2800000000002</v>
      </c>
      <c r="J16" s="21">
        <f t="shared" si="0"/>
        <v>1447.33</v>
      </c>
      <c r="K16" s="21">
        <f t="shared" si="0"/>
        <v>2015.3400000000001</v>
      </c>
    </row>
    <row r="17" spans="1:11" x14ac:dyDescent="0.3">
      <c r="A17" s="11" t="s">
        <v>44</v>
      </c>
      <c r="B17" s="21">
        <f>'Data Sheet'!B67</f>
        <v>97.29</v>
      </c>
      <c r="C17" s="21">
        <f>'Data Sheet'!C67</f>
        <v>97.91</v>
      </c>
      <c r="D17" s="21">
        <f>'Data Sheet'!D67</f>
        <v>131.35</v>
      </c>
      <c r="E17" s="21">
        <f>'Data Sheet'!E67</f>
        <v>150.25</v>
      </c>
      <c r="F17" s="21">
        <f>'Data Sheet'!F67</f>
        <v>128.03</v>
      </c>
      <c r="G17" s="21">
        <f>'Data Sheet'!G67</f>
        <v>172.56</v>
      </c>
      <c r="H17" s="21">
        <f>'Data Sheet'!H67</f>
        <v>241.8</v>
      </c>
      <c r="I17" s="21">
        <f>'Data Sheet'!I67</f>
        <v>221.25</v>
      </c>
      <c r="J17" s="21">
        <f>'Data Sheet'!J67</f>
        <v>299.33999999999997</v>
      </c>
      <c r="K17" s="21">
        <f>'Data Sheet'!K67</f>
        <v>359.39</v>
      </c>
    </row>
    <row r="18" spans="1:11" x14ac:dyDescent="0.3">
      <c r="A18" s="11" t="s">
        <v>45</v>
      </c>
      <c r="B18" s="21">
        <f>'Data Sheet'!B68</f>
        <v>289.25</v>
      </c>
      <c r="C18" s="21">
        <f>'Data Sheet'!C68</f>
        <v>424.66</v>
      </c>
      <c r="D18" s="21">
        <f>'Data Sheet'!D68</f>
        <v>489.93</v>
      </c>
      <c r="E18" s="21">
        <f>'Data Sheet'!E68</f>
        <v>438.89</v>
      </c>
      <c r="F18" s="21">
        <f>'Data Sheet'!F68</f>
        <v>578.4</v>
      </c>
      <c r="G18" s="21">
        <f>'Data Sheet'!G68</f>
        <v>881.51</v>
      </c>
      <c r="H18" s="21">
        <f>'Data Sheet'!H68</f>
        <v>928.8</v>
      </c>
      <c r="I18" s="21">
        <f>'Data Sheet'!I68</f>
        <v>1448.09</v>
      </c>
      <c r="J18" s="21">
        <f>'Data Sheet'!J68</f>
        <v>1993.89</v>
      </c>
      <c r="K18" s="21">
        <f>'Data Sheet'!K68</f>
        <v>2150.5300000000002</v>
      </c>
    </row>
    <row r="20" spans="1:11" x14ac:dyDescent="0.3">
      <c r="A20" s="11" t="s">
        <v>46</v>
      </c>
      <c r="B20" s="5">
        <f>IF('Profit &amp; Loss'!B4&gt;0,'Balance Sheet'!B17/('Profit &amp; Loss'!B4/365),0)</f>
        <v>14.190716911764705</v>
      </c>
      <c r="C20" s="5">
        <f>IF('Profit &amp; Loss'!C4&gt;0,'Balance Sheet'!C17/('Profit &amp; Loss'!C4/365),0)</f>
        <v>10.529073638683142</v>
      </c>
      <c r="D20" s="5">
        <f>IF('Profit &amp; Loss'!D4&gt;0,'Balance Sheet'!D17/('Profit &amp; Loss'!D4/365),0)</f>
        <v>12.416605804443202</v>
      </c>
      <c r="E20" s="5">
        <f>IF('Profit &amp; Loss'!E4&gt;0,'Balance Sheet'!E17/('Profit &amp; Loss'!E4/365),0)</f>
        <v>13.698189602202051</v>
      </c>
      <c r="F20" s="5">
        <f>IF('Profit &amp; Loss'!F4&gt;0,'Balance Sheet'!F17/('Profit &amp; Loss'!F4/365),0)</f>
        <v>9.1534907134994103</v>
      </c>
      <c r="G20" s="5">
        <f>IF('Profit &amp; Loss'!G4&gt;0,'Balance Sheet'!G17/('Profit &amp; Loss'!G4/365),0)</f>
        <v>8.8342370798840886</v>
      </c>
      <c r="H20" s="5">
        <f>IF('Profit &amp; Loss'!H4&gt;0,'Balance Sheet'!H17/('Profit &amp; Loss'!H4/365),0)</f>
        <v>13.682958819498493</v>
      </c>
      <c r="I20" s="5">
        <f>IF('Profit &amp; Loss'!I4&gt;0,'Balance Sheet'!I17/('Profit &amp; Loss'!I4/365),0)</f>
        <v>9.1526855811307204</v>
      </c>
      <c r="J20" s="5">
        <f>IF('Profit &amp; Loss'!J4&gt;0,'Balance Sheet'!J17/('Profit &amp; Loss'!J4/365),0)</f>
        <v>8.2940817451268263</v>
      </c>
      <c r="K20" s="5">
        <f>IF('Profit &amp; Loss'!K4&gt;0,'Balance Sheet'!K17/('Profit &amp; Loss'!K4/365),0)</f>
        <v>8.1768238026551838</v>
      </c>
    </row>
    <row r="21" spans="1:11" x14ac:dyDescent="0.3">
      <c r="A21" s="11" t="s">
        <v>47</v>
      </c>
      <c r="B21" s="5">
        <f>IF('Balance Sheet'!B18&gt;0,'Profit &amp; Loss'!B4/'Balance Sheet'!B18,0)</f>
        <v>8.6513396715643918</v>
      </c>
      <c r="C21" s="5">
        <f>IF('Balance Sheet'!C18&gt;0,'Profit &amp; Loss'!C4/'Balance Sheet'!C18,0)</f>
        <v>7.9926058493853898</v>
      </c>
      <c r="D21" s="5">
        <f>IF('Balance Sheet'!D18&gt;0,'Profit &amp; Loss'!D4/'Balance Sheet'!D18,0)</f>
        <v>7.8810850529667498</v>
      </c>
      <c r="E21" s="5">
        <f>IF('Balance Sheet'!E18&gt;0,'Profit &amp; Loss'!E4/'Balance Sheet'!E18,0)</f>
        <v>9.1219667798309381</v>
      </c>
      <c r="F21" s="5">
        <f>IF('Balance Sheet'!F18&gt;0,'Profit &amp; Loss'!F4/'Balance Sheet'!F18,0)</f>
        <v>8.8265214384509001</v>
      </c>
      <c r="G21" s="5">
        <f>IF('Balance Sheet'!G18&gt;0,'Profit &amp; Loss'!G4/'Balance Sheet'!G18,0)</f>
        <v>8.0879173236832251</v>
      </c>
      <c r="H21" s="5">
        <f>IF('Balance Sheet'!H18&gt;0,'Profit &amp; Loss'!H4/'Balance Sheet'!H18,0)</f>
        <v>6.9445951765719212</v>
      </c>
      <c r="I21" s="5">
        <f>IF('Balance Sheet'!I18&gt;0,'Profit &amp; Loss'!I4/'Balance Sheet'!I18,0)</f>
        <v>6.0930121746576527</v>
      </c>
      <c r="J21" s="5">
        <f>IF('Balance Sheet'!J18&gt;0,'Profit &amp; Loss'!J4/'Balance Sheet'!J18,0)</f>
        <v>6.6067536323468188</v>
      </c>
      <c r="K21" s="5">
        <f>IF('Balance Sheet'!K18&gt;0,'Profit &amp; Loss'!K4/'Balance Sheet'!K18,0)</f>
        <v>7.4598261823829466</v>
      </c>
    </row>
    <row r="23" spans="1:11" s="8" customFormat="1" x14ac:dyDescent="0.3">
      <c r="A23" s="8" t="s">
        <v>59</v>
      </c>
      <c r="B23" s="14">
        <f>IF(SUM('Balance Sheet'!B4:B5)&gt;0,'Profit &amp; Loss'!B12/SUM('Balance Sheet'!B4:B5),"")</f>
        <v>-0.14090019569471623</v>
      </c>
      <c r="C23" s="14">
        <f>IF(SUM('Balance Sheet'!C4:C5)&gt;0,'Profit &amp; Loss'!C12/SUM('Balance Sheet'!C4:C5),"")</f>
        <v>0.50401284109149269</v>
      </c>
      <c r="D23" s="14">
        <f>IF(SUM('Balance Sheet'!D4:D5)&gt;0,'Profit &amp; Loss'!D12/SUM('Balance Sheet'!D4:D5),"")</f>
        <v>2.5023766082700065E-2</v>
      </c>
      <c r="E23" s="14">
        <f>IF(SUM('Balance Sheet'!E4:E5)&gt;0,'Profit &amp; Loss'!E12/SUM('Balance Sheet'!E4:E5),"")</f>
        <v>0.11876706057883049</v>
      </c>
      <c r="F23" s="14">
        <f>IF(SUM('Balance Sheet'!F4:F5)&gt;0,'Profit &amp; Loss'!F12/SUM('Balance Sheet'!F4:F5),"")</f>
        <v>0.1465298974230673</v>
      </c>
      <c r="G23" s="14">
        <f>IF(SUM('Balance Sheet'!G4:G5)&gt;0,'Profit &amp; Loss'!G12/SUM('Balance Sheet'!G4:G5),"")</f>
        <v>0.14090168908971826</v>
      </c>
      <c r="H23" s="14">
        <f>IF(SUM('Balance Sheet'!H4:H5)&gt;0,'Profit &amp; Loss'!H12/SUM('Balance Sheet'!H4:H5),"")</f>
        <v>9.3359818388195237E-2</v>
      </c>
      <c r="I23" s="14">
        <f>IF(SUM('Balance Sheet'!I4:I5)&gt;0,'Profit &amp; Loss'!I12/SUM('Balance Sheet'!I4:I5),"")</f>
        <v>0.17011404663338162</v>
      </c>
      <c r="J23" s="14">
        <f>IF(SUM('Balance Sheet'!J4:J5)&gt;0,'Profit &amp; Loss'!J12/SUM('Balance Sheet'!J4:J5),"")</f>
        <v>0.29347676966435271</v>
      </c>
      <c r="K23" s="14">
        <f>IF(SUM('Balance Sheet'!K4:K5)&gt;0,'Profit &amp; Loss'!K12/SUM('Balance Sheet'!K4:K5),"")</f>
        <v>0.29639155193541411</v>
      </c>
    </row>
    <row r="24" spans="1:11" s="8" customFormat="1" x14ac:dyDescent="0.3">
      <c r="A24" s="8" t="s">
        <v>60</v>
      </c>
      <c r="B24" s="14"/>
      <c r="C24" s="14">
        <f>IF((B4+B5+B6+C4+C5+C6)&gt;0,('Profit &amp; Loss'!C10+'Profit &amp; Loss'!C9)*2/(B4+B5+B6+C4+C5+C6),"")</f>
        <v>0.14846029440208064</v>
      </c>
      <c r="D24" s="14">
        <f>IF((C4+C5+C6+D4+D5+D6)&gt;0,('Profit &amp; Loss'!D10+'Profit &amp; Loss'!D9)*2/(C4+C5+C6+D4+D5+D6),"")</f>
        <v>0.16554546889038452</v>
      </c>
      <c r="E24" s="14">
        <f>IF((D4+D5+D6+E4+E5+E6)&gt;0,('Profit &amp; Loss'!E10+'Profit &amp; Loss'!E9)*2/(D4+D5+D6+E4+E5+E6),"")</f>
        <v>0.12134966851173531</v>
      </c>
      <c r="F24" s="14">
        <f>IF((E4+E5+E6+F4+F5+F6)&gt;0,('Profit &amp; Loss'!F10+'Profit &amp; Loss'!F9)*2/(E4+E5+E6+F4+F5+F6),"")</f>
        <v>0.1422828972317027</v>
      </c>
      <c r="G24" s="14">
        <f>IF((F4+F5+F6+G4+G5+G6)&gt;0,('Profit &amp; Loss'!G10+'Profit &amp; Loss'!G9)*2/(F4+F5+F6+G4+G5+G6),"")</f>
        <v>0.17669367216154475</v>
      </c>
      <c r="H24" s="14">
        <f>IF((G4+G5+G6+H4+H5+H6)&gt;0,('Profit &amp; Loss'!H10+'Profit &amp; Loss'!H9)*2/(G4+G5+G6+H4+H5+H6),"")</f>
        <v>9.7325170624927695E-2</v>
      </c>
      <c r="I24" s="14">
        <f>IF((H4+H5+H6+I4+I5+I6)&gt;0,('Profit &amp; Loss'!I10+'Profit &amp; Loss'!I9)*2/(H4+H5+H6+I4+I5+I6),"")</f>
        <v>0.1708450677457751</v>
      </c>
      <c r="J24" s="14">
        <f>IF((I4+I5+I6+J4+J5+J6)&gt;0,('Profit &amp; Loss'!J10+'Profit &amp; Loss'!J9)*2/(I4+I5+I6+J4+J5+J6),"")</f>
        <v>0.27080155061186928</v>
      </c>
      <c r="K24" s="14">
        <f>IF((J4+J5+J6+K4+K5+K6)&gt;0,('Profit &amp; Loss'!K10+'Profit &amp; Loss'!K9)*2/(J4+J5+J6+K4+K5+K6),"")</f>
        <v>0.28387749367799942</v>
      </c>
    </row>
    <row r="25" spans="1:11" s="18" customFormat="1" x14ac:dyDescent="0.3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F20" sqref="F20"/>
    </sheetView>
  </sheetViews>
  <sheetFormatPr defaultColWidth="8.77734375" defaultRowHeight="14.4" x14ac:dyDescent="0.3"/>
  <cols>
    <col min="1" max="1" width="26.77734375" style="6" bestFit="1" customWidth="1"/>
    <col min="2" max="6" width="13.44140625" style="6" customWidth="1"/>
    <col min="7" max="11" width="13.44140625" style="6" bestFit="1" customWidth="1"/>
    <col min="12" max="16384" width="8.77734375" style="6"/>
  </cols>
  <sheetData>
    <row r="1" spans="1:11" s="8" customFormat="1" x14ac:dyDescent="0.3">
      <c r="A1" s="8" t="str">
        <f>'Balance Sheet'!A1</f>
        <v>VARUN BEVERAGES LTD</v>
      </c>
      <c r="E1" t="str">
        <f>UPDATE</f>
        <v/>
      </c>
      <c r="F1"/>
      <c r="J1" s="4" t="s">
        <v>1</v>
      </c>
      <c r="K1" s="4"/>
    </row>
    <row r="3" spans="1:11" s="2" customFormat="1" x14ac:dyDescent="0.3">
      <c r="A3" s="15" t="s">
        <v>2</v>
      </c>
      <c r="B3" s="16">
        <f>'Data Sheet'!B81</f>
        <v>42004</v>
      </c>
      <c r="C3" s="16">
        <f>'Data Sheet'!C81</f>
        <v>42369</v>
      </c>
      <c r="D3" s="16">
        <f>'Data Sheet'!D81</f>
        <v>42735</v>
      </c>
      <c r="E3" s="16">
        <f>'Data Sheet'!E81</f>
        <v>43100</v>
      </c>
      <c r="F3" s="16">
        <f>'Data Sheet'!F81</f>
        <v>43465</v>
      </c>
      <c r="G3" s="16">
        <f>'Data Sheet'!G81</f>
        <v>43830</v>
      </c>
      <c r="H3" s="16">
        <f>'Data Sheet'!H81</f>
        <v>44196</v>
      </c>
      <c r="I3" s="16">
        <f>'Data Sheet'!I81</f>
        <v>44561</v>
      </c>
      <c r="J3" s="16">
        <f>'Data Sheet'!J81</f>
        <v>44926</v>
      </c>
      <c r="K3" s="16">
        <f>'Data Sheet'!K81</f>
        <v>45291</v>
      </c>
    </row>
    <row r="4" spans="1:11" s="8" customFormat="1" x14ac:dyDescent="0.3">
      <c r="A4" s="8" t="s">
        <v>32</v>
      </c>
      <c r="B4" s="1">
        <f>'Data Sheet'!B82</f>
        <v>430.86</v>
      </c>
      <c r="C4" s="1">
        <f>'Data Sheet'!C82</f>
        <v>554.79</v>
      </c>
      <c r="D4" s="1">
        <f>'Data Sheet'!D82</f>
        <v>825.78</v>
      </c>
      <c r="E4" s="1">
        <f>'Data Sheet'!E82</f>
        <v>619.76</v>
      </c>
      <c r="F4" s="1">
        <f>'Data Sheet'!F82</f>
        <v>999.78</v>
      </c>
      <c r="G4" s="1">
        <f>'Data Sheet'!G82</f>
        <v>1307.5999999999999</v>
      </c>
      <c r="H4" s="1">
        <f>'Data Sheet'!H82</f>
        <v>1011.99</v>
      </c>
      <c r="I4" s="1">
        <f>'Data Sheet'!I82</f>
        <v>1231.42</v>
      </c>
      <c r="J4" s="1">
        <f>'Data Sheet'!J82</f>
        <v>1790.03</v>
      </c>
      <c r="K4" s="1">
        <f>'Data Sheet'!K82</f>
        <v>2390.7800000000002</v>
      </c>
    </row>
    <row r="5" spans="1:11" x14ac:dyDescent="0.3">
      <c r="A5" s="6" t="s">
        <v>33</v>
      </c>
      <c r="B5" s="9">
        <f>'Data Sheet'!B83</f>
        <v>-499.96</v>
      </c>
      <c r="C5" s="9">
        <f>'Data Sheet'!C83</f>
        <v>-299.67</v>
      </c>
      <c r="D5" s="9">
        <f>'Data Sheet'!D83</f>
        <v>-1047.8</v>
      </c>
      <c r="E5" s="9">
        <f>'Data Sheet'!E83</f>
        <v>-745.95</v>
      </c>
      <c r="F5" s="9">
        <f>'Data Sheet'!F83</f>
        <v>-937.4</v>
      </c>
      <c r="G5" s="9">
        <f>'Data Sheet'!G83</f>
        <v>-2319.9</v>
      </c>
      <c r="H5" s="9">
        <f>'Data Sheet'!H83</f>
        <v>-471.68</v>
      </c>
      <c r="I5" s="9">
        <f>'Data Sheet'!I83</f>
        <v>-1007.55</v>
      </c>
      <c r="J5" s="9">
        <f>'Data Sheet'!J83</f>
        <v>-1768.51</v>
      </c>
      <c r="K5" s="9">
        <f>'Data Sheet'!K83</f>
        <v>-3287.8</v>
      </c>
    </row>
    <row r="6" spans="1:11" x14ac:dyDescent="0.3">
      <c r="A6" s="6" t="s">
        <v>34</v>
      </c>
      <c r="B6" s="9">
        <f>'Data Sheet'!B84</f>
        <v>57.73</v>
      </c>
      <c r="C6" s="9">
        <f>'Data Sheet'!C84</f>
        <v>-236</v>
      </c>
      <c r="D6" s="9">
        <f>'Data Sheet'!D84</f>
        <v>230.23</v>
      </c>
      <c r="E6" s="9">
        <f>'Data Sheet'!E84</f>
        <v>158.63</v>
      </c>
      <c r="F6" s="9">
        <f>'Data Sheet'!F84</f>
        <v>-84.39</v>
      </c>
      <c r="G6" s="9">
        <f>'Data Sheet'!G84</f>
        <v>1107.3399999999999</v>
      </c>
      <c r="H6" s="9">
        <f>'Data Sheet'!H84</f>
        <v>-573.72</v>
      </c>
      <c r="I6" s="9">
        <f>'Data Sheet'!I84</f>
        <v>-177.68</v>
      </c>
      <c r="J6" s="9">
        <f>'Data Sheet'!J84</f>
        <v>-17.940000000000001</v>
      </c>
      <c r="K6" s="9">
        <f>'Data Sheet'!K84</f>
        <v>984.9</v>
      </c>
    </row>
    <row r="7" spans="1:11" s="8" customFormat="1" x14ac:dyDescent="0.3">
      <c r="A7" s="8" t="s">
        <v>35</v>
      </c>
      <c r="B7" s="1">
        <f>'Data Sheet'!B85</f>
        <v>-11.37</v>
      </c>
      <c r="C7" s="1">
        <f>'Data Sheet'!C85</f>
        <v>19.12</v>
      </c>
      <c r="D7" s="1">
        <f>'Data Sheet'!D85</f>
        <v>8.2100000000000009</v>
      </c>
      <c r="E7" s="1">
        <f>'Data Sheet'!E85</f>
        <v>32.450000000000003</v>
      </c>
      <c r="F7" s="1">
        <f>'Data Sheet'!F85</f>
        <v>-22.01</v>
      </c>
      <c r="G7" s="1">
        <f>'Data Sheet'!G85</f>
        <v>95.03</v>
      </c>
      <c r="H7" s="1">
        <f>'Data Sheet'!H85</f>
        <v>-33.409999999999997</v>
      </c>
      <c r="I7" s="1">
        <f>'Data Sheet'!I85</f>
        <v>46.19</v>
      </c>
      <c r="J7" s="1">
        <f>'Data Sheet'!J85</f>
        <v>3.58</v>
      </c>
      <c r="K7" s="1">
        <f>'Data Sheet'!K85</f>
        <v>87.88</v>
      </c>
    </row>
    <row r="8" spans="1:11" x14ac:dyDescent="0.3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3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77734375" defaultRowHeight="14.4" x14ac:dyDescent="0.3"/>
  <cols>
    <col min="1" max="1" width="8.77734375" style="8"/>
    <col min="2" max="2" width="10.44140625" style="11" customWidth="1"/>
    <col min="3" max="3" width="13.33203125" style="26" customWidth="1"/>
    <col min="4" max="5" width="8.77734375" style="11"/>
    <col min="6" max="6" width="6.77734375" style="11" customWidth="1"/>
    <col min="7" max="16384" width="8.77734375" style="11"/>
  </cols>
  <sheetData>
    <row r="1" spans="1:7" ht="21" x14ac:dyDescent="0.4">
      <c r="A1" s="25" t="s">
        <v>56</v>
      </c>
    </row>
    <row r="3" spans="1:7" x14ac:dyDescent="0.3">
      <c r="A3" s="8" t="s">
        <v>48</v>
      </c>
    </row>
    <row r="4" spans="1:7" x14ac:dyDescent="0.3">
      <c r="B4" s="11" t="s">
        <v>90</v>
      </c>
    </row>
    <row r="5" spans="1:7" x14ac:dyDescent="0.3">
      <c r="B5" s="11" t="s">
        <v>49</v>
      </c>
    </row>
    <row r="7" spans="1:7" x14ac:dyDescent="0.3">
      <c r="A7" s="8" t="s">
        <v>50</v>
      </c>
    </row>
    <row r="8" spans="1:7" x14ac:dyDescent="0.3">
      <c r="B8" s="11" t="s">
        <v>51</v>
      </c>
      <c r="C8" s="27" t="s">
        <v>91</v>
      </c>
    </row>
    <row r="10" spans="1:7" x14ac:dyDescent="0.3">
      <c r="A10" s="8" t="s">
        <v>52</v>
      </c>
    </row>
    <row r="11" spans="1:7" x14ac:dyDescent="0.3">
      <c r="B11" s="11" t="s">
        <v>53</v>
      </c>
    </row>
    <row r="14" spans="1:7" x14ac:dyDescent="0.3">
      <c r="A14" s="8" t="s">
        <v>54</v>
      </c>
    </row>
    <row r="15" spans="1:7" x14ac:dyDescent="0.3">
      <c r="B15" s="11" t="s">
        <v>55</v>
      </c>
    </row>
    <row r="16" spans="1:7" x14ac:dyDescent="0.3">
      <c r="B16" s="11" t="s">
        <v>92</v>
      </c>
      <c r="G16" s="28"/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B53" activePane="bottomRight" state="frozen"/>
      <selection activeCell="C4" sqref="C4"/>
      <selection pane="topRight" activeCell="C4" sqref="C4"/>
      <selection pane="bottomLeft" activeCell="C4" sqref="C4"/>
      <selection pane="bottomRight" activeCell="H37" sqref="H37"/>
    </sheetView>
  </sheetViews>
  <sheetFormatPr defaultColWidth="8.77734375" defaultRowHeight="14.4" x14ac:dyDescent="0.3"/>
  <cols>
    <col min="1" max="1" width="26.33203125" style="5" bestFit="1" customWidth="1"/>
    <col min="2" max="11" width="13.44140625" style="5" bestFit="1" customWidth="1"/>
    <col min="12" max="16384" width="8.77734375" style="5"/>
  </cols>
  <sheetData>
    <row r="1" spans="1:11" s="1" customFormat="1" x14ac:dyDescent="0.3">
      <c r="A1" s="1" t="s">
        <v>0</v>
      </c>
      <c r="B1" s="1" t="s">
        <v>63</v>
      </c>
      <c r="E1" s="107" t="str">
        <f>IF(B2&lt;&gt;B3, "A NEW VERSION OF THE WORKSHEET IS AVAILABLE", "")</f>
        <v/>
      </c>
      <c r="F1" s="107"/>
      <c r="G1" s="107"/>
      <c r="H1" s="107"/>
      <c r="I1" s="107"/>
      <c r="J1" s="107"/>
      <c r="K1" s="107"/>
    </row>
    <row r="2" spans="1:11" x14ac:dyDescent="0.3">
      <c r="A2" s="1" t="s">
        <v>61</v>
      </c>
      <c r="B2" s="5">
        <v>2.1</v>
      </c>
      <c r="E2" s="108" t="s">
        <v>36</v>
      </c>
      <c r="F2" s="108"/>
      <c r="G2" s="108"/>
      <c r="H2" s="108"/>
      <c r="I2" s="108"/>
      <c r="J2" s="108"/>
      <c r="K2" s="108"/>
    </row>
    <row r="3" spans="1:11" x14ac:dyDescent="0.3">
      <c r="A3" s="1" t="s">
        <v>62</v>
      </c>
      <c r="B3" s="5">
        <v>2.1</v>
      </c>
    </row>
    <row r="4" spans="1:11" x14ac:dyDescent="0.3">
      <c r="A4" s="1"/>
    </row>
    <row r="5" spans="1:11" x14ac:dyDescent="0.3">
      <c r="A5" s="1" t="s">
        <v>64</v>
      </c>
    </row>
    <row r="6" spans="1:11" x14ac:dyDescent="0.3">
      <c r="A6" s="5" t="s">
        <v>42</v>
      </c>
      <c r="B6" s="5">
        <f>IF(B9&gt;0, B9/B8, 0)</f>
        <v>129.97535570651254</v>
      </c>
    </row>
    <row r="7" spans="1:11" x14ac:dyDescent="0.3">
      <c r="A7" s="5" t="s">
        <v>31</v>
      </c>
      <c r="B7">
        <v>5</v>
      </c>
    </row>
    <row r="8" spans="1:11" x14ac:dyDescent="0.3">
      <c r="A8" s="5" t="s">
        <v>43</v>
      </c>
      <c r="B8">
        <v>1479.45</v>
      </c>
    </row>
    <row r="9" spans="1:11" x14ac:dyDescent="0.3">
      <c r="A9" s="5" t="s">
        <v>79</v>
      </c>
      <c r="B9">
        <v>192292.04</v>
      </c>
    </row>
    <row r="15" spans="1:11" x14ac:dyDescent="0.3">
      <c r="A15" s="1" t="s">
        <v>37</v>
      </c>
    </row>
    <row r="16" spans="1:11" s="24" customFormat="1" x14ac:dyDescent="0.3">
      <c r="A16" s="23" t="s">
        <v>38</v>
      </c>
      <c r="B16" s="16">
        <v>42004</v>
      </c>
      <c r="C16" s="16">
        <v>42369</v>
      </c>
      <c r="D16" s="16">
        <v>42735</v>
      </c>
      <c r="E16" s="16">
        <v>43100</v>
      </c>
      <c r="F16" s="16">
        <v>43465</v>
      </c>
      <c r="G16" s="16">
        <v>43830</v>
      </c>
      <c r="H16" s="16">
        <v>44196</v>
      </c>
      <c r="I16" s="16">
        <v>44561</v>
      </c>
      <c r="J16" s="16">
        <v>44926</v>
      </c>
      <c r="K16" s="16">
        <v>45291</v>
      </c>
    </row>
    <row r="17" spans="1:11" s="9" customFormat="1" x14ac:dyDescent="0.3">
      <c r="A17" s="9" t="s">
        <v>6</v>
      </c>
      <c r="B17">
        <v>2502.4</v>
      </c>
      <c r="C17">
        <v>3394.14</v>
      </c>
      <c r="D17">
        <v>3861.18</v>
      </c>
      <c r="E17">
        <v>4003.54</v>
      </c>
      <c r="F17">
        <v>5105.26</v>
      </c>
      <c r="G17">
        <v>7129.58</v>
      </c>
      <c r="H17">
        <v>6450.14</v>
      </c>
      <c r="I17">
        <v>8823.23</v>
      </c>
      <c r="J17">
        <v>13173.14</v>
      </c>
      <c r="K17">
        <v>16042.58</v>
      </c>
    </row>
    <row r="18" spans="1:11" s="9" customFormat="1" x14ac:dyDescent="0.3">
      <c r="A18" s="5" t="s">
        <v>80</v>
      </c>
      <c r="B18">
        <v>1375.92</v>
      </c>
      <c r="C18">
        <v>1745.46</v>
      </c>
      <c r="D18">
        <v>1769.74</v>
      </c>
      <c r="E18">
        <v>1883.28</v>
      </c>
      <c r="F18">
        <v>2306.5</v>
      </c>
      <c r="G18">
        <v>3363.29</v>
      </c>
      <c r="H18">
        <v>2781.1</v>
      </c>
      <c r="I18">
        <v>4134.38</v>
      </c>
      <c r="J18">
        <v>6605.66</v>
      </c>
      <c r="K18">
        <v>7489.16</v>
      </c>
    </row>
    <row r="19" spans="1:11" s="9" customFormat="1" x14ac:dyDescent="0.3">
      <c r="A19" s="5" t="s">
        <v>81</v>
      </c>
      <c r="B19">
        <v>-0.19</v>
      </c>
      <c r="C19">
        <v>28.99</v>
      </c>
      <c r="D19">
        <v>31.86</v>
      </c>
      <c r="E19">
        <v>73.22</v>
      </c>
      <c r="F19">
        <v>62.4</v>
      </c>
      <c r="G19">
        <v>143.86000000000001</v>
      </c>
      <c r="H19">
        <v>17.16</v>
      </c>
      <c r="I19">
        <v>99.72</v>
      </c>
      <c r="J19">
        <v>344.51</v>
      </c>
      <c r="K19">
        <v>84.27</v>
      </c>
    </row>
    <row r="20" spans="1:11" s="9" customFormat="1" x14ac:dyDescent="0.3">
      <c r="A20" s="5" t="s">
        <v>82</v>
      </c>
      <c r="B20">
        <v>113.62</v>
      </c>
      <c r="C20">
        <v>131.15</v>
      </c>
      <c r="D20">
        <v>156.22</v>
      </c>
      <c r="E20">
        <v>160.04</v>
      </c>
      <c r="F20">
        <v>194.8</v>
      </c>
      <c r="G20">
        <v>279.06</v>
      </c>
      <c r="H20">
        <v>267</v>
      </c>
      <c r="I20">
        <v>329.93</v>
      </c>
      <c r="J20">
        <v>479.22</v>
      </c>
      <c r="K20">
        <v>550.29</v>
      </c>
    </row>
    <row r="21" spans="1:11" s="9" customFormat="1" x14ac:dyDescent="0.3">
      <c r="A21" s="5" t="s">
        <v>83</v>
      </c>
      <c r="B21">
        <v>95.36</v>
      </c>
      <c r="C21">
        <v>131.77000000000001</v>
      </c>
      <c r="D21">
        <v>154.66</v>
      </c>
      <c r="E21">
        <v>154.49</v>
      </c>
      <c r="F21">
        <v>191.58</v>
      </c>
      <c r="G21">
        <v>245.4</v>
      </c>
      <c r="H21">
        <v>264.33</v>
      </c>
      <c r="I21">
        <v>328.35</v>
      </c>
      <c r="J21">
        <v>472.05</v>
      </c>
      <c r="K21">
        <v>537.15</v>
      </c>
    </row>
    <row r="22" spans="1:11" s="9" customFormat="1" x14ac:dyDescent="0.3">
      <c r="A22" s="5" t="s">
        <v>84</v>
      </c>
      <c r="B22">
        <v>216.8</v>
      </c>
      <c r="C22">
        <v>323.89999999999998</v>
      </c>
      <c r="D22">
        <v>421.45</v>
      </c>
      <c r="E22">
        <v>463.18</v>
      </c>
      <c r="F22">
        <v>583.27</v>
      </c>
      <c r="G22">
        <v>811.58</v>
      </c>
      <c r="H22">
        <v>890.1</v>
      </c>
      <c r="I22">
        <v>1015.43</v>
      </c>
      <c r="J22">
        <v>1235.2</v>
      </c>
      <c r="K22">
        <v>1447.18</v>
      </c>
    </row>
    <row r="23" spans="1:11" s="9" customFormat="1" x14ac:dyDescent="0.3">
      <c r="A23" s="5" t="s">
        <v>85</v>
      </c>
      <c r="B23">
        <v>298.33</v>
      </c>
      <c r="C23">
        <v>425.55</v>
      </c>
      <c r="D23">
        <v>542.99</v>
      </c>
      <c r="E23">
        <v>525.91999999999996</v>
      </c>
      <c r="F23">
        <v>1692.78</v>
      </c>
      <c r="G23">
        <v>2369.9899999999998</v>
      </c>
      <c r="H23">
        <v>2091.63</v>
      </c>
      <c r="I23">
        <v>1358.89</v>
      </c>
      <c r="J23">
        <v>1777.38</v>
      </c>
      <c r="K23">
        <v>2253.8200000000002</v>
      </c>
    </row>
    <row r="24" spans="1:11" s="9" customFormat="1" x14ac:dyDescent="0.3">
      <c r="A24" s="5" t="s">
        <v>86</v>
      </c>
      <c r="B24">
        <v>15.29</v>
      </c>
      <c r="C24">
        <v>22.83</v>
      </c>
      <c r="D24">
        <v>38.47</v>
      </c>
      <c r="E24">
        <v>51.52</v>
      </c>
      <c r="F24">
        <v>-837.07</v>
      </c>
      <c r="G24">
        <v>-1258.2</v>
      </c>
      <c r="H24">
        <v>-1041.82</v>
      </c>
      <c r="I24">
        <v>62.02</v>
      </c>
      <c r="J24">
        <v>85.14</v>
      </c>
      <c r="K24">
        <v>132.51</v>
      </c>
    </row>
    <row r="25" spans="1:11" s="9" customFormat="1" x14ac:dyDescent="0.3">
      <c r="A25" s="9" t="s">
        <v>9</v>
      </c>
      <c r="B25">
        <v>14.3</v>
      </c>
      <c r="C25">
        <v>35.700000000000003</v>
      </c>
      <c r="D25">
        <v>26.77</v>
      </c>
      <c r="E25">
        <v>13.86</v>
      </c>
      <c r="F25">
        <v>5.87</v>
      </c>
      <c r="G25">
        <v>46.89</v>
      </c>
      <c r="H25">
        <v>-30.01</v>
      </c>
      <c r="I25">
        <v>50.89</v>
      </c>
      <c r="J25">
        <v>-18.079999999999998</v>
      </c>
      <c r="K25">
        <v>-4.87</v>
      </c>
    </row>
    <row r="26" spans="1:11" s="9" customFormat="1" x14ac:dyDescent="0.3">
      <c r="A26" s="9" t="s">
        <v>10</v>
      </c>
      <c r="B26">
        <v>210.06</v>
      </c>
      <c r="C26">
        <v>317.41000000000003</v>
      </c>
      <c r="D26">
        <v>322.20999999999998</v>
      </c>
      <c r="E26">
        <v>346.64</v>
      </c>
      <c r="F26">
        <v>385.07</v>
      </c>
      <c r="G26">
        <v>488.63</v>
      </c>
      <c r="H26">
        <v>528.70000000000005</v>
      </c>
      <c r="I26">
        <v>531.26</v>
      </c>
      <c r="J26">
        <v>617.19000000000005</v>
      </c>
      <c r="K26">
        <v>680.91</v>
      </c>
    </row>
    <row r="27" spans="1:11" s="9" customFormat="1" x14ac:dyDescent="0.3">
      <c r="A27" s="9" t="s">
        <v>11</v>
      </c>
      <c r="B27">
        <v>187.36</v>
      </c>
      <c r="C27">
        <v>170.15</v>
      </c>
      <c r="D27">
        <v>434.74</v>
      </c>
      <c r="E27">
        <v>214.59</v>
      </c>
      <c r="F27">
        <v>222.8</v>
      </c>
      <c r="G27">
        <v>324.31</v>
      </c>
      <c r="H27">
        <v>293.74</v>
      </c>
      <c r="I27">
        <v>206.97</v>
      </c>
      <c r="J27">
        <v>204.09</v>
      </c>
      <c r="K27">
        <v>291.60000000000002</v>
      </c>
    </row>
    <row r="28" spans="1:11" s="9" customFormat="1" x14ac:dyDescent="0.3">
      <c r="A28" s="9" t="s">
        <v>12</v>
      </c>
      <c r="B28">
        <v>3.77</v>
      </c>
      <c r="C28">
        <v>190.61</v>
      </c>
      <c r="D28">
        <v>79.33</v>
      </c>
      <c r="E28">
        <v>290.95999999999998</v>
      </c>
      <c r="F28">
        <v>433.8</v>
      </c>
      <c r="G28">
        <v>696.27</v>
      </c>
      <c r="H28">
        <v>362.51</v>
      </c>
      <c r="I28">
        <v>1006.61</v>
      </c>
      <c r="J28">
        <v>2023.64</v>
      </c>
      <c r="K28">
        <v>2739.36</v>
      </c>
    </row>
    <row r="29" spans="1:11" s="9" customFormat="1" x14ac:dyDescent="0.3">
      <c r="A29" s="9" t="s">
        <v>13</v>
      </c>
      <c r="B29">
        <v>24.81</v>
      </c>
      <c r="C29">
        <v>78.849999999999994</v>
      </c>
      <c r="D29">
        <v>31.3</v>
      </c>
      <c r="E29">
        <v>76.900000000000006</v>
      </c>
      <c r="F29">
        <v>133.93</v>
      </c>
      <c r="G29">
        <v>224.07</v>
      </c>
      <c r="H29">
        <v>5.23</v>
      </c>
      <c r="I29">
        <v>260.55</v>
      </c>
      <c r="J29">
        <v>473.53</v>
      </c>
      <c r="K29">
        <v>637.54999999999995</v>
      </c>
    </row>
    <row r="30" spans="1:11" s="9" customFormat="1" x14ac:dyDescent="0.3">
      <c r="A30" s="9" t="s">
        <v>14</v>
      </c>
      <c r="B30">
        <v>-20.16</v>
      </c>
      <c r="C30">
        <v>113.04</v>
      </c>
      <c r="D30">
        <v>42.38</v>
      </c>
      <c r="E30">
        <v>210.15</v>
      </c>
      <c r="F30">
        <v>292.83999999999997</v>
      </c>
      <c r="G30">
        <v>468.98</v>
      </c>
      <c r="H30">
        <v>329</v>
      </c>
      <c r="I30">
        <v>694.05</v>
      </c>
      <c r="J30">
        <v>1497.43</v>
      </c>
      <c r="K30">
        <v>2055.92</v>
      </c>
    </row>
    <row r="31" spans="1:11" s="9" customFormat="1" x14ac:dyDescent="0.3">
      <c r="A31" s="9" t="s">
        <v>70</v>
      </c>
      <c r="E31">
        <v>45.65</v>
      </c>
      <c r="F31">
        <v>45.66</v>
      </c>
      <c r="G31">
        <v>72.17</v>
      </c>
      <c r="H31">
        <v>72.17</v>
      </c>
      <c r="I31">
        <v>108.26</v>
      </c>
      <c r="J31">
        <v>227.34</v>
      </c>
      <c r="K31">
        <v>324.8</v>
      </c>
    </row>
    <row r="32" spans="1:11" s="9" customFormat="1" x14ac:dyDescent="0.3"/>
    <row r="33" spans="1:11" x14ac:dyDescent="0.3">
      <c r="A33" s="9"/>
    </row>
    <row r="34" spans="1:11" x14ac:dyDescent="0.3">
      <c r="A34" s="9"/>
    </row>
    <row r="35" spans="1:11" x14ac:dyDescent="0.3">
      <c r="A35" s="9"/>
    </row>
    <row r="36" spans="1:11" x14ac:dyDescent="0.3">
      <c r="A36" s="9"/>
    </row>
    <row r="37" spans="1:11" x14ac:dyDescent="0.3">
      <c r="A37" s="9"/>
    </row>
    <row r="38" spans="1:11" x14ac:dyDescent="0.3">
      <c r="A38" s="9"/>
    </row>
    <row r="39" spans="1:11" x14ac:dyDescent="0.3">
      <c r="A39" s="9"/>
    </row>
    <row r="40" spans="1:11" x14ac:dyDescent="0.3">
      <c r="A40" s="1" t="s">
        <v>39</v>
      </c>
    </row>
    <row r="41" spans="1:11" s="24" customFormat="1" x14ac:dyDescent="0.3">
      <c r="A41" s="23" t="s">
        <v>38</v>
      </c>
      <c r="B41" s="16">
        <v>44469</v>
      </c>
      <c r="C41" s="16">
        <v>44561</v>
      </c>
      <c r="D41" s="16">
        <v>44651</v>
      </c>
      <c r="E41" s="16">
        <v>44742</v>
      </c>
      <c r="F41" s="16">
        <v>44834</v>
      </c>
      <c r="G41" s="16">
        <v>44926</v>
      </c>
      <c r="H41" s="16">
        <v>45016</v>
      </c>
      <c r="I41" s="16">
        <v>45107</v>
      </c>
      <c r="J41" s="16">
        <v>45199</v>
      </c>
      <c r="K41" s="16">
        <v>45291</v>
      </c>
    </row>
    <row r="42" spans="1:11" s="9" customFormat="1" x14ac:dyDescent="0.3">
      <c r="A42" s="9" t="s">
        <v>6</v>
      </c>
      <c r="B42">
        <v>2398.16</v>
      </c>
      <c r="C42">
        <v>1734.34</v>
      </c>
      <c r="D42">
        <v>2827.47</v>
      </c>
      <c r="E42">
        <v>4954.82</v>
      </c>
      <c r="F42">
        <v>3176.62</v>
      </c>
      <c r="G42">
        <v>2214.2399999999998</v>
      </c>
      <c r="H42">
        <v>3892.98</v>
      </c>
      <c r="I42">
        <v>5611.4</v>
      </c>
      <c r="J42">
        <v>3870.52</v>
      </c>
      <c r="K42">
        <v>2667.69</v>
      </c>
    </row>
    <row r="43" spans="1:11" s="9" customFormat="1" x14ac:dyDescent="0.3">
      <c r="A43" s="9" t="s">
        <v>7</v>
      </c>
      <c r="B43">
        <v>1903.5</v>
      </c>
      <c r="C43">
        <v>1526.77</v>
      </c>
      <c r="D43">
        <v>2296.4699999999998</v>
      </c>
      <c r="E43">
        <v>3704.2</v>
      </c>
      <c r="F43">
        <v>2477.63</v>
      </c>
      <c r="G43">
        <v>1906.75</v>
      </c>
      <c r="H43">
        <v>3094.97</v>
      </c>
      <c r="I43">
        <v>4100.62</v>
      </c>
      <c r="J43">
        <v>2988.8</v>
      </c>
      <c r="K43">
        <v>2249.4</v>
      </c>
    </row>
    <row r="44" spans="1:11" s="9" customFormat="1" x14ac:dyDescent="0.3">
      <c r="A44" s="9" t="s">
        <v>9</v>
      </c>
      <c r="B44">
        <v>36.93</v>
      </c>
      <c r="C44">
        <v>0.85</v>
      </c>
      <c r="D44">
        <v>8.51</v>
      </c>
      <c r="E44">
        <v>10.48</v>
      </c>
      <c r="F44">
        <v>10.62</v>
      </c>
      <c r="G44">
        <v>9.25</v>
      </c>
      <c r="H44">
        <v>10.14</v>
      </c>
      <c r="I44">
        <v>41.6</v>
      </c>
      <c r="J44">
        <v>18.510000000000002</v>
      </c>
      <c r="K44">
        <v>9.32</v>
      </c>
    </row>
    <row r="45" spans="1:11" s="9" customFormat="1" x14ac:dyDescent="0.3">
      <c r="A45" s="9" t="s">
        <v>10</v>
      </c>
      <c r="B45">
        <v>138.49</v>
      </c>
      <c r="C45">
        <v>129.27000000000001</v>
      </c>
      <c r="D45">
        <v>131.32</v>
      </c>
      <c r="E45">
        <v>153.07</v>
      </c>
      <c r="F45">
        <v>153.13999999999999</v>
      </c>
      <c r="G45">
        <v>179.66</v>
      </c>
      <c r="H45">
        <v>172.2</v>
      </c>
      <c r="I45">
        <v>171.93</v>
      </c>
      <c r="J45">
        <v>170.81</v>
      </c>
      <c r="K45">
        <v>165.97</v>
      </c>
    </row>
    <row r="46" spans="1:11" s="9" customFormat="1" x14ac:dyDescent="0.3">
      <c r="A46" s="9" t="s">
        <v>11</v>
      </c>
      <c r="B46">
        <v>42.69</v>
      </c>
      <c r="C46">
        <v>37.29</v>
      </c>
      <c r="D46">
        <v>46.96</v>
      </c>
      <c r="E46">
        <v>46.4</v>
      </c>
      <c r="F46">
        <v>45.29</v>
      </c>
      <c r="G46">
        <v>47.48</v>
      </c>
      <c r="H46">
        <v>62.57</v>
      </c>
      <c r="I46">
        <v>69.37</v>
      </c>
      <c r="J46">
        <v>62.5</v>
      </c>
      <c r="K46">
        <v>73.66</v>
      </c>
    </row>
    <row r="47" spans="1:11" s="9" customFormat="1" x14ac:dyDescent="0.3">
      <c r="A47" s="9" t="s">
        <v>12</v>
      </c>
      <c r="B47">
        <v>350.41</v>
      </c>
      <c r="C47">
        <v>41.86</v>
      </c>
      <c r="D47">
        <v>361.23</v>
      </c>
      <c r="E47">
        <v>1061.6300000000001</v>
      </c>
      <c r="F47">
        <v>511.18</v>
      </c>
      <c r="G47">
        <v>89.6</v>
      </c>
      <c r="H47">
        <v>573.38</v>
      </c>
      <c r="I47">
        <v>1311.08</v>
      </c>
      <c r="J47">
        <v>666.92</v>
      </c>
      <c r="K47">
        <v>187.98</v>
      </c>
    </row>
    <row r="48" spans="1:11" s="9" customFormat="1" x14ac:dyDescent="0.3">
      <c r="A48" s="9" t="s">
        <v>13</v>
      </c>
      <c r="B48">
        <v>92.51</v>
      </c>
      <c r="C48">
        <v>9.27</v>
      </c>
      <c r="D48">
        <v>90.14</v>
      </c>
      <c r="E48">
        <v>259.61</v>
      </c>
      <c r="F48">
        <v>115.69</v>
      </c>
      <c r="G48">
        <v>8.08</v>
      </c>
      <c r="H48">
        <v>134.80000000000001</v>
      </c>
      <c r="I48">
        <v>305.66000000000003</v>
      </c>
      <c r="J48">
        <v>152.86000000000001</v>
      </c>
      <c r="K48">
        <v>44.22</v>
      </c>
    </row>
    <row r="49" spans="1:11" s="9" customFormat="1" x14ac:dyDescent="0.3">
      <c r="A49" s="9" t="s">
        <v>14</v>
      </c>
      <c r="B49">
        <v>240.14</v>
      </c>
      <c r="C49">
        <v>16.489999999999998</v>
      </c>
      <c r="D49">
        <v>254.21</v>
      </c>
      <c r="E49">
        <v>787.44</v>
      </c>
      <c r="F49">
        <v>381.04</v>
      </c>
      <c r="G49">
        <v>74.75</v>
      </c>
      <c r="H49">
        <v>429.07</v>
      </c>
      <c r="I49">
        <v>993.81</v>
      </c>
      <c r="J49">
        <v>501.07</v>
      </c>
      <c r="K49">
        <v>131.97</v>
      </c>
    </row>
    <row r="50" spans="1:11" x14ac:dyDescent="0.3">
      <c r="A50" s="9" t="s">
        <v>8</v>
      </c>
      <c r="B50">
        <v>494.66</v>
      </c>
      <c r="C50">
        <v>207.57</v>
      </c>
      <c r="D50">
        <v>531</v>
      </c>
      <c r="E50">
        <v>1250.6199999999999</v>
      </c>
      <c r="F50">
        <v>698.99</v>
      </c>
      <c r="G50">
        <v>307.49</v>
      </c>
      <c r="H50">
        <v>798.01</v>
      </c>
      <c r="I50">
        <v>1510.78</v>
      </c>
      <c r="J50">
        <v>881.72</v>
      </c>
      <c r="K50">
        <v>418.29</v>
      </c>
    </row>
    <row r="51" spans="1:11" x14ac:dyDescent="0.3">
      <c r="A51" s="9"/>
    </row>
    <row r="52" spans="1:11" x14ac:dyDescent="0.3">
      <c r="A52" s="9"/>
    </row>
    <row r="53" spans="1:11" x14ac:dyDescent="0.3">
      <c r="A53" s="9"/>
    </row>
    <row r="54" spans="1:11" x14ac:dyDescent="0.3">
      <c r="A54" s="9"/>
    </row>
    <row r="55" spans="1:11" x14ac:dyDescent="0.3">
      <c r="A55" s="1" t="s">
        <v>40</v>
      </c>
    </row>
    <row r="56" spans="1:11" s="24" customFormat="1" x14ac:dyDescent="0.3">
      <c r="A56" s="23" t="s">
        <v>38</v>
      </c>
      <c r="B56" s="16">
        <v>42004</v>
      </c>
      <c r="C56" s="16">
        <v>42369</v>
      </c>
      <c r="D56" s="16">
        <v>42735</v>
      </c>
      <c r="E56" s="16">
        <v>43100</v>
      </c>
      <c r="F56" s="16">
        <v>43465</v>
      </c>
      <c r="G56" s="16">
        <v>43830</v>
      </c>
      <c r="H56" s="16">
        <v>44196</v>
      </c>
      <c r="I56" s="16">
        <v>44561</v>
      </c>
      <c r="J56" s="16">
        <v>44926</v>
      </c>
      <c r="K56" s="16">
        <v>45291</v>
      </c>
    </row>
    <row r="57" spans="1:11" x14ac:dyDescent="0.3">
      <c r="A57" s="9" t="s">
        <v>24</v>
      </c>
      <c r="B57">
        <v>133.77000000000001</v>
      </c>
      <c r="C57">
        <v>133.77000000000001</v>
      </c>
      <c r="D57">
        <v>182.31</v>
      </c>
      <c r="E57">
        <v>182.59</v>
      </c>
      <c r="F57">
        <v>182.64</v>
      </c>
      <c r="G57">
        <v>288.69</v>
      </c>
      <c r="H57">
        <v>288.69</v>
      </c>
      <c r="I57">
        <v>433.03</v>
      </c>
      <c r="J57">
        <v>649.54999999999995</v>
      </c>
      <c r="K57">
        <v>649.61</v>
      </c>
    </row>
    <row r="58" spans="1:11" x14ac:dyDescent="0.3">
      <c r="A58" s="9" t="s">
        <v>25</v>
      </c>
      <c r="B58">
        <v>9.31</v>
      </c>
      <c r="C58">
        <v>90.51</v>
      </c>
      <c r="D58">
        <v>1511.28</v>
      </c>
      <c r="E58">
        <v>1586.84</v>
      </c>
      <c r="F58">
        <v>1815.86</v>
      </c>
      <c r="G58">
        <v>3039.73</v>
      </c>
      <c r="H58">
        <v>3235.31</v>
      </c>
      <c r="I58">
        <v>3646.88</v>
      </c>
      <c r="J58">
        <v>4452.83</v>
      </c>
      <c r="K58">
        <v>6286.89</v>
      </c>
    </row>
    <row r="59" spans="1:11" x14ac:dyDescent="0.3">
      <c r="A59" s="9" t="s">
        <v>71</v>
      </c>
      <c r="B59">
        <v>2415.31</v>
      </c>
      <c r="C59">
        <v>2077.35</v>
      </c>
      <c r="D59">
        <v>2215.4</v>
      </c>
      <c r="E59">
        <v>2653.7</v>
      </c>
      <c r="F59">
        <v>2807.87</v>
      </c>
      <c r="G59">
        <v>3417.18</v>
      </c>
      <c r="H59">
        <v>3216.12</v>
      </c>
      <c r="I59">
        <v>3386.76</v>
      </c>
      <c r="J59">
        <v>3883.81</v>
      </c>
      <c r="K59">
        <v>5431.31</v>
      </c>
    </row>
    <row r="60" spans="1:11" x14ac:dyDescent="0.3">
      <c r="A60" s="9" t="s">
        <v>72</v>
      </c>
      <c r="B60">
        <v>733.25</v>
      </c>
      <c r="C60">
        <v>2129.62</v>
      </c>
      <c r="D60">
        <v>915.43</v>
      </c>
      <c r="E60">
        <v>852.48</v>
      </c>
      <c r="F60">
        <v>1191.6400000000001</v>
      </c>
      <c r="G60">
        <v>1629.98</v>
      </c>
      <c r="H60">
        <v>1707.24</v>
      </c>
      <c r="I60">
        <v>2112.81</v>
      </c>
      <c r="J60">
        <v>2632.05</v>
      </c>
      <c r="K60">
        <v>2819.37</v>
      </c>
    </row>
    <row r="61" spans="1:11" s="1" customFormat="1" x14ac:dyDescent="0.3">
      <c r="A61" s="1" t="s">
        <v>26</v>
      </c>
      <c r="B61">
        <v>3291.64</v>
      </c>
      <c r="C61">
        <v>4431.25</v>
      </c>
      <c r="D61">
        <v>4824.42</v>
      </c>
      <c r="E61">
        <v>5275.61</v>
      </c>
      <c r="F61">
        <v>5998.01</v>
      </c>
      <c r="G61">
        <v>8375.58</v>
      </c>
      <c r="H61">
        <v>8447.36</v>
      </c>
      <c r="I61">
        <v>9579.48</v>
      </c>
      <c r="J61">
        <v>11618.24</v>
      </c>
      <c r="K61">
        <v>15187.18</v>
      </c>
    </row>
    <row r="62" spans="1:11" x14ac:dyDescent="0.3">
      <c r="A62" s="9" t="s">
        <v>27</v>
      </c>
      <c r="B62">
        <v>2354.87</v>
      </c>
      <c r="C62">
        <v>3495.57</v>
      </c>
      <c r="D62">
        <v>3715.5</v>
      </c>
      <c r="E62">
        <v>3980.52</v>
      </c>
      <c r="F62">
        <v>4386.97</v>
      </c>
      <c r="G62">
        <v>6479.04</v>
      </c>
      <c r="H62">
        <v>6408.62</v>
      </c>
      <c r="I62">
        <v>6310.78</v>
      </c>
      <c r="J62">
        <v>6932.22</v>
      </c>
      <c r="K62">
        <v>8409.17</v>
      </c>
    </row>
    <row r="63" spans="1:11" x14ac:dyDescent="0.3">
      <c r="A63" s="9" t="s">
        <v>28</v>
      </c>
      <c r="B63">
        <v>24.75</v>
      </c>
      <c r="C63">
        <v>37.909999999999997</v>
      </c>
      <c r="D63">
        <v>95.58</v>
      </c>
      <c r="E63">
        <v>145.44</v>
      </c>
      <c r="F63">
        <v>352.36</v>
      </c>
      <c r="G63">
        <v>63.82</v>
      </c>
      <c r="H63">
        <v>66.819999999999993</v>
      </c>
      <c r="I63">
        <v>496.61</v>
      </c>
      <c r="J63">
        <v>606.63</v>
      </c>
      <c r="K63">
        <v>1922.22</v>
      </c>
    </row>
    <row r="64" spans="1:11" x14ac:dyDescent="0.3">
      <c r="A64" s="9" t="s">
        <v>29</v>
      </c>
      <c r="B64">
        <v>303.74</v>
      </c>
      <c r="C64">
        <v>3.27</v>
      </c>
      <c r="D64">
        <v>6.87</v>
      </c>
      <c r="E64">
        <v>8.23</v>
      </c>
      <c r="F64">
        <v>11.24</v>
      </c>
      <c r="J64">
        <v>0.01</v>
      </c>
      <c r="K64">
        <v>21.08</v>
      </c>
    </row>
    <row r="65" spans="1:11" x14ac:dyDescent="0.3">
      <c r="A65" s="9" t="s">
        <v>73</v>
      </c>
      <c r="B65">
        <v>608.28</v>
      </c>
      <c r="C65">
        <v>894.5</v>
      </c>
      <c r="D65">
        <v>1006.47</v>
      </c>
      <c r="E65">
        <v>1141.42</v>
      </c>
      <c r="F65">
        <v>1247.44</v>
      </c>
      <c r="G65">
        <v>1832.72</v>
      </c>
      <c r="H65">
        <v>1971.92</v>
      </c>
      <c r="I65">
        <v>2772.09</v>
      </c>
      <c r="J65">
        <v>4079.38</v>
      </c>
      <c r="K65">
        <v>4834.71</v>
      </c>
    </row>
    <row r="66" spans="1:11" s="1" customFormat="1" x14ac:dyDescent="0.3">
      <c r="A66" s="1" t="s">
        <v>26</v>
      </c>
      <c r="B66">
        <v>3291.64</v>
      </c>
      <c r="C66">
        <v>4431.25</v>
      </c>
      <c r="D66">
        <v>4824.42</v>
      </c>
      <c r="E66">
        <v>5275.61</v>
      </c>
      <c r="F66">
        <v>5998.01</v>
      </c>
      <c r="G66">
        <v>8375.58</v>
      </c>
      <c r="H66">
        <v>8447.36</v>
      </c>
      <c r="I66">
        <v>9579.48</v>
      </c>
      <c r="J66">
        <v>11618.24</v>
      </c>
      <c r="K66">
        <v>15187.18</v>
      </c>
    </row>
    <row r="67" spans="1:11" s="9" customFormat="1" x14ac:dyDescent="0.3">
      <c r="A67" s="9" t="s">
        <v>78</v>
      </c>
      <c r="B67">
        <v>97.29</v>
      </c>
      <c r="C67">
        <v>97.91</v>
      </c>
      <c r="D67">
        <v>131.35</v>
      </c>
      <c r="E67">
        <v>150.25</v>
      </c>
      <c r="F67">
        <v>128.03</v>
      </c>
      <c r="G67">
        <v>172.56</v>
      </c>
      <c r="H67">
        <v>241.8</v>
      </c>
      <c r="I67">
        <v>221.25</v>
      </c>
      <c r="J67">
        <v>299.33999999999997</v>
      </c>
      <c r="K67">
        <v>359.39</v>
      </c>
    </row>
    <row r="68" spans="1:11" x14ac:dyDescent="0.3">
      <c r="A68" s="9" t="s">
        <v>45</v>
      </c>
      <c r="B68">
        <v>289.25</v>
      </c>
      <c r="C68">
        <v>424.66</v>
      </c>
      <c r="D68">
        <v>489.93</v>
      </c>
      <c r="E68">
        <v>438.89</v>
      </c>
      <c r="F68">
        <v>578.4</v>
      </c>
      <c r="G68">
        <v>881.51</v>
      </c>
      <c r="H68">
        <v>928.8</v>
      </c>
      <c r="I68">
        <v>1448.09</v>
      </c>
      <c r="J68">
        <v>1993.89</v>
      </c>
      <c r="K68">
        <v>2150.5300000000002</v>
      </c>
    </row>
    <row r="69" spans="1:11" x14ac:dyDescent="0.3">
      <c r="A69" s="5" t="s">
        <v>87</v>
      </c>
      <c r="B69">
        <v>34.409999999999997</v>
      </c>
      <c r="C69">
        <v>58.07</v>
      </c>
      <c r="D69">
        <v>65.7</v>
      </c>
      <c r="E69">
        <v>94.46</v>
      </c>
      <c r="F69">
        <v>93.48</v>
      </c>
      <c r="G69">
        <v>171.08</v>
      </c>
      <c r="H69">
        <v>190.05</v>
      </c>
      <c r="I69">
        <v>336.62</v>
      </c>
      <c r="J69">
        <v>285.27</v>
      </c>
      <c r="K69">
        <v>459.86</v>
      </c>
    </row>
    <row r="70" spans="1:11" x14ac:dyDescent="0.3">
      <c r="A70" s="5" t="s">
        <v>74</v>
      </c>
      <c r="B70">
        <v>133766165</v>
      </c>
      <c r="C70">
        <v>133766165</v>
      </c>
      <c r="D70">
        <v>182312525</v>
      </c>
      <c r="E70">
        <v>182586940</v>
      </c>
      <c r="F70">
        <v>182641940</v>
      </c>
      <c r="G70">
        <v>288688720</v>
      </c>
      <c r="H70">
        <v>288688720</v>
      </c>
      <c r="I70">
        <v>433033080</v>
      </c>
      <c r="J70">
        <v>649549620</v>
      </c>
      <c r="K70">
        <v>1299214976</v>
      </c>
    </row>
    <row r="71" spans="1:11" x14ac:dyDescent="0.3">
      <c r="A71" s="5" t="s">
        <v>75</v>
      </c>
      <c r="G71">
        <v>91327613</v>
      </c>
    </row>
    <row r="72" spans="1:11" x14ac:dyDescent="0.3">
      <c r="A72" s="5" t="s">
        <v>88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5</v>
      </c>
    </row>
    <row r="74" spans="1:11" x14ac:dyDescent="0.3">
      <c r="A74" s="9"/>
    </row>
    <row r="75" spans="1:11" x14ac:dyDescent="0.3">
      <c r="A75" s="9"/>
    </row>
    <row r="76" spans="1:11" x14ac:dyDescent="0.3">
      <c r="A76" s="9"/>
    </row>
    <row r="77" spans="1:11" x14ac:dyDescent="0.3">
      <c r="A77" s="9"/>
    </row>
    <row r="78" spans="1:11" x14ac:dyDescent="0.3">
      <c r="A78" s="9"/>
    </row>
    <row r="79" spans="1:11" x14ac:dyDescent="0.3">
      <c r="A79" s="9"/>
    </row>
    <row r="80" spans="1:11" x14ac:dyDescent="0.3">
      <c r="A80" s="1" t="s">
        <v>41</v>
      </c>
    </row>
    <row r="81" spans="1:11" s="24" customFormat="1" x14ac:dyDescent="0.3">
      <c r="A81" s="23" t="s">
        <v>38</v>
      </c>
      <c r="B81" s="16">
        <v>42004</v>
      </c>
      <c r="C81" s="16">
        <v>42369</v>
      </c>
      <c r="D81" s="16">
        <v>42735</v>
      </c>
      <c r="E81" s="16">
        <v>43100</v>
      </c>
      <c r="F81" s="16">
        <v>43465</v>
      </c>
      <c r="G81" s="16">
        <v>43830</v>
      </c>
      <c r="H81" s="16">
        <v>44196</v>
      </c>
      <c r="I81" s="16">
        <v>44561</v>
      </c>
      <c r="J81" s="16">
        <v>44926</v>
      </c>
      <c r="K81" s="16">
        <v>45291</v>
      </c>
    </row>
    <row r="82" spans="1:11" s="1" customFormat="1" x14ac:dyDescent="0.3">
      <c r="A82" s="9" t="s">
        <v>32</v>
      </c>
      <c r="B82">
        <v>430.86</v>
      </c>
      <c r="C82">
        <v>554.79</v>
      </c>
      <c r="D82">
        <v>825.78</v>
      </c>
      <c r="E82">
        <v>619.76</v>
      </c>
      <c r="F82">
        <v>999.78</v>
      </c>
      <c r="G82">
        <v>1307.5999999999999</v>
      </c>
      <c r="H82">
        <v>1011.99</v>
      </c>
      <c r="I82">
        <v>1231.42</v>
      </c>
      <c r="J82">
        <v>1790.03</v>
      </c>
      <c r="K82">
        <v>2390.7800000000002</v>
      </c>
    </row>
    <row r="83" spans="1:11" s="9" customFormat="1" x14ac:dyDescent="0.3">
      <c r="A83" s="9" t="s">
        <v>33</v>
      </c>
      <c r="B83">
        <v>-499.96</v>
      </c>
      <c r="C83">
        <v>-299.67</v>
      </c>
      <c r="D83">
        <v>-1047.8</v>
      </c>
      <c r="E83">
        <v>-745.95</v>
      </c>
      <c r="F83">
        <v>-937.4</v>
      </c>
      <c r="G83">
        <v>-2319.9</v>
      </c>
      <c r="H83">
        <v>-471.68</v>
      </c>
      <c r="I83">
        <v>-1007.55</v>
      </c>
      <c r="J83">
        <v>-1768.51</v>
      </c>
      <c r="K83">
        <v>-3287.8</v>
      </c>
    </row>
    <row r="84" spans="1:11" s="9" customFormat="1" x14ac:dyDescent="0.3">
      <c r="A84" s="9" t="s">
        <v>34</v>
      </c>
      <c r="B84">
        <v>57.73</v>
      </c>
      <c r="C84">
        <v>-236</v>
      </c>
      <c r="D84">
        <v>230.23</v>
      </c>
      <c r="E84">
        <v>158.63</v>
      </c>
      <c r="F84">
        <v>-84.39</v>
      </c>
      <c r="G84">
        <v>1107.3399999999999</v>
      </c>
      <c r="H84">
        <v>-573.72</v>
      </c>
      <c r="I84">
        <v>-177.68</v>
      </c>
      <c r="J84">
        <v>-17.940000000000001</v>
      </c>
      <c r="K84">
        <v>984.9</v>
      </c>
    </row>
    <row r="85" spans="1:11" s="1" customFormat="1" x14ac:dyDescent="0.3">
      <c r="A85" s="9" t="s">
        <v>35</v>
      </c>
      <c r="B85">
        <v>-11.37</v>
      </c>
      <c r="C85">
        <v>19.12</v>
      </c>
      <c r="D85">
        <v>8.2100000000000009</v>
      </c>
      <c r="E85">
        <v>32.450000000000003</v>
      </c>
      <c r="F85">
        <v>-22.01</v>
      </c>
      <c r="G85">
        <v>95.03</v>
      </c>
      <c r="H85">
        <v>-33.409999999999997</v>
      </c>
      <c r="I85">
        <v>46.19</v>
      </c>
      <c r="J85">
        <v>3.58</v>
      </c>
      <c r="K85">
        <v>87.88</v>
      </c>
    </row>
    <row r="86" spans="1:11" x14ac:dyDescent="0.3">
      <c r="A86" s="9"/>
    </row>
    <row r="87" spans="1:11" x14ac:dyDescent="0.3">
      <c r="A87" s="9"/>
    </row>
    <row r="88" spans="1:11" x14ac:dyDescent="0.3">
      <c r="A88" s="9"/>
    </row>
    <row r="89" spans="1:11" x14ac:dyDescent="0.3">
      <c r="A89" s="9"/>
    </row>
    <row r="90" spans="1:11" s="1" customFormat="1" x14ac:dyDescent="0.3">
      <c r="A90" s="1" t="s">
        <v>77</v>
      </c>
      <c r="D90">
        <v>56.38</v>
      </c>
      <c r="E90">
        <v>96.78</v>
      </c>
      <c r="F90">
        <v>116.21</v>
      </c>
      <c r="G90">
        <v>157.47</v>
      </c>
      <c r="H90">
        <v>203.57</v>
      </c>
      <c r="I90">
        <v>296.10000000000002</v>
      </c>
      <c r="J90">
        <v>661.28</v>
      </c>
      <c r="K90">
        <v>1236.9000000000001</v>
      </c>
    </row>
    <row r="92" spans="1:11" s="1" customFormat="1" x14ac:dyDescent="0.3">
      <c r="A92" s="1" t="s">
        <v>76</v>
      </c>
    </row>
    <row r="93" spans="1:11" x14ac:dyDescent="0.3">
      <c r="A93" s="5" t="s">
        <v>89</v>
      </c>
      <c r="B93" s="31">
        <v>90.3</v>
      </c>
      <c r="C93" s="31">
        <v>90.3</v>
      </c>
      <c r="D93" s="31">
        <v>123.06</v>
      </c>
      <c r="E93" s="31">
        <v>123.26</v>
      </c>
      <c r="F93" s="31">
        <v>123.3</v>
      </c>
      <c r="G93" s="31">
        <v>129.91999999999999</v>
      </c>
      <c r="H93" s="31">
        <v>129.91999999999999</v>
      </c>
      <c r="I93" s="31">
        <v>129.91999999999999</v>
      </c>
      <c r="J93" s="31">
        <v>129.91</v>
      </c>
      <c r="K93" s="31">
        <v>129.91999999999999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topLeftCell="A14" workbookViewId="0">
      <selection activeCell="B23" sqref="B23:B33"/>
    </sheetView>
  </sheetViews>
  <sheetFormatPr defaultRowHeight="14.4" x14ac:dyDescent="0.3"/>
  <sheetData>
    <row r="2" spans="2:14" x14ac:dyDescent="0.3">
      <c r="B2" s="51">
        <v>41244</v>
      </c>
      <c r="C2" s="51">
        <v>41609</v>
      </c>
      <c r="D2" s="51">
        <v>41974</v>
      </c>
      <c r="E2" s="51">
        <v>42339</v>
      </c>
      <c r="F2" s="51">
        <v>42705</v>
      </c>
      <c r="G2" s="51">
        <v>43070</v>
      </c>
      <c r="H2" s="51">
        <v>43435</v>
      </c>
      <c r="I2" s="51">
        <v>43800</v>
      </c>
      <c r="J2" s="51">
        <v>44166</v>
      </c>
      <c r="K2" s="51">
        <v>44531</v>
      </c>
      <c r="L2" s="51">
        <v>44896</v>
      </c>
      <c r="M2" s="51">
        <v>45261</v>
      </c>
    </row>
    <row r="3" spans="2:14" x14ac:dyDescent="0.3">
      <c r="B3" t="s">
        <v>126</v>
      </c>
      <c r="C3">
        <v>280</v>
      </c>
      <c r="D3">
        <v>297</v>
      </c>
      <c r="E3">
        <v>431</v>
      </c>
      <c r="F3">
        <v>555</v>
      </c>
      <c r="G3">
        <v>826</v>
      </c>
      <c r="H3">
        <v>620</v>
      </c>
      <c r="I3" s="52">
        <v>1000</v>
      </c>
      <c r="J3" s="52">
        <v>1308</v>
      </c>
      <c r="K3" s="52">
        <v>1012</v>
      </c>
      <c r="L3" s="52">
        <v>1231</v>
      </c>
      <c r="M3" s="52">
        <v>1790</v>
      </c>
      <c r="N3" s="52">
        <v>2391</v>
      </c>
    </row>
    <row r="4" spans="2:14" x14ac:dyDescent="0.3">
      <c r="B4" t="s">
        <v>127</v>
      </c>
      <c r="C4">
        <v>271</v>
      </c>
      <c r="D4">
        <v>313</v>
      </c>
      <c r="E4">
        <v>397</v>
      </c>
      <c r="F4">
        <v>645</v>
      </c>
      <c r="G4">
        <v>820</v>
      </c>
      <c r="H4">
        <v>873</v>
      </c>
      <c r="I4" s="52">
        <v>1123</v>
      </c>
      <c r="J4" s="52">
        <v>1513</v>
      </c>
      <c r="K4" s="52">
        <v>1200</v>
      </c>
      <c r="L4" s="52">
        <v>1624</v>
      </c>
      <c r="M4" s="52">
        <v>2749</v>
      </c>
      <c r="N4" s="52">
        <v>3732</v>
      </c>
    </row>
    <row r="5" spans="2:14" x14ac:dyDescent="0.3">
      <c r="B5" t="s">
        <v>78</v>
      </c>
      <c r="C5">
        <v>23</v>
      </c>
      <c r="D5">
        <v>21</v>
      </c>
      <c r="E5">
        <v>-38</v>
      </c>
      <c r="F5">
        <v>0</v>
      </c>
      <c r="G5">
        <v>7</v>
      </c>
      <c r="H5">
        <v>-34</v>
      </c>
      <c r="I5">
        <v>-13</v>
      </c>
      <c r="J5">
        <v>-32</v>
      </c>
      <c r="K5">
        <v>-76</v>
      </c>
      <c r="L5">
        <v>15</v>
      </c>
      <c r="M5">
        <v>-123</v>
      </c>
      <c r="N5">
        <v>-73</v>
      </c>
    </row>
    <row r="6" spans="2:14" x14ac:dyDescent="0.3">
      <c r="B6" t="s">
        <v>45</v>
      </c>
      <c r="C6">
        <v>8</v>
      </c>
      <c r="D6">
        <v>-16</v>
      </c>
      <c r="E6">
        <v>-43</v>
      </c>
      <c r="F6">
        <v>-135</v>
      </c>
      <c r="G6">
        <v>-39</v>
      </c>
      <c r="H6">
        <v>45</v>
      </c>
      <c r="I6">
        <v>-151</v>
      </c>
      <c r="J6">
        <v>-185</v>
      </c>
      <c r="K6">
        <v>-47</v>
      </c>
      <c r="L6">
        <v>-519</v>
      </c>
      <c r="M6">
        <v>-557</v>
      </c>
      <c r="N6">
        <v>-160</v>
      </c>
    </row>
    <row r="7" spans="2:14" x14ac:dyDescent="0.3">
      <c r="B7" t="s">
        <v>128</v>
      </c>
      <c r="C7">
        <v>62</v>
      </c>
      <c r="D7">
        <v>-49</v>
      </c>
      <c r="E7">
        <v>86</v>
      </c>
      <c r="F7">
        <v>149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2:14" x14ac:dyDescent="0.3">
      <c r="B8" t="s">
        <v>129</v>
      </c>
      <c r="C8">
        <v>-73</v>
      </c>
      <c r="D8">
        <v>32</v>
      </c>
      <c r="E8">
        <v>39</v>
      </c>
      <c r="F8">
        <v>-56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3">
      <c r="B9" t="s">
        <v>130</v>
      </c>
      <c r="C9">
        <v>0</v>
      </c>
      <c r="D9">
        <v>0</v>
      </c>
      <c r="E9">
        <v>0</v>
      </c>
      <c r="F9">
        <v>0</v>
      </c>
      <c r="G9">
        <v>95</v>
      </c>
      <c r="H9">
        <v>-207</v>
      </c>
      <c r="I9">
        <v>114</v>
      </c>
      <c r="J9">
        <v>132</v>
      </c>
      <c r="K9">
        <v>12</v>
      </c>
      <c r="L9">
        <v>236</v>
      </c>
      <c r="M9">
        <v>95</v>
      </c>
      <c r="N9">
        <v>-440</v>
      </c>
    </row>
    <row r="10" spans="2:14" x14ac:dyDescent="0.3">
      <c r="B10" t="s">
        <v>131</v>
      </c>
      <c r="C10">
        <v>20</v>
      </c>
      <c r="D10">
        <v>-12</v>
      </c>
      <c r="E10">
        <v>44</v>
      </c>
      <c r="F10">
        <v>-42</v>
      </c>
      <c r="G10">
        <v>64</v>
      </c>
      <c r="H10">
        <v>-197</v>
      </c>
      <c r="I10">
        <v>-50</v>
      </c>
      <c r="J10">
        <v>-85</v>
      </c>
      <c r="K10">
        <v>-111</v>
      </c>
      <c r="L10">
        <v>-269</v>
      </c>
      <c r="M10">
        <v>-585</v>
      </c>
      <c r="N10">
        <v>-673</v>
      </c>
    </row>
    <row r="11" spans="2:14" x14ac:dyDescent="0.3">
      <c r="B11" t="s">
        <v>132</v>
      </c>
      <c r="C11">
        <v>-11</v>
      </c>
      <c r="D11">
        <v>-4</v>
      </c>
      <c r="E11">
        <v>-11</v>
      </c>
      <c r="F11">
        <v>-48</v>
      </c>
      <c r="G11">
        <v>-58</v>
      </c>
      <c r="H11">
        <v>-57</v>
      </c>
      <c r="I11">
        <v>-73</v>
      </c>
      <c r="J11">
        <v>-120</v>
      </c>
      <c r="K11">
        <v>-78</v>
      </c>
      <c r="L11">
        <v>-124</v>
      </c>
      <c r="M11">
        <v>-373</v>
      </c>
      <c r="N11">
        <v>-668</v>
      </c>
    </row>
    <row r="12" spans="2:14" x14ac:dyDescent="0.3">
      <c r="B12" t="s">
        <v>133</v>
      </c>
      <c r="C12">
        <v>-507</v>
      </c>
      <c r="D12">
        <v>-574</v>
      </c>
      <c r="E12">
        <v>-500</v>
      </c>
      <c r="F12">
        <v>-300</v>
      </c>
      <c r="G12" s="52">
        <v>-1048</v>
      </c>
      <c r="H12">
        <v>-746</v>
      </c>
      <c r="I12">
        <v>-937</v>
      </c>
      <c r="J12" s="52">
        <v>-2320</v>
      </c>
      <c r="K12">
        <v>-472</v>
      </c>
      <c r="L12" s="52">
        <v>-1008</v>
      </c>
      <c r="M12" s="52">
        <v>-1769</v>
      </c>
      <c r="N12" s="52">
        <v>-3288</v>
      </c>
    </row>
    <row r="13" spans="2:14" x14ac:dyDescent="0.3">
      <c r="B13" t="s">
        <v>134</v>
      </c>
      <c r="C13">
        <v>-421</v>
      </c>
      <c r="D13">
        <v>-578</v>
      </c>
      <c r="E13">
        <v>-220</v>
      </c>
      <c r="F13">
        <v>-269</v>
      </c>
      <c r="G13">
        <v>-792</v>
      </c>
      <c r="H13">
        <v>-533</v>
      </c>
      <c r="I13">
        <v>-859</v>
      </c>
      <c r="J13">
        <v>-754</v>
      </c>
      <c r="K13">
        <v>-560</v>
      </c>
      <c r="L13">
        <v>-835</v>
      </c>
      <c r="M13" s="52">
        <v>-1801</v>
      </c>
      <c r="N13" s="52">
        <v>-3264</v>
      </c>
    </row>
    <row r="14" spans="2:14" x14ac:dyDescent="0.3">
      <c r="B14" t="s">
        <v>135</v>
      </c>
      <c r="C14">
        <v>0</v>
      </c>
      <c r="D14">
        <v>0</v>
      </c>
      <c r="E14">
        <v>0</v>
      </c>
      <c r="F14">
        <v>4</v>
      </c>
      <c r="G14">
        <v>12</v>
      </c>
      <c r="H14">
        <v>17</v>
      </c>
      <c r="I14">
        <v>50</v>
      </c>
      <c r="J14">
        <v>21</v>
      </c>
      <c r="K14">
        <v>24</v>
      </c>
      <c r="L14">
        <v>19</v>
      </c>
      <c r="M14">
        <v>51</v>
      </c>
      <c r="N14">
        <v>70</v>
      </c>
    </row>
    <row r="15" spans="2:14" x14ac:dyDescent="0.3">
      <c r="B15" t="s">
        <v>136</v>
      </c>
      <c r="C15">
        <v>-91</v>
      </c>
      <c r="D15">
        <v>0</v>
      </c>
      <c r="E15">
        <v>-302</v>
      </c>
      <c r="F15">
        <v>-550</v>
      </c>
      <c r="G15">
        <v>-35</v>
      </c>
      <c r="H15">
        <v>-35</v>
      </c>
      <c r="I15">
        <v>0</v>
      </c>
      <c r="J15">
        <v>-73</v>
      </c>
      <c r="K15">
        <v>0</v>
      </c>
      <c r="L15">
        <v>0</v>
      </c>
      <c r="M15">
        <v>0</v>
      </c>
      <c r="N15">
        <v>0</v>
      </c>
    </row>
    <row r="16" spans="2:14" x14ac:dyDescent="0.3">
      <c r="B16" t="s">
        <v>137</v>
      </c>
      <c r="C16">
        <v>0</v>
      </c>
      <c r="D16">
        <v>0</v>
      </c>
      <c r="E16">
        <v>8</v>
      </c>
      <c r="F16">
        <v>512</v>
      </c>
      <c r="G16">
        <v>35</v>
      </c>
      <c r="H16">
        <v>35</v>
      </c>
      <c r="I16">
        <v>0</v>
      </c>
      <c r="J16">
        <v>73</v>
      </c>
      <c r="K16">
        <v>0</v>
      </c>
      <c r="L16">
        <v>0</v>
      </c>
      <c r="M16">
        <v>0</v>
      </c>
      <c r="N16">
        <v>0</v>
      </c>
    </row>
    <row r="17" spans="2:14" x14ac:dyDescent="0.3">
      <c r="B17" t="s">
        <v>138</v>
      </c>
      <c r="C17">
        <v>5</v>
      </c>
      <c r="D17">
        <v>4</v>
      </c>
      <c r="E17">
        <v>12</v>
      </c>
      <c r="F17">
        <v>6</v>
      </c>
      <c r="G17">
        <v>8</v>
      </c>
      <c r="H17">
        <v>5</v>
      </c>
      <c r="I17">
        <v>6</v>
      </c>
      <c r="J17">
        <v>5</v>
      </c>
      <c r="K17">
        <v>9</v>
      </c>
      <c r="L17">
        <v>13</v>
      </c>
      <c r="M17">
        <v>23</v>
      </c>
      <c r="N17">
        <v>22</v>
      </c>
    </row>
    <row r="18" spans="2:14" x14ac:dyDescent="0.3">
      <c r="B18" t="s">
        <v>139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3">
      <c r="B19" t="s">
        <v>140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-22</v>
      </c>
    </row>
    <row r="20" spans="2:14" x14ac:dyDescent="0.3">
      <c r="B20" t="s">
        <v>141</v>
      </c>
      <c r="C20">
        <v>0</v>
      </c>
      <c r="D20">
        <v>0</v>
      </c>
      <c r="E20">
        <v>0</v>
      </c>
      <c r="F20">
        <v>0</v>
      </c>
      <c r="G20">
        <v>-276</v>
      </c>
      <c r="H20">
        <v>-212</v>
      </c>
      <c r="I20">
        <v>0</v>
      </c>
      <c r="J20">
        <v>-8</v>
      </c>
      <c r="K20">
        <v>0</v>
      </c>
      <c r="L20">
        <v>0</v>
      </c>
      <c r="M20">
        <v>0</v>
      </c>
      <c r="N20">
        <v>-10</v>
      </c>
    </row>
    <row r="21" spans="2:14" x14ac:dyDescent="0.3">
      <c r="B21" t="s">
        <v>142</v>
      </c>
      <c r="C21">
        <v>0</v>
      </c>
      <c r="D21">
        <v>0</v>
      </c>
      <c r="E21">
        <v>0</v>
      </c>
      <c r="F21">
        <v>-4</v>
      </c>
      <c r="G21">
        <v>0</v>
      </c>
      <c r="H21">
        <v>-23</v>
      </c>
      <c r="I21">
        <v>-134</v>
      </c>
      <c r="J21" s="52">
        <v>-1583</v>
      </c>
      <c r="K21">
        <v>55</v>
      </c>
      <c r="L21">
        <v>-205</v>
      </c>
      <c r="M21">
        <v>-42</v>
      </c>
      <c r="N21">
        <v>-85</v>
      </c>
    </row>
    <row r="22" spans="2:14" x14ac:dyDescent="0.3">
      <c r="B22" t="s">
        <v>143</v>
      </c>
      <c r="C22">
        <v>229</v>
      </c>
      <c r="D22">
        <v>274</v>
      </c>
      <c r="E22">
        <v>58</v>
      </c>
      <c r="F22">
        <v>-236</v>
      </c>
      <c r="G22">
        <v>230</v>
      </c>
      <c r="H22">
        <v>159</v>
      </c>
      <c r="I22">
        <v>-84</v>
      </c>
      <c r="J22" s="52">
        <v>1107</v>
      </c>
      <c r="K22">
        <v>-574</v>
      </c>
      <c r="L22">
        <v>-178</v>
      </c>
      <c r="M22">
        <v>-18</v>
      </c>
      <c r="N22">
        <v>985</v>
      </c>
    </row>
    <row r="23" spans="2:14" x14ac:dyDescent="0.3">
      <c r="B23" t="s">
        <v>144</v>
      </c>
      <c r="C23">
        <v>0</v>
      </c>
      <c r="D23">
        <v>40</v>
      </c>
      <c r="E23">
        <v>240</v>
      </c>
      <c r="F23">
        <v>0</v>
      </c>
      <c r="G23">
        <v>701</v>
      </c>
      <c r="H23">
        <v>4</v>
      </c>
      <c r="I23">
        <v>1</v>
      </c>
      <c r="J23">
        <v>900</v>
      </c>
      <c r="K23">
        <v>0</v>
      </c>
      <c r="L23">
        <v>0</v>
      </c>
      <c r="M23">
        <v>0</v>
      </c>
      <c r="N23">
        <v>4</v>
      </c>
    </row>
    <row r="24" spans="2:14" x14ac:dyDescent="0.3">
      <c r="B24" t="s">
        <v>145</v>
      </c>
      <c r="C24">
        <v>0</v>
      </c>
      <c r="D24">
        <v>0</v>
      </c>
      <c r="E24">
        <v>0</v>
      </c>
      <c r="F24">
        <v>320</v>
      </c>
      <c r="G24">
        <v>180</v>
      </c>
      <c r="H24">
        <v>300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2:14" x14ac:dyDescent="0.3">
      <c r="B25" t="s">
        <v>146</v>
      </c>
      <c r="C25">
        <v>0</v>
      </c>
      <c r="D25">
        <v>0</v>
      </c>
      <c r="E25">
        <v>0</v>
      </c>
      <c r="F25">
        <v>0</v>
      </c>
      <c r="G25">
        <v>-500</v>
      </c>
      <c r="H25">
        <v>0</v>
      </c>
      <c r="I25">
        <v>-300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2:14" x14ac:dyDescent="0.3">
      <c r="B26" t="s">
        <v>147</v>
      </c>
      <c r="C26">
        <v>341</v>
      </c>
      <c r="D26">
        <v>396</v>
      </c>
      <c r="E26">
        <v>171</v>
      </c>
      <c r="F26">
        <v>332</v>
      </c>
      <c r="G26">
        <v>0</v>
      </c>
      <c r="H26">
        <v>0</v>
      </c>
      <c r="I26" s="52">
        <v>1400</v>
      </c>
      <c r="J26" s="52">
        <v>1958</v>
      </c>
      <c r="K26" s="52">
        <v>1020</v>
      </c>
      <c r="L26">
        <v>855</v>
      </c>
      <c r="M26" s="52">
        <v>1478</v>
      </c>
      <c r="N26" s="52">
        <v>2783</v>
      </c>
    </row>
    <row r="27" spans="2:14" x14ac:dyDescent="0.3">
      <c r="B27" t="s">
        <v>148</v>
      </c>
      <c r="C27">
        <v>0</v>
      </c>
      <c r="D27">
        <v>-1</v>
      </c>
      <c r="E27">
        <v>-87</v>
      </c>
      <c r="F27">
        <v>-997</v>
      </c>
      <c r="G27">
        <v>71</v>
      </c>
      <c r="H27">
        <v>-57</v>
      </c>
      <c r="I27">
        <v>-644</v>
      </c>
      <c r="J27" s="52">
        <v>-1310</v>
      </c>
      <c r="K27" s="52">
        <v>-1233</v>
      </c>
      <c r="L27">
        <v>-726</v>
      </c>
      <c r="M27" s="52">
        <v>-1138</v>
      </c>
      <c r="N27" s="52">
        <v>-1277</v>
      </c>
    </row>
    <row r="28" spans="2:14" x14ac:dyDescent="0.3">
      <c r="B28" t="s">
        <v>149</v>
      </c>
      <c r="C28">
        <v>-111</v>
      </c>
      <c r="D28">
        <v>-161</v>
      </c>
      <c r="E28">
        <v>-186</v>
      </c>
      <c r="F28">
        <v>-141</v>
      </c>
      <c r="G28">
        <v>-219</v>
      </c>
      <c r="H28">
        <v>-156</v>
      </c>
      <c r="I28">
        <v>-189</v>
      </c>
      <c r="J28">
        <v>-303</v>
      </c>
      <c r="K28">
        <v>-277</v>
      </c>
      <c r="L28">
        <v>-179</v>
      </c>
      <c r="M28">
        <v>-172</v>
      </c>
      <c r="N28">
        <v>-269</v>
      </c>
    </row>
    <row r="29" spans="2:14" x14ac:dyDescent="0.3">
      <c r="B29" t="s">
        <v>150</v>
      </c>
      <c r="C29">
        <v>0</v>
      </c>
      <c r="D29">
        <v>0</v>
      </c>
      <c r="E29">
        <v>0</v>
      </c>
      <c r="F29">
        <v>0</v>
      </c>
      <c r="G29">
        <v>0</v>
      </c>
      <c r="H29">
        <v>-46</v>
      </c>
      <c r="I29">
        <v>-46</v>
      </c>
      <c r="J29">
        <v>-69</v>
      </c>
      <c r="K29">
        <v>-72</v>
      </c>
      <c r="L29">
        <v>-108</v>
      </c>
      <c r="M29">
        <v>-162</v>
      </c>
      <c r="N29">
        <v>-227</v>
      </c>
    </row>
    <row r="30" spans="2:14" x14ac:dyDescent="0.3">
      <c r="B30" t="s">
        <v>151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-11</v>
      </c>
      <c r="L30">
        <v>-19</v>
      </c>
      <c r="M30">
        <v>-23</v>
      </c>
      <c r="N30">
        <v>-30</v>
      </c>
    </row>
    <row r="31" spans="2:14" x14ac:dyDescent="0.3">
      <c r="B31" t="s">
        <v>152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2:14" x14ac:dyDescent="0.3">
      <c r="B32" t="s">
        <v>153</v>
      </c>
      <c r="C32">
        <v>0</v>
      </c>
      <c r="D32">
        <v>0</v>
      </c>
      <c r="E32">
        <v>0</v>
      </c>
      <c r="F32">
        <v>0</v>
      </c>
      <c r="G32">
        <v>-21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2:14" x14ac:dyDescent="0.3">
      <c r="B33" t="s">
        <v>154</v>
      </c>
      <c r="C33">
        <v>0</v>
      </c>
      <c r="D33">
        <v>0</v>
      </c>
      <c r="E33">
        <v>-80</v>
      </c>
      <c r="F33">
        <v>250</v>
      </c>
      <c r="G33">
        <v>17</v>
      </c>
      <c r="H33">
        <v>113</v>
      </c>
      <c r="I33">
        <v>-308</v>
      </c>
      <c r="J33">
        <v>-69</v>
      </c>
      <c r="K33">
        <v>0</v>
      </c>
      <c r="L33">
        <v>0</v>
      </c>
      <c r="M33">
        <v>0</v>
      </c>
      <c r="N33">
        <v>0</v>
      </c>
    </row>
    <row r="34" spans="2:14" x14ac:dyDescent="0.3">
      <c r="B34" t="s">
        <v>35</v>
      </c>
      <c r="C34">
        <v>3</v>
      </c>
      <c r="D34">
        <v>-2</v>
      </c>
      <c r="E34">
        <v>-11</v>
      </c>
      <c r="F34">
        <v>19</v>
      </c>
      <c r="G34">
        <v>8</v>
      </c>
      <c r="H34">
        <v>32</v>
      </c>
      <c r="I34">
        <v>-22</v>
      </c>
      <c r="J34">
        <v>95</v>
      </c>
      <c r="K34">
        <v>-33</v>
      </c>
      <c r="L34">
        <v>46</v>
      </c>
      <c r="M34">
        <v>4</v>
      </c>
      <c r="N34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>
      <selection activeCell="L27" sqref="L27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06"/>
  <sheetViews>
    <sheetView showGridLines="0" tabSelected="1" workbookViewId="0">
      <pane ySplit="3" topLeftCell="A10" activePane="bottomLeft" state="frozen"/>
      <selection pane="bottomLeft" activeCell="K39" sqref="K39"/>
    </sheetView>
  </sheetViews>
  <sheetFormatPr defaultRowHeight="14.4" x14ac:dyDescent="0.3"/>
  <cols>
    <col min="1" max="1" width="1.88671875" customWidth="1"/>
    <col min="2" max="2" width="28.109375" customWidth="1"/>
    <col min="3" max="3" width="11" customWidth="1"/>
    <col min="4" max="5" width="9.44140625" bestFit="1" customWidth="1"/>
    <col min="6" max="6" width="10.109375" bestFit="1" customWidth="1"/>
    <col min="7" max="8" width="9.44140625" bestFit="1" customWidth="1"/>
    <col min="9" max="10" width="10.109375" bestFit="1" customWidth="1"/>
    <col min="11" max="13" width="10.44140625" bestFit="1" customWidth="1"/>
  </cols>
  <sheetData>
    <row r="2" spans="1:13" x14ac:dyDescent="0.3">
      <c r="B2" s="109" t="str">
        <f>"Historical Financial Statement -"&amp;'Data Sheet'!B1</f>
        <v>Historical Financial Statement -VARUN BEVERAGES LTD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</row>
    <row r="3" spans="1:13" x14ac:dyDescent="0.3">
      <c r="B3" s="32" t="s">
        <v>93</v>
      </c>
      <c r="C3" s="33">
        <f>'Data Sheet'!B16</f>
        <v>42004</v>
      </c>
      <c r="D3" s="33">
        <f>'Data Sheet'!C16</f>
        <v>42369</v>
      </c>
      <c r="E3" s="33">
        <f>'Data Sheet'!D16</f>
        <v>42735</v>
      </c>
      <c r="F3" s="33">
        <f>'Data Sheet'!E16</f>
        <v>43100</v>
      </c>
      <c r="G3" s="33">
        <f>'Data Sheet'!F16</f>
        <v>43465</v>
      </c>
      <c r="H3" s="33">
        <f>'Data Sheet'!G16</f>
        <v>43830</v>
      </c>
      <c r="I3" s="33">
        <f>'Data Sheet'!H16</f>
        <v>44196</v>
      </c>
      <c r="J3" s="33">
        <f>'Data Sheet'!I16</f>
        <v>44561</v>
      </c>
      <c r="K3" s="33">
        <f>'Data Sheet'!J16</f>
        <v>44926</v>
      </c>
      <c r="L3" s="33">
        <f>'Data Sheet'!K16</f>
        <v>45291</v>
      </c>
      <c r="M3" s="34" t="s">
        <v>94</v>
      </c>
    </row>
    <row r="4" spans="1:13" x14ac:dyDescent="0.3"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</row>
    <row r="5" spans="1:13" x14ac:dyDescent="0.3">
      <c r="A5" t="s">
        <v>95</v>
      </c>
      <c r="B5" s="35" t="s">
        <v>96</v>
      </c>
    </row>
    <row r="6" spans="1:13" x14ac:dyDescent="0.3">
      <c r="B6" t="s">
        <v>6</v>
      </c>
      <c r="C6" s="36">
        <f>IFERROR('Data Sheet'!B17,0)</f>
        <v>2502.4</v>
      </c>
      <c r="D6" s="36">
        <f>IFERROR('Data Sheet'!C17,0)</f>
        <v>3394.14</v>
      </c>
      <c r="E6" s="36">
        <f>IFERROR('Data Sheet'!D17,0)</f>
        <v>3861.18</v>
      </c>
      <c r="F6" s="36">
        <f>IFERROR('Data Sheet'!E17,0)</f>
        <v>4003.54</v>
      </c>
      <c r="G6" s="36">
        <f>IFERROR('Data Sheet'!F17,0)</f>
        <v>5105.26</v>
      </c>
      <c r="H6" s="36">
        <f>IFERROR('Data Sheet'!G17,0)</f>
        <v>7129.58</v>
      </c>
      <c r="I6" s="36">
        <f>IFERROR('Data Sheet'!H17,0)</f>
        <v>6450.14</v>
      </c>
      <c r="J6" s="36">
        <f>IFERROR('Data Sheet'!I17,0)</f>
        <v>8823.23</v>
      </c>
      <c r="K6" s="36">
        <f>IFERROR('Data Sheet'!J17,0)</f>
        <v>13173.14</v>
      </c>
      <c r="L6" s="36">
        <f>IFERROR('Data Sheet'!K17,0)</f>
        <v>16042.58</v>
      </c>
      <c r="M6" s="36">
        <f>IFERROR(SUM('Data Sheet'!H42:K42),0)</f>
        <v>16042.59</v>
      </c>
    </row>
    <row r="7" spans="1:13" x14ac:dyDescent="0.3">
      <c r="B7" s="38" t="s">
        <v>22</v>
      </c>
      <c r="C7" s="39" t="s">
        <v>97</v>
      </c>
      <c r="D7" s="40">
        <f>D6/C6-1</f>
        <v>0.35635390025575431</v>
      </c>
      <c r="E7" s="40">
        <f t="shared" ref="E7:M7" si="0">E6/D6-1</f>
        <v>0.13760186674680486</v>
      </c>
      <c r="F7" s="40">
        <f t="shared" si="0"/>
        <v>3.6869558010763637E-2</v>
      </c>
      <c r="G7" s="40">
        <f t="shared" si="0"/>
        <v>0.27518645998291524</v>
      </c>
      <c r="H7" s="40">
        <f t="shared" si="0"/>
        <v>0.39651653392775277</v>
      </c>
      <c r="I7" s="40">
        <f t="shared" si="0"/>
        <v>-9.5298741300329004E-2</v>
      </c>
      <c r="J7" s="40">
        <f t="shared" si="0"/>
        <v>0.36791294452523493</v>
      </c>
      <c r="K7" s="40">
        <f t="shared" si="0"/>
        <v>0.49300652935489619</v>
      </c>
      <c r="L7" s="40">
        <f t="shared" si="0"/>
        <v>0.21782505917343942</v>
      </c>
      <c r="M7" s="40">
        <f t="shared" si="0"/>
        <v>6.2334113337669805E-7</v>
      </c>
    </row>
    <row r="9" spans="1:13" x14ac:dyDescent="0.3">
      <c r="B9" t="s">
        <v>98</v>
      </c>
      <c r="C9" s="36">
        <f>IFERROR(SUM('Data Sheet'!B18,'Data Sheet'!B20:B22)-1*'Data Sheet'!B19,0)</f>
        <v>1801.8899999999999</v>
      </c>
      <c r="D9" s="36">
        <f>IFERROR(SUM('Data Sheet'!C18,'Data Sheet'!C20:C22)-1*'Data Sheet'!C19,0)</f>
        <v>2303.2900000000004</v>
      </c>
      <c r="E9" s="36">
        <f>IFERROR(SUM('Data Sheet'!D18,'Data Sheet'!D20:D22)-1*'Data Sheet'!D19,0)</f>
        <v>2470.2099999999996</v>
      </c>
      <c r="F9" s="36">
        <f>IFERROR(SUM('Data Sheet'!E18,'Data Sheet'!E20:E22)-1*'Data Sheet'!E19,0)</f>
        <v>2587.77</v>
      </c>
      <c r="G9" s="36">
        <f>IFERROR(SUM('Data Sheet'!F18,'Data Sheet'!F20:F22)-1*'Data Sheet'!F19,0)</f>
        <v>3213.75</v>
      </c>
      <c r="H9" s="36">
        <f>IFERROR(SUM('Data Sheet'!G18,'Data Sheet'!G20:G22)-1*'Data Sheet'!G19,0)</f>
        <v>4555.47</v>
      </c>
      <c r="I9" s="36">
        <f>IFERROR(SUM('Data Sheet'!H18,'Data Sheet'!H20:H22)-1*'Data Sheet'!H19,0)</f>
        <v>4185.37</v>
      </c>
      <c r="J9" s="36">
        <f>IFERROR(SUM('Data Sheet'!I18,'Data Sheet'!I20:I22)-1*'Data Sheet'!I19,0)</f>
        <v>5708.3700000000008</v>
      </c>
      <c r="K9" s="36">
        <f>IFERROR(SUM('Data Sheet'!J18,'Data Sheet'!J20:J22)-1*'Data Sheet'!J19,0)</f>
        <v>8447.6200000000008</v>
      </c>
      <c r="L9" s="36">
        <f>IFERROR(SUM('Data Sheet'!K18,'Data Sheet'!K20:K22)-1*'Data Sheet'!K19,0)</f>
        <v>9939.51</v>
      </c>
      <c r="M9" s="36">
        <f>IFERROR(SUM('Data Sheet'!H43:K43),0)</f>
        <v>12433.789999999999</v>
      </c>
    </row>
    <row r="10" spans="1:13" x14ac:dyDescent="0.3">
      <c r="B10" s="38" t="s">
        <v>99</v>
      </c>
      <c r="C10" s="40">
        <f>C9/C6</f>
        <v>0.72006473785166236</v>
      </c>
      <c r="D10" s="40">
        <f t="shared" ref="D10:M10" si="1">D9/D6</f>
        <v>0.67860783585827356</v>
      </c>
      <c r="E10" s="40">
        <f t="shared" si="1"/>
        <v>0.63975520436757671</v>
      </c>
      <c r="F10" s="40">
        <f t="shared" si="1"/>
        <v>0.64637046214100524</v>
      </c>
      <c r="G10" s="40">
        <f t="shared" si="1"/>
        <v>0.62949781206050226</v>
      </c>
      <c r="H10" s="40">
        <f t="shared" si="1"/>
        <v>0.63895348674115449</v>
      </c>
      <c r="I10" s="40">
        <f t="shared" si="1"/>
        <v>0.64888048941573351</v>
      </c>
      <c r="J10" s="40">
        <f t="shared" si="1"/>
        <v>0.64697055386746138</v>
      </c>
      <c r="K10" s="40">
        <f t="shared" si="1"/>
        <v>0.64127611184577116</v>
      </c>
      <c r="L10" s="40">
        <f t="shared" si="1"/>
        <v>0.61957054289272673</v>
      </c>
      <c r="M10" s="40">
        <f t="shared" si="1"/>
        <v>0.77504879199680343</v>
      </c>
    </row>
    <row r="12" spans="1:13" x14ac:dyDescent="0.3">
      <c r="B12" s="35" t="s">
        <v>100</v>
      </c>
      <c r="C12" s="49">
        <f>C6-C9</f>
        <v>700.51000000000022</v>
      </c>
      <c r="D12" s="49">
        <f t="shared" ref="D12:M12" si="2">D6-D9</f>
        <v>1090.8499999999995</v>
      </c>
      <c r="E12" s="49">
        <f t="shared" si="2"/>
        <v>1390.9700000000003</v>
      </c>
      <c r="F12" s="49">
        <f t="shared" si="2"/>
        <v>1415.77</v>
      </c>
      <c r="G12" s="49">
        <f t="shared" si="2"/>
        <v>1891.5100000000002</v>
      </c>
      <c r="H12" s="49">
        <f t="shared" si="2"/>
        <v>2574.1099999999997</v>
      </c>
      <c r="I12" s="49">
        <f t="shared" si="2"/>
        <v>2264.7700000000004</v>
      </c>
      <c r="J12" s="49">
        <f t="shared" si="2"/>
        <v>3114.8599999999988</v>
      </c>
      <c r="K12" s="49">
        <f t="shared" si="2"/>
        <v>4725.5199999999986</v>
      </c>
      <c r="L12" s="49">
        <f t="shared" si="2"/>
        <v>6103.07</v>
      </c>
      <c r="M12" s="49">
        <f t="shared" si="2"/>
        <v>3608.8000000000011</v>
      </c>
    </row>
    <row r="13" spans="1:13" x14ac:dyDescent="0.3">
      <c r="B13" s="38" t="s">
        <v>186</v>
      </c>
      <c r="C13" s="37">
        <f>IFERROR(C12/C6,0)</f>
        <v>0.27993526214833769</v>
      </c>
      <c r="D13" s="37">
        <f t="shared" ref="D13:M13" si="3">IFERROR(D12/D6,0)</f>
        <v>0.3213921641417265</v>
      </c>
      <c r="E13" s="37">
        <f t="shared" si="3"/>
        <v>0.36024479563242334</v>
      </c>
      <c r="F13" s="37">
        <f t="shared" si="3"/>
        <v>0.35362953785899481</v>
      </c>
      <c r="G13" s="37">
        <f t="shared" si="3"/>
        <v>0.37050218793949774</v>
      </c>
      <c r="H13" s="37">
        <f t="shared" si="3"/>
        <v>0.36104651325884551</v>
      </c>
      <c r="I13" s="37">
        <f t="shared" si="3"/>
        <v>0.35111951058426644</v>
      </c>
      <c r="J13" s="37">
        <f t="shared" si="3"/>
        <v>0.35302944613253862</v>
      </c>
      <c r="K13" s="37">
        <f t="shared" si="3"/>
        <v>0.3587238881542289</v>
      </c>
      <c r="L13" s="37">
        <f t="shared" si="3"/>
        <v>0.38042945710727327</v>
      </c>
      <c r="M13" s="37">
        <f t="shared" si="3"/>
        <v>0.22495120800319657</v>
      </c>
    </row>
    <row r="15" spans="1:13" x14ac:dyDescent="0.3">
      <c r="B15" t="s">
        <v>101</v>
      </c>
      <c r="C15" s="36">
        <f>IFERROR(SUM('Data Sheet'!B23:B24),0)</f>
        <v>313.62</v>
      </c>
      <c r="D15" s="36">
        <f>IFERROR(SUM('Data Sheet'!C23:C24),0)</f>
        <v>448.38</v>
      </c>
      <c r="E15" s="36">
        <f>IFERROR(SUM('Data Sheet'!D23:D24),0)</f>
        <v>581.46</v>
      </c>
      <c r="F15" s="36">
        <f>IFERROR(SUM('Data Sheet'!E23:E24),0)</f>
        <v>577.43999999999994</v>
      </c>
      <c r="G15" s="36">
        <f>IFERROR(SUM('Data Sheet'!F23:F24),0)</f>
        <v>855.70999999999992</v>
      </c>
      <c r="H15" s="36">
        <f>IFERROR(SUM('Data Sheet'!G23:G24),0)</f>
        <v>1111.7899999999997</v>
      </c>
      <c r="I15" s="36">
        <f>IFERROR(SUM('Data Sheet'!H23:H24),0)</f>
        <v>1049.8100000000002</v>
      </c>
      <c r="J15" s="36">
        <f>IFERROR(SUM('Data Sheet'!I23:I24),0)</f>
        <v>1420.91</v>
      </c>
      <c r="K15" s="36">
        <f>IFERROR(SUM('Data Sheet'!J23:J24),0)</f>
        <v>1862.5200000000002</v>
      </c>
      <c r="L15" s="36">
        <f>IFERROR(SUM('Data Sheet'!K23:K24),0)</f>
        <v>2386.33</v>
      </c>
    </row>
    <row r="16" spans="1:13" x14ac:dyDescent="0.3">
      <c r="B16" s="38" t="s">
        <v>102</v>
      </c>
      <c r="C16" s="40">
        <f>C15/C6</f>
        <v>0.12532768542199488</v>
      </c>
      <c r="D16" s="40">
        <f t="shared" ref="D16:M16" si="4">D15/D6</f>
        <v>0.13210415598649439</v>
      </c>
      <c r="E16" s="40">
        <f t="shared" si="4"/>
        <v>0.15059127002626141</v>
      </c>
      <c r="F16" s="40">
        <f t="shared" si="4"/>
        <v>0.14423235436638573</v>
      </c>
      <c r="G16" s="40">
        <f t="shared" si="4"/>
        <v>0.16761340264746552</v>
      </c>
      <c r="H16" s="40">
        <f t="shared" si="4"/>
        <v>0.15594046213100909</v>
      </c>
      <c r="I16" s="40">
        <f t="shared" si="4"/>
        <v>0.16275770758464159</v>
      </c>
      <c r="J16" s="40">
        <f t="shared" si="4"/>
        <v>0.16104193135620404</v>
      </c>
      <c r="K16" s="40">
        <f t="shared" si="4"/>
        <v>0.14138770255231481</v>
      </c>
      <c r="L16" s="40">
        <f t="shared" si="4"/>
        <v>0.14874976468872214</v>
      </c>
      <c r="M16" s="40">
        <f t="shared" si="4"/>
        <v>0</v>
      </c>
    </row>
    <row r="18" spans="2:13" x14ac:dyDescent="0.3">
      <c r="B18" s="55" t="s">
        <v>103</v>
      </c>
      <c r="C18" s="56">
        <f>C12-C15</f>
        <v>386.89000000000021</v>
      </c>
      <c r="D18" s="56">
        <f t="shared" ref="D18:M18" si="5">D12-D15</f>
        <v>642.46999999999946</v>
      </c>
      <c r="E18" s="56">
        <f t="shared" si="5"/>
        <v>809.51000000000022</v>
      </c>
      <c r="F18" s="56">
        <f t="shared" si="5"/>
        <v>838.33</v>
      </c>
      <c r="G18" s="56">
        <f t="shared" si="5"/>
        <v>1035.8000000000002</v>
      </c>
      <c r="H18" s="56">
        <f t="shared" si="5"/>
        <v>1462.32</v>
      </c>
      <c r="I18" s="56">
        <f t="shared" si="5"/>
        <v>1214.9600000000003</v>
      </c>
      <c r="J18" s="56">
        <f t="shared" si="5"/>
        <v>1693.9499999999987</v>
      </c>
      <c r="K18" s="56">
        <f t="shared" si="5"/>
        <v>2862.9999999999982</v>
      </c>
      <c r="L18" s="56">
        <f t="shared" si="5"/>
        <v>3716.74</v>
      </c>
      <c r="M18" s="56">
        <f t="shared" si="5"/>
        <v>3608.8000000000011</v>
      </c>
    </row>
    <row r="19" spans="2:13" x14ac:dyDescent="0.3">
      <c r="B19" s="38" t="s">
        <v>104</v>
      </c>
      <c r="C19" s="40">
        <f>C18/C6</f>
        <v>0.15460757672634279</v>
      </c>
      <c r="D19" s="40">
        <f t="shared" ref="D19:M19" si="6">D18/D6</f>
        <v>0.18928800815523211</v>
      </c>
      <c r="E19" s="40">
        <f t="shared" si="6"/>
        <v>0.20965352560616191</v>
      </c>
      <c r="F19" s="40">
        <f t="shared" si="6"/>
        <v>0.20939718349260905</v>
      </c>
      <c r="G19" s="40">
        <f t="shared" si="6"/>
        <v>0.20288878529203216</v>
      </c>
      <c r="H19" s="40">
        <f t="shared" si="6"/>
        <v>0.20510605112783642</v>
      </c>
      <c r="I19" s="40">
        <f t="shared" si="6"/>
        <v>0.18836180299962485</v>
      </c>
      <c r="J19" s="40">
        <f t="shared" si="6"/>
        <v>0.19198751477633461</v>
      </c>
      <c r="K19" s="40">
        <f t="shared" si="6"/>
        <v>0.21733618560191406</v>
      </c>
      <c r="L19" s="40">
        <f t="shared" si="6"/>
        <v>0.23167969241855113</v>
      </c>
      <c r="M19" s="40">
        <f t="shared" si="6"/>
        <v>0.22495120800319657</v>
      </c>
    </row>
    <row r="21" spans="2:13" x14ac:dyDescent="0.3">
      <c r="B21" t="s">
        <v>11</v>
      </c>
      <c r="C21" s="36">
        <f>IFERROR('Data Sheet'!B27,0)</f>
        <v>187.36</v>
      </c>
      <c r="D21" s="36">
        <f>IFERROR('Data Sheet'!C27,0)</f>
        <v>170.15</v>
      </c>
      <c r="E21" s="36">
        <f>IFERROR('Data Sheet'!D27,0)</f>
        <v>434.74</v>
      </c>
      <c r="F21" s="36">
        <f>IFERROR('Data Sheet'!E27,0)</f>
        <v>214.59</v>
      </c>
      <c r="G21" s="36">
        <f>IFERROR('Data Sheet'!F27,0)</f>
        <v>222.8</v>
      </c>
      <c r="H21" s="36">
        <f>IFERROR('Data Sheet'!G27,0)</f>
        <v>324.31</v>
      </c>
      <c r="I21" s="36">
        <f>IFERROR('Data Sheet'!H27,0)</f>
        <v>293.74</v>
      </c>
      <c r="J21" s="36">
        <f>IFERROR('Data Sheet'!I27,0)</f>
        <v>206.97</v>
      </c>
      <c r="K21" s="36">
        <f>IFERROR('Data Sheet'!J27,0)</f>
        <v>204.09</v>
      </c>
      <c r="L21" s="36">
        <f>IFERROR('Data Sheet'!K27,0)</f>
        <v>291.60000000000002</v>
      </c>
      <c r="M21" s="36">
        <f>IFERROR(SUM('Data Sheet'!H46:K46),0)</f>
        <v>268.10000000000002</v>
      </c>
    </row>
    <row r="22" spans="2:13" x14ac:dyDescent="0.3">
      <c r="B22" s="38" t="s">
        <v>105</v>
      </c>
      <c r="C22" s="40">
        <f>C21/C6</f>
        <v>7.4872122762148344E-2</v>
      </c>
      <c r="D22" s="40">
        <f t="shared" ref="D22:M22" si="7">D21/D6</f>
        <v>5.0130519071104905E-2</v>
      </c>
      <c r="E22" s="40">
        <f t="shared" si="7"/>
        <v>0.11259252352907662</v>
      </c>
      <c r="F22" s="40">
        <f t="shared" si="7"/>
        <v>5.3600063943410083E-2</v>
      </c>
      <c r="G22" s="40">
        <f t="shared" si="7"/>
        <v>4.3641264107998415E-2</v>
      </c>
      <c r="H22" s="40">
        <f t="shared" si="7"/>
        <v>4.5487953007049504E-2</v>
      </c>
      <c r="I22" s="40">
        <f t="shared" si="7"/>
        <v>4.5540096804100372E-2</v>
      </c>
      <c r="J22" s="40">
        <f t="shared" si="7"/>
        <v>2.3457395987637183E-2</v>
      </c>
      <c r="K22" s="40">
        <f t="shared" si="7"/>
        <v>1.549288931871976E-2</v>
      </c>
      <c r="L22" s="40">
        <f t="shared" si="7"/>
        <v>1.8176627450198161E-2</v>
      </c>
      <c r="M22" s="40">
        <f t="shared" si="7"/>
        <v>1.6711765369556913E-2</v>
      </c>
    </row>
    <row r="24" spans="2:13" x14ac:dyDescent="0.3">
      <c r="B24" t="s">
        <v>106</v>
      </c>
      <c r="C24" s="36">
        <f>IFERROR('Data Sheet'!B26,0)</f>
        <v>210.06</v>
      </c>
      <c r="D24" s="36">
        <f>IFERROR('Data Sheet'!C26,0)</f>
        <v>317.41000000000003</v>
      </c>
      <c r="E24" s="36">
        <f>IFERROR('Data Sheet'!D26,0)</f>
        <v>322.20999999999998</v>
      </c>
      <c r="F24" s="36">
        <f>IFERROR('Data Sheet'!E26,0)</f>
        <v>346.64</v>
      </c>
      <c r="G24" s="36">
        <f>IFERROR('Data Sheet'!F26,0)</f>
        <v>385.07</v>
      </c>
      <c r="H24" s="36">
        <f>IFERROR('Data Sheet'!G26,0)</f>
        <v>488.63</v>
      </c>
      <c r="I24" s="36">
        <f>IFERROR('Data Sheet'!H26,0)</f>
        <v>528.70000000000005</v>
      </c>
      <c r="J24" s="36">
        <f>IFERROR('Data Sheet'!I26,0)</f>
        <v>531.26</v>
      </c>
      <c r="K24" s="36">
        <f>IFERROR('Data Sheet'!J26,0)</f>
        <v>617.19000000000005</v>
      </c>
      <c r="L24" s="36">
        <f>IFERROR('Data Sheet'!K26,0)</f>
        <v>680.91</v>
      </c>
      <c r="M24" s="36">
        <f>IFERROR(SUM('Data Sheet'!H45:K45),0)</f>
        <v>680.91000000000008</v>
      </c>
    </row>
    <row r="25" spans="2:13" x14ac:dyDescent="0.3">
      <c r="B25" s="38" t="s">
        <v>107</v>
      </c>
      <c r="C25" s="40">
        <f>C24/C6</f>
        <v>8.3943414322250637E-2</v>
      </c>
      <c r="D25" s="40">
        <f t="shared" ref="D25:M25" si="8">D24/D6</f>
        <v>9.3517061759385303E-2</v>
      </c>
      <c r="E25" s="40">
        <f t="shared" si="8"/>
        <v>8.3448583075640084E-2</v>
      </c>
      <c r="F25" s="40">
        <f t="shared" si="8"/>
        <v>8.6583373714262876E-2</v>
      </c>
      <c r="G25" s="40">
        <f t="shared" si="8"/>
        <v>7.5426129129564409E-2</v>
      </c>
      <c r="H25" s="40">
        <f t="shared" si="8"/>
        <v>6.8535593962056676E-2</v>
      </c>
      <c r="I25" s="40">
        <f t="shared" si="8"/>
        <v>8.1967213114754106E-2</v>
      </c>
      <c r="J25" s="40">
        <f t="shared" si="8"/>
        <v>6.0211509843900703E-2</v>
      </c>
      <c r="K25" s="40">
        <f t="shared" si="8"/>
        <v>4.6852155218877208E-2</v>
      </c>
      <c r="L25" s="40">
        <f t="shared" si="8"/>
        <v>4.2443921114932885E-2</v>
      </c>
      <c r="M25" s="40">
        <f t="shared" si="8"/>
        <v>4.2443894657907488E-2</v>
      </c>
    </row>
    <row r="27" spans="2:13" x14ac:dyDescent="0.3">
      <c r="B27" s="55" t="s">
        <v>108</v>
      </c>
      <c r="C27" s="56">
        <f>IFERROR(C18-SUM(C21,C24),0)</f>
        <v>-10.529999999999802</v>
      </c>
      <c r="D27" s="56">
        <f t="shared" ref="D27:M27" si="9">IFERROR(D18-SUM(D21,D24),0)</f>
        <v>154.9099999999994</v>
      </c>
      <c r="E27" s="56">
        <f t="shared" si="9"/>
        <v>52.560000000000173</v>
      </c>
      <c r="F27" s="56">
        <f t="shared" si="9"/>
        <v>277.10000000000002</v>
      </c>
      <c r="G27" s="56">
        <f t="shared" si="9"/>
        <v>427.93000000000018</v>
      </c>
      <c r="H27" s="56">
        <f t="shared" si="9"/>
        <v>649.37999999999988</v>
      </c>
      <c r="I27" s="56">
        <f t="shared" si="9"/>
        <v>392.52000000000021</v>
      </c>
      <c r="J27" s="56">
        <f t="shared" si="9"/>
        <v>955.71999999999866</v>
      </c>
      <c r="K27" s="56">
        <f t="shared" si="9"/>
        <v>2041.719999999998</v>
      </c>
      <c r="L27" s="56">
        <f t="shared" si="9"/>
        <v>2744.2299999999996</v>
      </c>
      <c r="M27" s="56">
        <f t="shared" si="9"/>
        <v>2659.7900000000009</v>
      </c>
    </row>
    <row r="28" spans="2:13" x14ac:dyDescent="0.3">
      <c r="B28" s="38" t="s">
        <v>109</v>
      </c>
      <c r="C28" s="40">
        <f>C27/C6</f>
        <v>-4.2079603580561864E-3</v>
      </c>
      <c r="D28" s="40">
        <f t="shared" ref="D28:M28" si="10">D27/D6</f>
        <v>4.5640427324741883E-2</v>
      </c>
      <c r="E28" s="40">
        <f t="shared" si="10"/>
        <v>1.3612419001445199E-2</v>
      </c>
      <c r="F28" s="40">
        <f t="shared" si="10"/>
        <v>6.9213745834936086E-2</v>
      </c>
      <c r="G28" s="40">
        <f t="shared" si="10"/>
        <v>8.382139205446934E-2</v>
      </c>
      <c r="H28" s="40">
        <f t="shared" si="10"/>
        <v>9.1082504158730232E-2</v>
      </c>
      <c r="I28" s="40">
        <f t="shared" si="10"/>
        <v>6.0854493080770372E-2</v>
      </c>
      <c r="J28" s="40">
        <f t="shared" si="10"/>
        <v>0.10831860894479671</v>
      </c>
      <c r="K28" s="40">
        <f t="shared" si="10"/>
        <v>0.15499114106431711</v>
      </c>
      <c r="L28" s="40">
        <f t="shared" si="10"/>
        <v>0.17105914385342005</v>
      </c>
      <c r="M28" s="40">
        <f t="shared" si="10"/>
        <v>0.16579554797573215</v>
      </c>
    </row>
    <row r="30" spans="2:13" x14ac:dyDescent="0.3">
      <c r="B30" t="s">
        <v>13</v>
      </c>
      <c r="C30" s="36">
        <f>IFERROR('Data Sheet'!B29,0)</f>
        <v>24.81</v>
      </c>
      <c r="D30" s="36">
        <f>IFERROR('Data Sheet'!C29,0)</f>
        <v>78.849999999999994</v>
      </c>
      <c r="E30" s="36">
        <f>IFERROR('Data Sheet'!D29,0)</f>
        <v>31.3</v>
      </c>
      <c r="F30" s="36">
        <f>IFERROR('Data Sheet'!E29,0)</f>
        <v>76.900000000000006</v>
      </c>
      <c r="G30" s="36">
        <f>IFERROR('Data Sheet'!F29,0)</f>
        <v>133.93</v>
      </c>
      <c r="H30" s="36">
        <f>IFERROR('Data Sheet'!G29,0)</f>
        <v>224.07</v>
      </c>
      <c r="I30" s="36">
        <f>IFERROR('Data Sheet'!H29,0)</f>
        <v>5.23</v>
      </c>
      <c r="J30" s="36">
        <f>IFERROR('Data Sheet'!I29,0)</f>
        <v>260.55</v>
      </c>
      <c r="K30" s="36">
        <f>IFERROR('Data Sheet'!J29,0)</f>
        <v>473.53</v>
      </c>
      <c r="L30" s="36">
        <f>IFERROR('Data Sheet'!K29,0)</f>
        <v>637.54999999999995</v>
      </c>
      <c r="M30" s="36">
        <f>IFERROR(SUM('Data Sheet'!H48:K48),0)</f>
        <v>637.54000000000008</v>
      </c>
    </row>
    <row r="31" spans="2:13" x14ac:dyDescent="0.3">
      <c r="B31" t="s">
        <v>110</v>
      </c>
      <c r="C31" s="37">
        <f>C30/C27</f>
        <v>-2.3561253561254003</v>
      </c>
      <c r="D31" s="37">
        <f t="shared" ref="D31:M31" si="11">D30/D27</f>
        <v>0.50900522884255572</v>
      </c>
      <c r="E31" s="37">
        <f t="shared" si="11"/>
        <v>0.59550989345509697</v>
      </c>
      <c r="F31" s="37">
        <f t="shared" si="11"/>
        <v>0.27751714182605558</v>
      </c>
      <c r="G31" s="37">
        <f t="shared" si="11"/>
        <v>0.31297174771574776</v>
      </c>
      <c r="H31" s="37">
        <f t="shared" si="11"/>
        <v>0.34505220364039552</v>
      </c>
      <c r="I31" s="37">
        <f t="shared" si="11"/>
        <v>1.332416182614898E-2</v>
      </c>
      <c r="J31" s="37">
        <f t="shared" si="11"/>
        <v>0.27262168836060813</v>
      </c>
      <c r="K31" s="37">
        <f t="shared" si="11"/>
        <v>0.23192700272319439</v>
      </c>
      <c r="L31" s="37">
        <f t="shared" si="11"/>
        <v>0.23232382125404943</v>
      </c>
      <c r="M31" s="37">
        <f t="shared" si="11"/>
        <v>0.2396956150673549</v>
      </c>
    </row>
    <row r="33" spans="1:13" x14ac:dyDescent="0.3">
      <c r="B33" s="55" t="s">
        <v>111</v>
      </c>
      <c r="C33" s="56">
        <f>IFERROR(C27-C30,0)</f>
        <v>-35.339999999999804</v>
      </c>
      <c r="D33" s="56">
        <f t="shared" ref="D33:M33" si="12">IFERROR(D27-D30,0)</f>
        <v>76.059999999999405</v>
      </c>
      <c r="E33" s="56">
        <f t="shared" si="12"/>
        <v>21.260000000000172</v>
      </c>
      <c r="F33" s="56">
        <f t="shared" si="12"/>
        <v>200.20000000000002</v>
      </c>
      <c r="G33" s="56">
        <f t="shared" si="12"/>
        <v>294.00000000000017</v>
      </c>
      <c r="H33" s="56">
        <f t="shared" si="12"/>
        <v>425.30999999999989</v>
      </c>
      <c r="I33" s="56">
        <f t="shared" si="12"/>
        <v>387.29000000000019</v>
      </c>
      <c r="J33" s="56">
        <f t="shared" si="12"/>
        <v>695.16999999999871</v>
      </c>
      <c r="K33" s="56">
        <f t="shared" si="12"/>
        <v>1568.189999999998</v>
      </c>
      <c r="L33" s="56">
        <f t="shared" si="12"/>
        <v>2106.6799999999994</v>
      </c>
      <c r="M33" s="56">
        <f t="shared" si="12"/>
        <v>2022.2500000000009</v>
      </c>
    </row>
    <row r="34" spans="1:13" x14ac:dyDescent="0.3">
      <c r="B34" s="38" t="s">
        <v>112</v>
      </c>
      <c r="C34" s="40">
        <f>C33/C6</f>
        <v>-1.4122442455242887E-2</v>
      </c>
      <c r="D34" s="40">
        <f t="shared" ref="D34:M34" si="13">D33/D6</f>
        <v>2.2409211169839609E-2</v>
      </c>
      <c r="E34" s="40">
        <f t="shared" si="13"/>
        <v>5.5060888122284313E-3</v>
      </c>
      <c r="F34" s="40">
        <f t="shared" si="13"/>
        <v>5.0005744915749564E-2</v>
      </c>
      <c r="G34" s="40">
        <f t="shared" si="13"/>
        <v>5.7587664487215175E-2</v>
      </c>
      <c r="H34" s="40">
        <f t="shared" si="13"/>
        <v>5.9654285385674875E-2</v>
      </c>
      <c r="I34" s="40">
        <f t="shared" si="13"/>
        <v>6.0043657967113917E-2</v>
      </c>
      <c r="J34" s="40">
        <f t="shared" si="13"/>
        <v>7.8788606893393773E-2</v>
      </c>
      <c r="K34" s="40">
        <f t="shared" si="13"/>
        <v>0.11904451026862221</v>
      </c>
      <c r="L34" s="40">
        <f t="shared" si="13"/>
        <v>0.13131802989294736</v>
      </c>
      <c r="M34" s="40">
        <f t="shared" si="13"/>
        <v>0.12605508212825989</v>
      </c>
    </row>
    <row r="36" spans="1:13" x14ac:dyDescent="0.3">
      <c r="B36" t="s">
        <v>113</v>
      </c>
      <c r="C36">
        <f>IFERROR('Data Sheet'!B93,0)</f>
        <v>90.3</v>
      </c>
      <c r="D36">
        <f>IFERROR('Data Sheet'!C93,0)</f>
        <v>90.3</v>
      </c>
      <c r="E36">
        <f>IFERROR('Data Sheet'!D93,0)</f>
        <v>123.06</v>
      </c>
      <c r="F36">
        <f>IFERROR('Data Sheet'!E93,0)</f>
        <v>123.26</v>
      </c>
      <c r="G36">
        <f>IFERROR('Data Sheet'!F93,0)</f>
        <v>123.3</v>
      </c>
      <c r="H36">
        <f>IFERROR('Data Sheet'!G93,0)</f>
        <v>129.91999999999999</v>
      </c>
      <c r="I36">
        <f>IFERROR('Data Sheet'!H93,0)</f>
        <v>129.91999999999999</v>
      </c>
      <c r="J36">
        <f>IFERROR('Data Sheet'!I93,0)</f>
        <v>129.91999999999999</v>
      </c>
      <c r="K36">
        <f>IFERROR('Data Sheet'!J93,0)</f>
        <v>129.91</v>
      </c>
      <c r="L36">
        <f>IFERROR('Data Sheet'!K93,0)</f>
        <v>129.91999999999999</v>
      </c>
    </row>
    <row r="38" spans="1:13" x14ac:dyDescent="0.3">
      <c r="B38" t="s">
        <v>114</v>
      </c>
      <c r="C38" s="45">
        <f>IFERROR(C33/C36,0)</f>
        <v>-0.39136212624584504</v>
      </c>
      <c r="D38" s="45">
        <f t="shared" ref="D38:M38" si="14">IFERROR(D33/D36,0)</f>
        <v>0.84230343300110089</v>
      </c>
      <c r="E38" s="45">
        <f t="shared" si="14"/>
        <v>0.17276125467251888</v>
      </c>
      <c r="F38" s="45">
        <f t="shared" si="14"/>
        <v>1.6242089891286711</v>
      </c>
      <c r="G38" s="45">
        <f t="shared" si="14"/>
        <v>2.3844282238442838</v>
      </c>
      <c r="H38" s="45">
        <f t="shared" si="14"/>
        <v>3.2736299261083737</v>
      </c>
      <c r="I38" s="45">
        <f t="shared" si="14"/>
        <v>2.9809883004926125</v>
      </c>
      <c r="J38" s="45">
        <f t="shared" si="14"/>
        <v>5.3507543103448185</v>
      </c>
      <c r="K38" s="45">
        <f t="shared" si="14"/>
        <v>12.07135709337232</v>
      </c>
      <c r="L38" s="45">
        <f t="shared" si="14"/>
        <v>16.215209359605907</v>
      </c>
      <c r="M38" s="45">
        <f t="shared" si="14"/>
        <v>0</v>
      </c>
    </row>
    <row r="39" spans="1:13" x14ac:dyDescent="0.3">
      <c r="B39" s="38" t="s">
        <v>116</v>
      </c>
      <c r="C39" s="46"/>
      <c r="D39" s="41">
        <f>IFERROR(D38/C38 -1,0)</f>
        <v>-3.152235427277867</v>
      </c>
      <c r="E39" s="41">
        <f t="shared" ref="E39:M39" si="15">IFERROR(E38/D38 -1,0)</f>
        <v>-0.79489427692705006</v>
      </c>
      <c r="F39" s="41">
        <f t="shared" si="15"/>
        <v>8.4014655786534629</v>
      </c>
      <c r="G39" s="41">
        <f t="shared" si="15"/>
        <v>0.46805505929593627</v>
      </c>
      <c r="H39" s="41">
        <f t="shared" si="15"/>
        <v>0.37292030574544976</v>
      </c>
      <c r="I39" s="41">
        <f t="shared" si="15"/>
        <v>-8.9393618772188987E-2</v>
      </c>
      <c r="J39" s="41">
        <f t="shared" si="15"/>
        <v>0.79495984920859941</v>
      </c>
      <c r="K39" s="41">
        <f t="shared" si="15"/>
        <v>1.2560103479306277</v>
      </c>
      <c r="L39" s="41">
        <f t="shared" si="15"/>
        <v>0.34327973517648114</v>
      </c>
      <c r="M39" s="41">
        <f t="shared" si="15"/>
        <v>-1</v>
      </c>
    </row>
    <row r="41" spans="1:13" x14ac:dyDescent="0.3">
      <c r="B41" t="s">
        <v>115</v>
      </c>
      <c r="C41" s="45">
        <f>IFERROR('Data Sheet'!B31/C36,0)</f>
        <v>0</v>
      </c>
      <c r="D41" s="45">
        <f>IFERROR('Data Sheet'!C31/D36,0)</f>
        <v>0</v>
      </c>
      <c r="E41" s="45">
        <f>IFERROR('Data Sheet'!D31/E36,0)</f>
        <v>0</v>
      </c>
      <c r="F41" s="45">
        <f>IFERROR('Data Sheet'!E31/F36,0)</f>
        <v>0.37035534642219697</v>
      </c>
      <c r="G41" s="45">
        <f>IFERROR('Data Sheet'!F31/G36,0)</f>
        <v>0.37031630170316299</v>
      </c>
      <c r="H41" s="45">
        <f>IFERROR('Data Sheet'!G31/H36,0)</f>
        <v>0.55549568965517249</v>
      </c>
      <c r="I41" s="45">
        <f>IFERROR('Data Sheet'!H31/I36,0)</f>
        <v>0.55549568965517249</v>
      </c>
      <c r="J41" s="45">
        <f>IFERROR('Data Sheet'!I31/J36,0)</f>
        <v>0.83328201970443361</v>
      </c>
      <c r="K41" s="45">
        <f>IFERROR('Data Sheet'!J31/K36,0)</f>
        <v>1.7499807559079363</v>
      </c>
      <c r="L41" s="45">
        <f>IFERROR('Data Sheet'!K31/L36,0)</f>
        <v>2.5000000000000004</v>
      </c>
      <c r="M41" s="45">
        <f>IFERROR('Data Sheet'!L31/M36,0)</f>
        <v>0</v>
      </c>
    </row>
    <row r="42" spans="1:13" x14ac:dyDescent="0.3">
      <c r="B42" s="38" t="s">
        <v>117</v>
      </c>
      <c r="C42" s="40">
        <f>C41/C38</f>
        <v>0</v>
      </c>
      <c r="D42" s="40">
        <f t="shared" ref="D42:L42" si="16">D41/D38</f>
        <v>0</v>
      </c>
      <c r="E42" s="40">
        <f t="shared" si="16"/>
        <v>0</v>
      </c>
      <c r="F42" s="40">
        <f t="shared" si="16"/>
        <v>0.22802197802197802</v>
      </c>
      <c r="G42" s="40">
        <f t="shared" si="16"/>
        <v>0.15530612244897948</v>
      </c>
      <c r="H42" s="40">
        <f t="shared" si="16"/>
        <v>0.16968799228797823</v>
      </c>
      <c r="I42" s="40">
        <f t="shared" si="16"/>
        <v>0.18634614888068365</v>
      </c>
      <c r="J42" s="40">
        <f t="shared" si="16"/>
        <v>0.1557316915286911</v>
      </c>
      <c r="K42" s="40">
        <f t="shared" si="16"/>
        <v>0.1449696784190693</v>
      </c>
      <c r="L42" s="40">
        <f t="shared" si="16"/>
        <v>0.15417623939089001</v>
      </c>
      <c r="M42" s="40"/>
    </row>
    <row r="44" spans="1:13" x14ac:dyDescent="0.3">
      <c r="B44" t="s">
        <v>118</v>
      </c>
      <c r="C44" s="37">
        <v>0</v>
      </c>
      <c r="D44" s="37">
        <f t="shared" ref="D44:L44" si="17">IFERROR(IF(D38&gt;D41,1-D42),0)</f>
        <v>1</v>
      </c>
      <c r="E44" s="37">
        <f t="shared" si="17"/>
        <v>1</v>
      </c>
      <c r="F44" s="37">
        <f t="shared" si="17"/>
        <v>0.77197802197802201</v>
      </c>
      <c r="G44" s="37">
        <f t="shared" si="17"/>
        <v>0.84469387755102054</v>
      </c>
      <c r="H44" s="37">
        <f t="shared" si="17"/>
        <v>0.83031200771202174</v>
      </c>
      <c r="I44" s="37">
        <f t="shared" si="17"/>
        <v>0.81365385111931632</v>
      </c>
      <c r="J44" s="37">
        <f t="shared" si="17"/>
        <v>0.84426830847130896</v>
      </c>
      <c r="K44" s="37">
        <f t="shared" si="17"/>
        <v>0.85503032158093073</v>
      </c>
      <c r="L44" s="37">
        <f t="shared" si="17"/>
        <v>0.84582376060911002</v>
      </c>
    </row>
    <row r="46" spans="1:13" x14ac:dyDescent="0.3">
      <c r="A46" t="s">
        <v>95</v>
      </c>
      <c r="B46" s="47" t="s">
        <v>119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</row>
    <row r="47" spans="1:13" x14ac:dyDescent="0.3">
      <c r="B47" s="54" t="s">
        <v>187</v>
      </c>
      <c r="C47" s="36">
        <f>IFERROR('Data Sheet'!B57,0)</f>
        <v>133.77000000000001</v>
      </c>
      <c r="D47" s="36">
        <f>IFERROR('Data Sheet'!C57,0)</f>
        <v>133.77000000000001</v>
      </c>
      <c r="E47" s="36">
        <f>IFERROR('Data Sheet'!D57,0)</f>
        <v>182.31</v>
      </c>
      <c r="F47" s="36">
        <f>IFERROR('Data Sheet'!E57,0)</f>
        <v>182.59</v>
      </c>
      <c r="G47" s="36">
        <f>IFERROR('Data Sheet'!F57,0)</f>
        <v>182.64</v>
      </c>
      <c r="H47" s="36">
        <f>IFERROR('Data Sheet'!G57,0)</f>
        <v>288.69</v>
      </c>
      <c r="I47" s="36">
        <f>IFERROR('Data Sheet'!H57,0)</f>
        <v>288.69</v>
      </c>
      <c r="J47" s="36">
        <f>IFERROR('Data Sheet'!I57,0)</f>
        <v>433.03</v>
      </c>
      <c r="K47" s="36">
        <f>IFERROR('Data Sheet'!J57,0)</f>
        <v>649.54999999999995</v>
      </c>
      <c r="L47" s="36">
        <f>IFERROR('Data Sheet'!K57,0)</f>
        <v>649.61</v>
      </c>
      <c r="M47" s="53"/>
    </row>
    <row r="48" spans="1:13" x14ac:dyDescent="0.3">
      <c r="B48" s="9" t="s">
        <v>25</v>
      </c>
      <c r="C48" s="36">
        <f>IFERROR('Data Sheet'!B58,0)</f>
        <v>9.31</v>
      </c>
      <c r="D48" s="36">
        <f>IFERROR('Data Sheet'!C58,0)</f>
        <v>90.51</v>
      </c>
      <c r="E48" s="36">
        <f>IFERROR('Data Sheet'!D58,0)</f>
        <v>1511.28</v>
      </c>
      <c r="F48" s="36">
        <f>IFERROR('Data Sheet'!E58,0)</f>
        <v>1586.84</v>
      </c>
      <c r="G48" s="36">
        <f>IFERROR('Data Sheet'!F58,0)</f>
        <v>1815.86</v>
      </c>
      <c r="H48" s="36">
        <f>IFERROR('Data Sheet'!G58,0)</f>
        <v>3039.73</v>
      </c>
      <c r="I48" s="36">
        <f>IFERROR('Data Sheet'!H58,0)</f>
        <v>3235.31</v>
      </c>
      <c r="J48" s="36">
        <f>IFERROR('Data Sheet'!I58,0)</f>
        <v>3646.88</v>
      </c>
      <c r="K48" s="36">
        <f>IFERROR('Data Sheet'!J58,0)</f>
        <v>4452.83</v>
      </c>
      <c r="L48" s="36">
        <f>IFERROR('Data Sheet'!K58,0)</f>
        <v>6286.89</v>
      </c>
    </row>
    <row r="49" spans="2:12" x14ac:dyDescent="0.3">
      <c r="B49" s="9" t="s">
        <v>71</v>
      </c>
      <c r="C49" s="36">
        <f>IFERROR('Data Sheet'!B59,0)</f>
        <v>2415.31</v>
      </c>
      <c r="D49" s="36">
        <f>IFERROR('Data Sheet'!C59,0)</f>
        <v>2077.35</v>
      </c>
      <c r="E49" s="36">
        <f>IFERROR('Data Sheet'!D59,0)</f>
        <v>2215.4</v>
      </c>
      <c r="F49" s="36">
        <f>IFERROR('Data Sheet'!E59,0)</f>
        <v>2653.7</v>
      </c>
      <c r="G49" s="36">
        <f>IFERROR('Data Sheet'!F59,0)</f>
        <v>2807.87</v>
      </c>
      <c r="H49" s="36">
        <f>IFERROR('Data Sheet'!G59,0)</f>
        <v>3417.18</v>
      </c>
      <c r="I49" s="36">
        <f>IFERROR('Data Sheet'!H59,0)</f>
        <v>3216.12</v>
      </c>
      <c r="J49" s="36">
        <f>IFERROR('Data Sheet'!I59,0)</f>
        <v>3386.76</v>
      </c>
      <c r="K49" s="36">
        <f>IFERROR('Data Sheet'!J59,0)</f>
        <v>3883.81</v>
      </c>
      <c r="L49" s="36">
        <f>IFERROR('Data Sheet'!K59,0)</f>
        <v>5431.31</v>
      </c>
    </row>
    <row r="50" spans="2:12" x14ac:dyDescent="0.3">
      <c r="B50" s="9" t="s">
        <v>72</v>
      </c>
      <c r="C50" s="36">
        <f>IFERROR('Data Sheet'!B60,0)</f>
        <v>733.25</v>
      </c>
      <c r="D50" s="36">
        <f>IFERROR('Data Sheet'!C60,0)</f>
        <v>2129.62</v>
      </c>
      <c r="E50" s="36">
        <f>IFERROR('Data Sheet'!D60,0)</f>
        <v>915.43</v>
      </c>
      <c r="F50" s="36">
        <f>IFERROR('Data Sheet'!E60,0)</f>
        <v>852.48</v>
      </c>
      <c r="G50" s="36">
        <f>IFERROR('Data Sheet'!F60,0)</f>
        <v>1191.6400000000001</v>
      </c>
      <c r="H50" s="36">
        <f>IFERROR('Data Sheet'!G60,0)</f>
        <v>1629.98</v>
      </c>
      <c r="I50" s="36">
        <f>IFERROR('Data Sheet'!H60,0)</f>
        <v>1707.24</v>
      </c>
      <c r="J50" s="36">
        <f>IFERROR('Data Sheet'!I60,0)</f>
        <v>2112.81</v>
      </c>
      <c r="K50" s="36">
        <f>IFERROR('Data Sheet'!J60,0)</f>
        <v>2632.05</v>
      </c>
      <c r="L50" s="36">
        <f>IFERROR('Data Sheet'!K60,0)</f>
        <v>2819.37</v>
      </c>
    </row>
    <row r="51" spans="2:12" x14ac:dyDescent="0.3">
      <c r="B51" s="57" t="s">
        <v>120</v>
      </c>
      <c r="C51" s="56">
        <f>IFERROR('Data Sheet'!B61,0)</f>
        <v>3291.64</v>
      </c>
      <c r="D51" s="56">
        <f>IFERROR('Data Sheet'!C61,0)</f>
        <v>4431.25</v>
      </c>
      <c r="E51" s="56">
        <f>IFERROR('Data Sheet'!D61,0)</f>
        <v>4824.42</v>
      </c>
      <c r="F51" s="56">
        <f>IFERROR('Data Sheet'!E61,0)</f>
        <v>5275.61</v>
      </c>
      <c r="G51" s="56">
        <f>IFERROR('Data Sheet'!F61,0)</f>
        <v>5998.01</v>
      </c>
      <c r="H51" s="56">
        <f>IFERROR('Data Sheet'!G61,0)</f>
        <v>8375.58</v>
      </c>
      <c r="I51" s="56">
        <f>IFERROR('Data Sheet'!H61,0)</f>
        <v>8447.36</v>
      </c>
      <c r="J51" s="56">
        <f>IFERROR('Data Sheet'!I61,0)</f>
        <v>9579.48</v>
      </c>
      <c r="K51" s="56">
        <f>IFERROR('Data Sheet'!J61,0)</f>
        <v>11618.24</v>
      </c>
      <c r="L51" s="56">
        <f>IFERROR('Data Sheet'!K61,0)</f>
        <v>15187.18</v>
      </c>
    </row>
    <row r="52" spans="2:12" x14ac:dyDescent="0.3">
      <c r="B52" s="1"/>
    </row>
    <row r="53" spans="2:12" x14ac:dyDescent="0.3">
      <c r="B53" s="5" t="s">
        <v>121</v>
      </c>
      <c r="C53" s="36">
        <f>IFERROR('Data Sheet'!B62,0)</f>
        <v>2354.87</v>
      </c>
      <c r="D53" s="36">
        <f>IFERROR('Data Sheet'!C62,0)</f>
        <v>3495.57</v>
      </c>
      <c r="E53" s="36">
        <f>IFERROR('Data Sheet'!D62,0)</f>
        <v>3715.5</v>
      </c>
      <c r="F53" s="36">
        <f>IFERROR('Data Sheet'!E62,0)</f>
        <v>3980.52</v>
      </c>
      <c r="G53" s="36">
        <f>IFERROR('Data Sheet'!F62,0)</f>
        <v>4386.97</v>
      </c>
      <c r="H53" s="36">
        <f>IFERROR('Data Sheet'!G62,0)</f>
        <v>6479.04</v>
      </c>
      <c r="I53" s="36">
        <f>IFERROR('Data Sheet'!H62,0)</f>
        <v>6408.62</v>
      </c>
      <c r="J53" s="36">
        <f>IFERROR('Data Sheet'!I62,0)</f>
        <v>6310.78</v>
      </c>
      <c r="K53" s="36">
        <f>IFERROR('Data Sheet'!J62,0)</f>
        <v>6932.22</v>
      </c>
      <c r="L53" s="36">
        <f>IFERROR('Data Sheet'!K62,0)</f>
        <v>8409.17</v>
      </c>
    </row>
    <row r="54" spans="2:12" x14ac:dyDescent="0.3">
      <c r="B54" s="9" t="s">
        <v>28</v>
      </c>
      <c r="C54" s="36">
        <f>IFERROR('Data Sheet'!B63,0)</f>
        <v>24.75</v>
      </c>
      <c r="D54" s="36">
        <f>IFERROR('Data Sheet'!C63,0)</f>
        <v>37.909999999999997</v>
      </c>
      <c r="E54" s="36">
        <f>IFERROR('Data Sheet'!D63,0)</f>
        <v>95.58</v>
      </c>
      <c r="F54" s="36">
        <f>IFERROR('Data Sheet'!E63,0)</f>
        <v>145.44</v>
      </c>
      <c r="G54" s="36">
        <f>IFERROR('Data Sheet'!F63,0)</f>
        <v>352.36</v>
      </c>
      <c r="H54" s="36">
        <f>IFERROR('Data Sheet'!G63,0)</f>
        <v>63.82</v>
      </c>
      <c r="I54" s="36">
        <f>IFERROR('Data Sheet'!H63,0)</f>
        <v>66.819999999999993</v>
      </c>
      <c r="J54" s="36">
        <f>IFERROR('Data Sheet'!I63,0)</f>
        <v>496.61</v>
      </c>
      <c r="K54" s="36">
        <f>IFERROR('Data Sheet'!J63,0)</f>
        <v>606.63</v>
      </c>
      <c r="L54" s="36">
        <f>IFERROR('Data Sheet'!K63,0)</f>
        <v>1922.22</v>
      </c>
    </row>
    <row r="55" spans="2:12" x14ac:dyDescent="0.3">
      <c r="B55" s="9" t="s">
        <v>29</v>
      </c>
      <c r="C55" s="36">
        <f>IFERROR('Data Sheet'!B64,0)</f>
        <v>303.74</v>
      </c>
      <c r="D55" s="36">
        <f>IFERROR('Data Sheet'!C64,0)</f>
        <v>3.27</v>
      </c>
      <c r="E55" s="36">
        <f>IFERROR('Data Sheet'!D64,0)</f>
        <v>6.87</v>
      </c>
      <c r="F55" s="36">
        <f>IFERROR('Data Sheet'!E64,0)</f>
        <v>8.23</v>
      </c>
      <c r="G55" s="36">
        <f>IFERROR('Data Sheet'!F64,0)</f>
        <v>11.24</v>
      </c>
      <c r="H55" s="36">
        <f>IFERROR('Data Sheet'!G64,0)</f>
        <v>0</v>
      </c>
      <c r="I55" s="36">
        <f>IFERROR('Data Sheet'!H64,0)</f>
        <v>0</v>
      </c>
      <c r="J55" s="36">
        <f>IFERROR('Data Sheet'!I64,0)</f>
        <v>0</v>
      </c>
      <c r="K55" s="36">
        <f>IFERROR('Data Sheet'!J64,0)</f>
        <v>0.01</v>
      </c>
      <c r="L55" s="36">
        <f>IFERROR('Data Sheet'!K64,0)</f>
        <v>21.08</v>
      </c>
    </row>
    <row r="56" spans="2:12" x14ac:dyDescent="0.3">
      <c r="B56" s="9" t="s">
        <v>73</v>
      </c>
      <c r="C56" s="36">
        <f>IFERROR('Data Sheet'!B65-SUM('Data Sheet'!B67:B69),0)</f>
        <v>187.32999999999993</v>
      </c>
      <c r="D56" s="36">
        <f>IFERROR('Data Sheet'!C65-SUM('Data Sheet'!C67:C69),0)</f>
        <v>313.8599999999999</v>
      </c>
      <c r="E56" s="36">
        <f>IFERROR('Data Sheet'!D65-SUM('Data Sheet'!D67:D69),0)</f>
        <v>319.49</v>
      </c>
      <c r="F56" s="36">
        <f>IFERROR('Data Sheet'!E65-SUM('Data Sheet'!E67:E69),0)</f>
        <v>457.82000000000005</v>
      </c>
      <c r="G56" s="36">
        <f>IFERROR('Data Sheet'!F65-SUM('Data Sheet'!F67:F69),0)</f>
        <v>447.53000000000009</v>
      </c>
      <c r="H56" s="36">
        <f>IFERROR('Data Sheet'!G65-SUM('Data Sheet'!G67:G69),0)</f>
        <v>607.57000000000016</v>
      </c>
      <c r="I56" s="36">
        <f>IFERROR('Data Sheet'!H65-SUM('Data Sheet'!H67:H69),0)</f>
        <v>611.27000000000021</v>
      </c>
      <c r="J56" s="36">
        <f>IFERROR('Data Sheet'!I65-SUM('Data Sheet'!I67:I69),0)</f>
        <v>766.13000000000011</v>
      </c>
      <c r="K56" s="36">
        <f>IFERROR('Data Sheet'!J65-SUM('Data Sheet'!J67:J69),0)</f>
        <v>1500.88</v>
      </c>
      <c r="L56" s="36">
        <f>IFERROR('Data Sheet'!K65-SUM('Data Sheet'!K67:K69),0)</f>
        <v>1864.9299999999998</v>
      </c>
    </row>
    <row r="57" spans="2:12" x14ac:dyDescent="0.3">
      <c r="B57" s="57" t="s">
        <v>122</v>
      </c>
      <c r="C57" s="56">
        <f>IFERROR(SUM(C53:C56),0)</f>
        <v>2870.6899999999996</v>
      </c>
      <c r="D57" s="56">
        <f t="shared" ref="D57:L57" si="18">IFERROR(SUM(D53:D56),0)</f>
        <v>3850.6099999999997</v>
      </c>
      <c r="E57" s="56">
        <f t="shared" si="18"/>
        <v>4137.4399999999996</v>
      </c>
      <c r="F57" s="56">
        <f t="shared" si="18"/>
        <v>4592.0099999999993</v>
      </c>
      <c r="G57" s="56">
        <f t="shared" si="18"/>
        <v>5198.0999999999995</v>
      </c>
      <c r="H57" s="56">
        <f t="shared" si="18"/>
        <v>7150.43</v>
      </c>
      <c r="I57" s="56">
        <f t="shared" si="18"/>
        <v>7086.71</v>
      </c>
      <c r="J57" s="56">
        <f t="shared" si="18"/>
        <v>7573.5199999999995</v>
      </c>
      <c r="K57" s="56">
        <f t="shared" si="18"/>
        <v>9039.7400000000016</v>
      </c>
      <c r="L57" s="56">
        <f t="shared" si="18"/>
        <v>12217.4</v>
      </c>
    </row>
    <row r="58" spans="2:12" x14ac:dyDescent="0.3">
      <c r="B58" s="5"/>
    </row>
    <row r="59" spans="2:12" x14ac:dyDescent="0.3">
      <c r="B59" s="5" t="s">
        <v>78</v>
      </c>
      <c r="C59" s="36">
        <f>IFERROR('Data Sheet'!B67,0)</f>
        <v>97.29</v>
      </c>
      <c r="D59" s="36">
        <f>IFERROR('Data Sheet'!C67,0)</f>
        <v>97.91</v>
      </c>
      <c r="E59" s="36">
        <f>IFERROR('Data Sheet'!D67,0)</f>
        <v>131.35</v>
      </c>
      <c r="F59" s="36">
        <f>IFERROR('Data Sheet'!E67,0)</f>
        <v>150.25</v>
      </c>
      <c r="G59" s="36">
        <f>IFERROR('Data Sheet'!F67,0)</f>
        <v>128.03</v>
      </c>
      <c r="H59" s="36">
        <f>IFERROR('Data Sheet'!G67,0)</f>
        <v>172.56</v>
      </c>
      <c r="I59" s="36">
        <f>IFERROR('Data Sheet'!H67,0)</f>
        <v>241.8</v>
      </c>
      <c r="J59" s="36">
        <f>IFERROR('Data Sheet'!I67,0)</f>
        <v>221.25</v>
      </c>
      <c r="K59" s="36">
        <f>IFERROR('Data Sheet'!J67,0)</f>
        <v>299.33999999999997</v>
      </c>
      <c r="L59" s="36">
        <f>IFERROR('Data Sheet'!K67,0)</f>
        <v>359.39</v>
      </c>
    </row>
    <row r="60" spans="2:12" x14ac:dyDescent="0.3">
      <c r="B60" s="9" t="s">
        <v>45</v>
      </c>
      <c r="C60" s="36">
        <f>IFERROR('Data Sheet'!B68,0)</f>
        <v>289.25</v>
      </c>
      <c r="D60" s="36">
        <f>IFERROR('Data Sheet'!C68,0)</f>
        <v>424.66</v>
      </c>
      <c r="E60" s="36">
        <f>IFERROR('Data Sheet'!D68,0)</f>
        <v>489.93</v>
      </c>
      <c r="F60" s="36">
        <f>IFERROR('Data Sheet'!E68,0)</f>
        <v>438.89</v>
      </c>
      <c r="G60" s="36">
        <f>IFERROR('Data Sheet'!F68,0)</f>
        <v>578.4</v>
      </c>
      <c r="H60" s="36">
        <f>IFERROR('Data Sheet'!G68,0)</f>
        <v>881.51</v>
      </c>
      <c r="I60" s="36">
        <f>IFERROR('Data Sheet'!H68,0)</f>
        <v>928.8</v>
      </c>
      <c r="J60" s="36">
        <f>IFERROR('Data Sheet'!I68,0)</f>
        <v>1448.09</v>
      </c>
      <c r="K60" s="36">
        <f>IFERROR('Data Sheet'!J68,0)</f>
        <v>1993.89</v>
      </c>
      <c r="L60" s="36">
        <f>IFERROR('Data Sheet'!K68,0)</f>
        <v>2150.5300000000002</v>
      </c>
    </row>
    <row r="61" spans="2:12" x14ac:dyDescent="0.3">
      <c r="B61" s="5" t="s">
        <v>87</v>
      </c>
      <c r="C61" s="36">
        <f>IFERROR('Data Sheet'!B69,0)</f>
        <v>34.409999999999997</v>
      </c>
      <c r="D61" s="36">
        <f>IFERROR('Data Sheet'!C69,0)</f>
        <v>58.07</v>
      </c>
      <c r="E61" s="36">
        <f>IFERROR('Data Sheet'!D69,0)</f>
        <v>65.7</v>
      </c>
      <c r="F61" s="36">
        <f>IFERROR('Data Sheet'!E69,0)</f>
        <v>94.46</v>
      </c>
      <c r="G61" s="36">
        <f>IFERROR('Data Sheet'!F69,0)</f>
        <v>93.48</v>
      </c>
      <c r="H61" s="36">
        <f>IFERROR('Data Sheet'!G69,0)</f>
        <v>171.08</v>
      </c>
      <c r="I61" s="36">
        <f>IFERROR('Data Sheet'!H69,0)</f>
        <v>190.05</v>
      </c>
      <c r="J61" s="36">
        <f>IFERROR('Data Sheet'!I69,0)</f>
        <v>336.62</v>
      </c>
      <c r="K61" s="36">
        <f>IFERROR('Data Sheet'!J69,0)</f>
        <v>285.27</v>
      </c>
      <c r="L61" s="36">
        <f>IFERROR('Data Sheet'!K69,0)</f>
        <v>459.86</v>
      </c>
    </row>
    <row r="62" spans="2:12" x14ac:dyDescent="0.3">
      <c r="B62" s="58" t="s">
        <v>123</v>
      </c>
      <c r="C62" s="56">
        <f>IFERROR(SUM(C59:C61),0)</f>
        <v>420.95000000000005</v>
      </c>
      <c r="D62" s="56">
        <f t="shared" ref="D62:L62" si="19">IFERROR(SUM(D59:D61),0)</f>
        <v>580.6400000000001</v>
      </c>
      <c r="E62" s="56">
        <f t="shared" si="19"/>
        <v>686.98</v>
      </c>
      <c r="F62" s="56">
        <f t="shared" si="19"/>
        <v>683.6</v>
      </c>
      <c r="G62" s="56">
        <f t="shared" si="19"/>
        <v>799.91</v>
      </c>
      <c r="H62" s="56">
        <f t="shared" si="19"/>
        <v>1225.1499999999999</v>
      </c>
      <c r="I62" s="56">
        <f t="shared" si="19"/>
        <v>1360.6499999999999</v>
      </c>
      <c r="J62" s="56">
        <f t="shared" si="19"/>
        <v>2005.96</v>
      </c>
      <c r="K62" s="56">
        <f t="shared" si="19"/>
        <v>2578.5</v>
      </c>
      <c r="L62" s="56">
        <f t="shared" si="19"/>
        <v>2969.78</v>
      </c>
    </row>
    <row r="64" spans="2:12" x14ac:dyDescent="0.3">
      <c r="B64" s="50" t="s">
        <v>124</v>
      </c>
      <c r="C64" s="49">
        <f>IFERROR(SUM(C62+C57),0)</f>
        <v>3291.6399999999994</v>
      </c>
      <c r="D64" s="49">
        <f t="shared" ref="D64:L64" si="20">IFERROR(SUM(D62+D57),0)</f>
        <v>4431.25</v>
      </c>
      <c r="E64" s="49">
        <f t="shared" si="20"/>
        <v>4824.42</v>
      </c>
      <c r="F64" s="49">
        <f t="shared" si="20"/>
        <v>5275.61</v>
      </c>
      <c r="G64" s="49">
        <f t="shared" si="20"/>
        <v>5998.0099999999993</v>
      </c>
      <c r="H64" s="49">
        <f t="shared" si="20"/>
        <v>8375.58</v>
      </c>
      <c r="I64" s="49">
        <f t="shared" si="20"/>
        <v>8447.36</v>
      </c>
      <c r="J64" s="49">
        <f t="shared" si="20"/>
        <v>9579.48</v>
      </c>
      <c r="K64" s="49">
        <f t="shared" si="20"/>
        <v>11618.240000000002</v>
      </c>
      <c r="L64" s="49">
        <f t="shared" si="20"/>
        <v>15187.18</v>
      </c>
    </row>
    <row r="66" spans="1:13" x14ac:dyDescent="0.3">
      <c r="B66" s="38" t="s">
        <v>125</v>
      </c>
      <c r="C66" s="38" t="b">
        <f>C64=C51</f>
        <v>1</v>
      </c>
      <c r="D66" s="38" t="b">
        <f t="shared" ref="D66:L66" si="21">D64=D51</f>
        <v>1</v>
      </c>
      <c r="E66" s="38" t="b">
        <f t="shared" si="21"/>
        <v>1</v>
      </c>
      <c r="F66" s="38" t="b">
        <f t="shared" si="21"/>
        <v>1</v>
      </c>
      <c r="G66" s="38" t="b">
        <f t="shared" si="21"/>
        <v>1</v>
      </c>
      <c r="H66" s="38" t="b">
        <f t="shared" si="21"/>
        <v>1</v>
      </c>
      <c r="I66" s="38" t="b">
        <f t="shared" si="21"/>
        <v>1</v>
      </c>
      <c r="J66" s="38" t="b">
        <f t="shared" si="21"/>
        <v>1</v>
      </c>
      <c r="K66" s="38" t="b">
        <f t="shared" si="21"/>
        <v>1</v>
      </c>
      <c r="L66" s="38" t="b">
        <f t="shared" si="21"/>
        <v>1</v>
      </c>
    </row>
    <row r="68" spans="1:13" x14ac:dyDescent="0.3">
      <c r="A68" t="s">
        <v>95</v>
      </c>
      <c r="B68" s="47" t="s">
        <v>155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</row>
    <row r="69" spans="1:13" x14ac:dyDescent="0.3">
      <c r="B69" s="35" t="s">
        <v>157</v>
      </c>
    </row>
    <row r="70" spans="1:13" x14ac:dyDescent="0.3">
      <c r="B70" t="s">
        <v>127</v>
      </c>
      <c r="C70" s="36">
        <f>IFERROR('Cash flow data'!D4,0)</f>
        <v>313</v>
      </c>
      <c r="D70" s="36">
        <f>IFERROR('Cash flow data'!E4,0)</f>
        <v>397</v>
      </c>
      <c r="E70" s="36">
        <f>IFERROR('Cash flow data'!F4,0)</f>
        <v>645</v>
      </c>
      <c r="F70" s="36">
        <f>IFERROR('Cash flow data'!G4,0)</f>
        <v>820</v>
      </c>
      <c r="G70" s="36">
        <f>IFERROR('Cash flow data'!H4,0)</f>
        <v>873</v>
      </c>
      <c r="H70" s="36">
        <f>IFERROR('Cash flow data'!I4,0)</f>
        <v>1123</v>
      </c>
      <c r="I70" s="36">
        <f>IFERROR('Cash flow data'!J4,0)</f>
        <v>1513</v>
      </c>
      <c r="J70" s="36">
        <f>IFERROR('Cash flow data'!K4,0)</f>
        <v>1200</v>
      </c>
      <c r="K70" s="36">
        <f>IFERROR('Cash flow data'!L4,0)</f>
        <v>1624</v>
      </c>
      <c r="L70" s="36">
        <f>IFERROR('Cash flow data'!M4,0)</f>
        <v>2749</v>
      </c>
      <c r="M70" s="36">
        <f>IFERROR('Cash flow data'!N4,0)</f>
        <v>3732</v>
      </c>
    </row>
    <row r="71" spans="1:13" x14ac:dyDescent="0.3">
      <c r="B71" t="s">
        <v>78</v>
      </c>
      <c r="C71" s="36">
        <f>IFERROR('Cash flow data'!D5,0)</f>
        <v>21</v>
      </c>
      <c r="D71" s="36">
        <f>IFERROR('Cash flow data'!E5,0)</f>
        <v>-38</v>
      </c>
      <c r="E71" s="36">
        <f>IFERROR('Cash flow data'!F5,0)</f>
        <v>0</v>
      </c>
      <c r="F71" s="36">
        <f>IFERROR('Cash flow data'!G5,0)</f>
        <v>7</v>
      </c>
      <c r="G71" s="36">
        <f>IFERROR('Cash flow data'!H5,0)</f>
        <v>-34</v>
      </c>
      <c r="H71" s="36">
        <f>IFERROR('Cash flow data'!I5,0)</f>
        <v>-13</v>
      </c>
      <c r="I71" s="36">
        <f>IFERROR('Cash flow data'!J5,0)</f>
        <v>-32</v>
      </c>
      <c r="J71" s="36">
        <f>IFERROR('Cash flow data'!K5,0)</f>
        <v>-76</v>
      </c>
      <c r="K71" s="36">
        <f>IFERROR('Cash flow data'!L5,0)</f>
        <v>15</v>
      </c>
      <c r="L71" s="36">
        <f>IFERROR('Cash flow data'!M5,0)</f>
        <v>-123</v>
      </c>
      <c r="M71" s="36">
        <f>IFERROR('Cash flow data'!N5,0)</f>
        <v>-73</v>
      </c>
    </row>
    <row r="72" spans="1:13" x14ac:dyDescent="0.3">
      <c r="B72" t="s">
        <v>45</v>
      </c>
      <c r="C72" s="36">
        <f>IFERROR('Cash flow data'!D6,0)</f>
        <v>-16</v>
      </c>
      <c r="D72" s="36">
        <f>IFERROR('Cash flow data'!E6,0)</f>
        <v>-43</v>
      </c>
      <c r="E72" s="36">
        <f>IFERROR('Cash flow data'!F6,0)</f>
        <v>-135</v>
      </c>
      <c r="F72" s="36">
        <f>IFERROR('Cash flow data'!G6,0)</f>
        <v>-39</v>
      </c>
      <c r="G72" s="36">
        <f>IFERROR('Cash flow data'!H6,0)</f>
        <v>45</v>
      </c>
      <c r="H72" s="36">
        <f>IFERROR('Cash flow data'!I6,0)</f>
        <v>-151</v>
      </c>
      <c r="I72" s="36">
        <f>IFERROR('Cash flow data'!J6,0)</f>
        <v>-185</v>
      </c>
      <c r="J72" s="36">
        <f>IFERROR('Cash flow data'!K6,0)</f>
        <v>-47</v>
      </c>
      <c r="K72" s="36">
        <f>IFERROR('Cash flow data'!L6,0)</f>
        <v>-519</v>
      </c>
      <c r="L72" s="36">
        <f>IFERROR('Cash flow data'!M6,0)</f>
        <v>-557</v>
      </c>
      <c r="M72" s="36">
        <f>IFERROR('Cash flow data'!N6,0)</f>
        <v>-160</v>
      </c>
    </row>
    <row r="73" spans="1:13" x14ac:dyDescent="0.3">
      <c r="B73" t="s">
        <v>128</v>
      </c>
      <c r="C73" s="36">
        <f>IFERROR('Cash flow data'!D7,0)</f>
        <v>-49</v>
      </c>
      <c r="D73" s="36">
        <f>IFERROR('Cash flow data'!E7,0)</f>
        <v>86</v>
      </c>
      <c r="E73" s="36">
        <f>IFERROR('Cash flow data'!F7,0)</f>
        <v>149</v>
      </c>
      <c r="F73" s="36">
        <f>IFERROR('Cash flow data'!G7,0)</f>
        <v>0</v>
      </c>
      <c r="G73" s="36">
        <f>IFERROR('Cash flow data'!H7,0)</f>
        <v>0</v>
      </c>
      <c r="H73" s="36">
        <f>IFERROR('Cash flow data'!I7,0)</f>
        <v>0</v>
      </c>
      <c r="I73" s="36">
        <f>IFERROR('Cash flow data'!J7,0)</f>
        <v>0</v>
      </c>
      <c r="J73" s="36">
        <f>IFERROR('Cash flow data'!K7,0)</f>
        <v>0</v>
      </c>
      <c r="K73" s="36">
        <f>IFERROR('Cash flow data'!L7,0)</f>
        <v>0</v>
      </c>
      <c r="L73" s="36">
        <f>IFERROR('Cash flow data'!M7,0)</f>
        <v>0</v>
      </c>
      <c r="M73" s="36">
        <f>IFERROR('Cash flow data'!N7,0)</f>
        <v>0</v>
      </c>
    </row>
    <row r="74" spans="1:13" x14ac:dyDescent="0.3">
      <c r="B74" t="s">
        <v>129</v>
      </c>
      <c r="C74" s="36">
        <f>IFERROR('Cash flow data'!D8,0)</f>
        <v>32</v>
      </c>
      <c r="D74" s="36">
        <f>IFERROR('Cash flow data'!E8,0)</f>
        <v>39</v>
      </c>
      <c r="E74" s="36">
        <f>IFERROR('Cash flow data'!F8,0)</f>
        <v>-56</v>
      </c>
      <c r="F74" s="36">
        <f>IFERROR('Cash flow data'!G8,0)</f>
        <v>0</v>
      </c>
      <c r="G74" s="36">
        <f>IFERROR('Cash flow data'!H8,0)</f>
        <v>0</v>
      </c>
      <c r="H74" s="36">
        <f>IFERROR('Cash flow data'!I8,0)</f>
        <v>0</v>
      </c>
      <c r="I74" s="36">
        <f>IFERROR('Cash flow data'!J8,0)</f>
        <v>0</v>
      </c>
      <c r="J74" s="36">
        <f>IFERROR('Cash flow data'!K8,0)</f>
        <v>0</v>
      </c>
      <c r="K74" s="36">
        <f>IFERROR('Cash flow data'!L8,0)</f>
        <v>0</v>
      </c>
      <c r="L74" s="36">
        <f>IFERROR('Cash flow data'!M8,0)</f>
        <v>0</v>
      </c>
      <c r="M74" s="36">
        <f>IFERROR('Cash flow data'!N8,0)</f>
        <v>0</v>
      </c>
    </row>
    <row r="75" spans="1:13" x14ac:dyDescent="0.3">
      <c r="B75" t="s">
        <v>130</v>
      </c>
      <c r="C75" s="36">
        <f>IFERROR('Cash flow data'!D9,0)</f>
        <v>0</v>
      </c>
      <c r="D75" s="36">
        <f>IFERROR('Cash flow data'!E9,0)</f>
        <v>0</v>
      </c>
      <c r="E75" s="36">
        <f>IFERROR('Cash flow data'!F9,0)</f>
        <v>0</v>
      </c>
      <c r="F75" s="36">
        <f>IFERROR('Cash flow data'!G9,0)</f>
        <v>95</v>
      </c>
      <c r="G75" s="36">
        <f>IFERROR('Cash flow data'!H9,0)</f>
        <v>-207</v>
      </c>
      <c r="H75" s="36">
        <f>IFERROR('Cash flow data'!I9,0)</f>
        <v>114</v>
      </c>
      <c r="I75" s="36">
        <f>IFERROR('Cash flow data'!J9,0)</f>
        <v>132</v>
      </c>
      <c r="J75" s="36">
        <f>IFERROR('Cash flow data'!K9,0)</f>
        <v>12</v>
      </c>
      <c r="K75" s="36">
        <f>IFERROR('Cash flow data'!L9,0)</f>
        <v>236</v>
      </c>
      <c r="L75" s="36">
        <f>IFERROR('Cash flow data'!M9,0)</f>
        <v>95</v>
      </c>
      <c r="M75" s="36">
        <f>IFERROR('Cash flow data'!N9,0)</f>
        <v>-440</v>
      </c>
    </row>
    <row r="76" spans="1:13" x14ac:dyDescent="0.3">
      <c r="B76" t="s">
        <v>131</v>
      </c>
      <c r="C76" s="36">
        <f>IFERROR('Cash flow data'!D10,0)</f>
        <v>-12</v>
      </c>
      <c r="D76" s="36">
        <f>IFERROR('Cash flow data'!E10,0)</f>
        <v>44</v>
      </c>
      <c r="E76" s="36">
        <f>IFERROR('Cash flow data'!F10,0)</f>
        <v>-42</v>
      </c>
      <c r="F76" s="36">
        <f>IFERROR('Cash flow data'!G10,0)</f>
        <v>64</v>
      </c>
      <c r="G76" s="36">
        <f>IFERROR('Cash flow data'!H10,0)</f>
        <v>-197</v>
      </c>
      <c r="H76" s="36">
        <f>IFERROR('Cash flow data'!I10,0)</f>
        <v>-50</v>
      </c>
      <c r="I76" s="36">
        <f>IFERROR('Cash flow data'!J10,0)</f>
        <v>-85</v>
      </c>
      <c r="J76" s="36">
        <f>IFERROR('Cash flow data'!K10,0)</f>
        <v>-111</v>
      </c>
      <c r="K76" s="36">
        <f>IFERROR('Cash flow data'!L10,0)</f>
        <v>-269</v>
      </c>
      <c r="L76" s="36">
        <f>IFERROR('Cash flow data'!M10,0)</f>
        <v>-585</v>
      </c>
      <c r="M76" s="36">
        <f>IFERROR('Cash flow data'!N10,0)</f>
        <v>-673</v>
      </c>
    </row>
    <row r="77" spans="1:13" x14ac:dyDescent="0.3">
      <c r="B77" t="s">
        <v>132</v>
      </c>
      <c r="C77" s="36">
        <f>IFERROR('Cash flow data'!D11,0)</f>
        <v>-4</v>
      </c>
      <c r="D77" s="36">
        <f>IFERROR('Cash flow data'!E11,0)</f>
        <v>-11</v>
      </c>
      <c r="E77" s="36">
        <f>IFERROR('Cash flow data'!F11,0)</f>
        <v>-48</v>
      </c>
      <c r="F77" s="36">
        <f>IFERROR('Cash flow data'!G11,0)</f>
        <v>-58</v>
      </c>
      <c r="G77" s="36">
        <f>IFERROR('Cash flow data'!H11,0)</f>
        <v>-57</v>
      </c>
      <c r="H77" s="36">
        <f>IFERROR('Cash flow data'!I11,0)</f>
        <v>-73</v>
      </c>
      <c r="I77" s="36">
        <f>IFERROR('Cash flow data'!J11,0)</f>
        <v>-120</v>
      </c>
      <c r="J77" s="36">
        <f>IFERROR('Cash flow data'!K11,0)</f>
        <v>-78</v>
      </c>
      <c r="K77" s="36">
        <f>IFERROR('Cash flow data'!L11,0)</f>
        <v>-124</v>
      </c>
      <c r="L77" s="36">
        <f>IFERROR('Cash flow data'!M11,0)</f>
        <v>-373</v>
      </c>
      <c r="M77" s="36">
        <f>IFERROR('Cash flow data'!N11,0)</f>
        <v>-668</v>
      </c>
    </row>
    <row r="78" spans="1:13" x14ac:dyDescent="0.3">
      <c r="B78" s="35" t="s">
        <v>156</v>
      </c>
      <c r="C78" s="49">
        <f>IFERROR(SUM(C70:C77),0)</f>
        <v>285</v>
      </c>
      <c r="D78" s="49">
        <f t="shared" ref="D78:M78" si="22">IFERROR(SUM(D70:D77),0)</f>
        <v>474</v>
      </c>
      <c r="E78" s="49">
        <f t="shared" si="22"/>
        <v>513</v>
      </c>
      <c r="F78" s="49">
        <f t="shared" si="22"/>
        <v>889</v>
      </c>
      <c r="G78" s="49">
        <f t="shared" si="22"/>
        <v>423</v>
      </c>
      <c r="H78" s="49">
        <f t="shared" si="22"/>
        <v>950</v>
      </c>
      <c r="I78" s="49">
        <f t="shared" si="22"/>
        <v>1223</v>
      </c>
      <c r="J78" s="49">
        <f t="shared" si="22"/>
        <v>900</v>
      </c>
      <c r="K78" s="49">
        <f t="shared" si="22"/>
        <v>963</v>
      </c>
      <c r="L78" s="49">
        <f t="shared" si="22"/>
        <v>1206</v>
      </c>
      <c r="M78" s="49">
        <f t="shared" si="22"/>
        <v>1718</v>
      </c>
    </row>
    <row r="80" spans="1:13" x14ac:dyDescent="0.3">
      <c r="B80" s="35" t="s">
        <v>158</v>
      </c>
    </row>
    <row r="81" spans="2:13" x14ac:dyDescent="0.3">
      <c r="B81" t="s">
        <v>134</v>
      </c>
      <c r="C81" s="36">
        <f>IFERROR('Cash flow data'!D13,0)</f>
        <v>-578</v>
      </c>
      <c r="D81" s="36">
        <f>IFERROR('Cash flow data'!E13,0)</f>
        <v>-220</v>
      </c>
      <c r="E81" s="36">
        <f>IFERROR('Cash flow data'!F13,0)</f>
        <v>-269</v>
      </c>
      <c r="F81" s="36">
        <f>IFERROR('Cash flow data'!G13,0)</f>
        <v>-792</v>
      </c>
      <c r="G81" s="36">
        <f>IFERROR('Cash flow data'!H13,0)</f>
        <v>-533</v>
      </c>
      <c r="H81" s="36">
        <f>IFERROR('Cash flow data'!I13,0)</f>
        <v>-859</v>
      </c>
      <c r="I81" s="36">
        <f>IFERROR('Cash flow data'!J13,0)</f>
        <v>-754</v>
      </c>
      <c r="J81" s="36">
        <f>IFERROR('Cash flow data'!K13,0)</f>
        <v>-560</v>
      </c>
      <c r="K81" s="36">
        <f>IFERROR('Cash flow data'!L13,0)</f>
        <v>-835</v>
      </c>
      <c r="L81" s="36">
        <f>IFERROR('Cash flow data'!M13,0)</f>
        <v>-1801</v>
      </c>
      <c r="M81" s="36">
        <f>IFERROR('Cash flow data'!N13,0)</f>
        <v>-3264</v>
      </c>
    </row>
    <row r="82" spans="2:13" x14ac:dyDescent="0.3">
      <c r="B82" t="s">
        <v>135</v>
      </c>
      <c r="C82" s="36">
        <f>IFERROR('Cash flow data'!D14,0)</f>
        <v>0</v>
      </c>
      <c r="D82" s="36">
        <f>IFERROR('Cash flow data'!E14,0)</f>
        <v>0</v>
      </c>
      <c r="E82" s="36">
        <f>IFERROR('Cash flow data'!F14,0)</f>
        <v>4</v>
      </c>
      <c r="F82" s="36">
        <f>IFERROR('Cash flow data'!G14,0)</f>
        <v>12</v>
      </c>
      <c r="G82" s="36">
        <f>IFERROR('Cash flow data'!H14,0)</f>
        <v>17</v>
      </c>
      <c r="H82" s="36">
        <f>IFERROR('Cash flow data'!I14,0)</f>
        <v>50</v>
      </c>
      <c r="I82" s="36">
        <f>IFERROR('Cash flow data'!J14,0)</f>
        <v>21</v>
      </c>
      <c r="J82" s="36">
        <f>IFERROR('Cash flow data'!K14,0)</f>
        <v>24</v>
      </c>
      <c r="K82" s="36">
        <f>IFERROR('Cash flow data'!L14,0)</f>
        <v>19</v>
      </c>
      <c r="L82" s="36">
        <f>IFERROR('Cash flow data'!M14,0)</f>
        <v>51</v>
      </c>
      <c r="M82" s="36">
        <f>IFERROR('Cash flow data'!N14,0)</f>
        <v>70</v>
      </c>
    </row>
    <row r="83" spans="2:13" x14ac:dyDescent="0.3">
      <c r="B83" t="s">
        <v>136</v>
      </c>
      <c r="C83" s="36">
        <f>IFERROR('Cash flow data'!D15,0)</f>
        <v>0</v>
      </c>
      <c r="D83" s="36">
        <f>IFERROR('Cash flow data'!E15,0)</f>
        <v>-302</v>
      </c>
      <c r="E83" s="36">
        <f>IFERROR('Cash flow data'!F15,0)</f>
        <v>-550</v>
      </c>
      <c r="F83" s="36">
        <f>IFERROR('Cash flow data'!G15,0)</f>
        <v>-35</v>
      </c>
      <c r="G83" s="36">
        <f>IFERROR('Cash flow data'!H15,0)</f>
        <v>-35</v>
      </c>
      <c r="H83" s="36">
        <f>IFERROR('Cash flow data'!I15,0)</f>
        <v>0</v>
      </c>
      <c r="I83" s="36">
        <f>IFERROR('Cash flow data'!J15,0)</f>
        <v>-73</v>
      </c>
      <c r="J83" s="36">
        <f>IFERROR('Cash flow data'!K15,0)</f>
        <v>0</v>
      </c>
      <c r="K83" s="36">
        <f>IFERROR('Cash flow data'!L15,0)</f>
        <v>0</v>
      </c>
      <c r="L83" s="36">
        <f>IFERROR('Cash flow data'!M15,0)</f>
        <v>0</v>
      </c>
      <c r="M83" s="36">
        <f>IFERROR('Cash flow data'!N15,0)</f>
        <v>0</v>
      </c>
    </row>
    <row r="84" spans="2:13" x14ac:dyDescent="0.3">
      <c r="B84" t="s">
        <v>137</v>
      </c>
      <c r="C84" s="36">
        <f>IFERROR('Cash flow data'!D16,0)</f>
        <v>0</v>
      </c>
      <c r="D84" s="36">
        <f>IFERROR('Cash flow data'!E16,0)</f>
        <v>8</v>
      </c>
      <c r="E84" s="36">
        <f>IFERROR('Cash flow data'!F16,0)</f>
        <v>512</v>
      </c>
      <c r="F84" s="36">
        <f>IFERROR('Cash flow data'!G16,0)</f>
        <v>35</v>
      </c>
      <c r="G84" s="36">
        <f>IFERROR('Cash flow data'!H16,0)</f>
        <v>35</v>
      </c>
      <c r="H84" s="36">
        <f>IFERROR('Cash flow data'!I16,0)</f>
        <v>0</v>
      </c>
      <c r="I84" s="36">
        <f>IFERROR('Cash flow data'!J16,0)</f>
        <v>73</v>
      </c>
      <c r="J84" s="36">
        <f>IFERROR('Cash flow data'!K16,0)</f>
        <v>0</v>
      </c>
      <c r="K84" s="36">
        <f>IFERROR('Cash flow data'!L16,0)</f>
        <v>0</v>
      </c>
      <c r="L84" s="36">
        <f>IFERROR('Cash flow data'!M16,0)</f>
        <v>0</v>
      </c>
      <c r="M84" s="36">
        <f>IFERROR('Cash flow data'!N16,0)</f>
        <v>0</v>
      </c>
    </row>
    <row r="85" spans="2:13" x14ac:dyDescent="0.3">
      <c r="B85" t="s">
        <v>138</v>
      </c>
      <c r="C85" s="36">
        <f>IFERROR('Cash flow data'!D17,0)</f>
        <v>4</v>
      </c>
      <c r="D85" s="36">
        <f>IFERROR('Cash flow data'!E17,0)</f>
        <v>12</v>
      </c>
      <c r="E85" s="36">
        <f>IFERROR('Cash flow data'!F17,0)</f>
        <v>6</v>
      </c>
      <c r="F85" s="36">
        <f>IFERROR('Cash flow data'!G17,0)</f>
        <v>8</v>
      </c>
      <c r="G85" s="36">
        <f>IFERROR('Cash flow data'!H17,0)</f>
        <v>5</v>
      </c>
      <c r="H85" s="36">
        <f>IFERROR('Cash flow data'!I17,0)</f>
        <v>6</v>
      </c>
      <c r="I85" s="36">
        <f>IFERROR('Cash flow data'!J17,0)</f>
        <v>5</v>
      </c>
      <c r="J85" s="36">
        <f>IFERROR('Cash flow data'!K17,0)</f>
        <v>9</v>
      </c>
      <c r="K85" s="36">
        <f>IFERROR('Cash flow data'!L17,0)</f>
        <v>13</v>
      </c>
      <c r="L85" s="36">
        <f>IFERROR('Cash flow data'!M17,0)</f>
        <v>23</v>
      </c>
      <c r="M85" s="36">
        <f>IFERROR('Cash flow data'!N17,0)</f>
        <v>22</v>
      </c>
    </row>
    <row r="86" spans="2:13" x14ac:dyDescent="0.3">
      <c r="B86" t="s">
        <v>139</v>
      </c>
      <c r="C86" s="36">
        <f>IFERROR('Cash flow data'!D18,0)</f>
        <v>0</v>
      </c>
      <c r="D86" s="36">
        <f>IFERROR('Cash flow data'!E18,0)</f>
        <v>2</v>
      </c>
      <c r="E86" s="36">
        <f>IFERROR('Cash flow data'!F18,0)</f>
        <v>0</v>
      </c>
      <c r="F86" s="36">
        <f>IFERROR('Cash flow data'!G18,0)</f>
        <v>0</v>
      </c>
      <c r="G86" s="36">
        <f>IFERROR('Cash flow data'!H18,0)</f>
        <v>0</v>
      </c>
      <c r="H86" s="36">
        <f>IFERROR('Cash flow data'!I18,0)</f>
        <v>0</v>
      </c>
      <c r="I86" s="36">
        <f>IFERROR('Cash flow data'!J18,0)</f>
        <v>0</v>
      </c>
      <c r="J86" s="36">
        <f>IFERROR('Cash flow data'!K18,0)</f>
        <v>0</v>
      </c>
      <c r="K86" s="36">
        <f>IFERROR('Cash flow data'!L18,0)</f>
        <v>0</v>
      </c>
      <c r="L86" s="36">
        <f>IFERROR('Cash flow data'!M18,0)</f>
        <v>0</v>
      </c>
      <c r="M86" s="36">
        <f>IFERROR('Cash flow data'!N18,0)</f>
        <v>0</v>
      </c>
    </row>
    <row r="87" spans="2:13" x14ac:dyDescent="0.3">
      <c r="B87" t="s">
        <v>140</v>
      </c>
      <c r="C87" s="36">
        <f>IFERROR('Cash flow data'!D19,0)</f>
        <v>0</v>
      </c>
      <c r="D87" s="36">
        <f>IFERROR('Cash flow data'!E19,0)</f>
        <v>0</v>
      </c>
      <c r="E87" s="36">
        <f>IFERROR('Cash flow data'!F19,0)</f>
        <v>0</v>
      </c>
      <c r="F87" s="36">
        <f>IFERROR('Cash flow data'!G19,0)</f>
        <v>0</v>
      </c>
      <c r="G87" s="36">
        <f>IFERROR('Cash flow data'!H19,0)</f>
        <v>0</v>
      </c>
      <c r="H87" s="36">
        <f>IFERROR('Cash flow data'!I19,0)</f>
        <v>0</v>
      </c>
      <c r="I87" s="36">
        <f>IFERROR('Cash flow data'!J19,0)</f>
        <v>0</v>
      </c>
      <c r="J87" s="36">
        <f>IFERROR('Cash flow data'!K19,0)</f>
        <v>0</v>
      </c>
      <c r="K87" s="36">
        <f>IFERROR('Cash flow data'!L19,0)</f>
        <v>0</v>
      </c>
      <c r="L87" s="36">
        <f>IFERROR('Cash flow data'!M19,0)</f>
        <v>0</v>
      </c>
      <c r="M87" s="36">
        <f>IFERROR('Cash flow data'!N19,0)</f>
        <v>-22</v>
      </c>
    </row>
    <row r="88" spans="2:13" x14ac:dyDescent="0.3">
      <c r="B88" t="s">
        <v>141</v>
      </c>
      <c r="C88" s="36">
        <f>IFERROR('Cash flow data'!D20,0)</f>
        <v>0</v>
      </c>
      <c r="D88" s="36">
        <f>IFERROR('Cash flow data'!E20,0)</f>
        <v>0</v>
      </c>
      <c r="E88" s="36">
        <f>IFERROR('Cash flow data'!F20,0)</f>
        <v>0</v>
      </c>
      <c r="F88" s="36">
        <f>IFERROR('Cash flow data'!G20,0)</f>
        <v>-276</v>
      </c>
      <c r="G88" s="36">
        <f>IFERROR('Cash flow data'!H20,0)</f>
        <v>-212</v>
      </c>
      <c r="H88" s="36">
        <f>IFERROR('Cash flow data'!I20,0)</f>
        <v>0</v>
      </c>
      <c r="I88" s="36">
        <f>IFERROR('Cash flow data'!J20,0)</f>
        <v>-8</v>
      </c>
      <c r="J88" s="36">
        <f>IFERROR('Cash flow data'!K20,0)</f>
        <v>0</v>
      </c>
      <c r="K88" s="36">
        <f>IFERROR('Cash flow data'!L20,0)</f>
        <v>0</v>
      </c>
      <c r="L88" s="36">
        <f>IFERROR('Cash flow data'!M20,0)</f>
        <v>0</v>
      </c>
      <c r="M88" s="36">
        <f>IFERROR('Cash flow data'!N20,0)</f>
        <v>-10</v>
      </c>
    </row>
    <row r="89" spans="2:13" x14ac:dyDescent="0.3">
      <c r="B89" t="s">
        <v>142</v>
      </c>
      <c r="C89" s="36">
        <f>IFERROR('Cash flow data'!D21,0)</f>
        <v>0</v>
      </c>
      <c r="D89" s="36">
        <f>IFERROR('Cash flow data'!E21,0)</f>
        <v>0</v>
      </c>
      <c r="E89" s="36">
        <f>IFERROR('Cash flow data'!F21,0)</f>
        <v>-4</v>
      </c>
      <c r="F89" s="36">
        <f>IFERROR('Cash flow data'!G21,0)</f>
        <v>0</v>
      </c>
      <c r="G89" s="36">
        <f>IFERROR('Cash flow data'!H21,0)</f>
        <v>-23</v>
      </c>
      <c r="H89" s="36">
        <f>IFERROR('Cash flow data'!I21,0)</f>
        <v>-134</v>
      </c>
      <c r="I89" s="36">
        <f>IFERROR('Cash flow data'!J21,0)</f>
        <v>-1583</v>
      </c>
      <c r="J89" s="36">
        <f>IFERROR('Cash flow data'!K21,0)</f>
        <v>55</v>
      </c>
      <c r="K89" s="36">
        <f>IFERROR('Cash flow data'!L21,0)</f>
        <v>-205</v>
      </c>
      <c r="L89" s="36">
        <f>IFERROR('Cash flow data'!M21,0)</f>
        <v>-42</v>
      </c>
      <c r="M89" s="36">
        <f>IFERROR('Cash flow data'!N21,0)</f>
        <v>-85</v>
      </c>
    </row>
    <row r="90" spans="2:13" x14ac:dyDescent="0.3">
      <c r="B90" s="35" t="s">
        <v>161</v>
      </c>
      <c r="C90" s="49">
        <f>IFERROR(SUM(C81:C89),0)</f>
        <v>-574</v>
      </c>
      <c r="D90" s="49">
        <f t="shared" ref="D90:M90" si="23">IFERROR(SUM(D81:D89),0)</f>
        <v>-500</v>
      </c>
      <c r="E90" s="49">
        <f t="shared" si="23"/>
        <v>-301</v>
      </c>
      <c r="F90" s="49">
        <f>IFERROR(SUM(F81:F89),0)</f>
        <v>-1048</v>
      </c>
      <c r="G90" s="49">
        <f t="shared" si="23"/>
        <v>-746</v>
      </c>
      <c r="H90" s="49">
        <f t="shared" si="23"/>
        <v>-937</v>
      </c>
      <c r="I90" s="49">
        <f t="shared" si="23"/>
        <v>-2319</v>
      </c>
      <c r="J90" s="49">
        <f t="shared" si="23"/>
        <v>-472</v>
      </c>
      <c r="K90" s="49">
        <f t="shared" si="23"/>
        <v>-1008</v>
      </c>
      <c r="L90" s="49">
        <f t="shared" si="23"/>
        <v>-1769</v>
      </c>
      <c r="M90" s="49">
        <f t="shared" si="23"/>
        <v>-3289</v>
      </c>
    </row>
    <row r="92" spans="2:13" x14ac:dyDescent="0.3">
      <c r="B92" s="35" t="s">
        <v>159</v>
      </c>
    </row>
    <row r="93" spans="2:13" x14ac:dyDescent="0.3">
      <c r="B93" t="s">
        <v>144</v>
      </c>
      <c r="C93" s="36">
        <f>IFERROR('Cash flow data'!D23,0)</f>
        <v>40</v>
      </c>
      <c r="D93" s="36">
        <f>IFERROR('Cash flow data'!E23,0)</f>
        <v>240</v>
      </c>
      <c r="E93" s="36">
        <f>IFERROR('Cash flow data'!F23,0)</f>
        <v>0</v>
      </c>
      <c r="F93" s="36">
        <f>IFERROR('Cash flow data'!G23,0)</f>
        <v>701</v>
      </c>
      <c r="G93" s="36">
        <f>IFERROR('Cash flow data'!H23,0)</f>
        <v>4</v>
      </c>
      <c r="H93" s="36">
        <f>IFERROR('Cash flow data'!I23,0)</f>
        <v>1</v>
      </c>
      <c r="I93" s="36">
        <f>IFERROR('Cash flow data'!J23,0)</f>
        <v>900</v>
      </c>
      <c r="J93" s="36">
        <f>IFERROR('Cash flow data'!K23,0)</f>
        <v>0</v>
      </c>
      <c r="K93" s="36">
        <f>IFERROR('Cash flow data'!L23,0)</f>
        <v>0</v>
      </c>
      <c r="L93" s="36">
        <f>IFERROR('Cash flow data'!M23,0)</f>
        <v>0</v>
      </c>
      <c r="M93" s="36">
        <f>IFERROR('Cash flow data'!N23,0)</f>
        <v>4</v>
      </c>
    </row>
    <row r="94" spans="2:13" x14ac:dyDescent="0.3">
      <c r="B94" t="s">
        <v>145</v>
      </c>
      <c r="C94" s="36">
        <f>IFERROR('Cash flow data'!D24,0)</f>
        <v>0</v>
      </c>
      <c r="D94" s="36">
        <f>IFERROR('Cash flow data'!E24,0)</f>
        <v>0</v>
      </c>
      <c r="E94" s="36">
        <f>IFERROR('Cash flow data'!F24,0)</f>
        <v>320</v>
      </c>
      <c r="F94" s="36">
        <f>IFERROR('Cash flow data'!G24,0)</f>
        <v>180</v>
      </c>
      <c r="G94" s="36">
        <f>IFERROR('Cash flow data'!H24,0)</f>
        <v>300</v>
      </c>
      <c r="H94" s="36">
        <f>IFERROR('Cash flow data'!I24,0)</f>
        <v>0</v>
      </c>
      <c r="I94" s="36">
        <f>IFERROR('Cash flow data'!J24,0)</f>
        <v>0</v>
      </c>
      <c r="J94" s="36">
        <f>IFERROR('Cash flow data'!K24,0)</f>
        <v>0</v>
      </c>
      <c r="K94" s="36">
        <f>IFERROR('Cash flow data'!L24,0)</f>
        <v>0</v>
      </c>
      <c r="L94" s="36">
        <f>IFERROR('Cash flow data'!M24,0)</f>
        <v>0</v>
      </c>
      <c r="M94" s="36">
        <f>IFERROR('Cash flow data'!N24,0)</f>
        <v>0</v>
      </c>
    </row>
    <row r="95" spans="2:13" x14ac:dyDescent="0.3">
      <c r="B95" t="s">
        <v>146</v>
      </c>
      <c r="C95" s="36">
        <f>IFERROR('Cash flow data'!D25,0)</f>
        <v>0</v>
      </c>
      <c r="D95" s="36">
        <f>IFERROR('Cash flow data'!E25,0)</f>
        <v>0</v>
      </c>
      <c r="E95" s="36">
        <f>IFERROR('Cash flow data'!F25,0)</f>
        <v>0</v>
      </c>
      <c r="F95" s="36">
        <f>IFERROR('Cash flow data'!G25,0)</f>
        <v>-500</v>
      </c>
      <c r="G95" s="36">
        <f>IFERROR('Cash flow data'!H25,0)</f>
        <v>0</v>
      </c>
      <c r="H95" s="36">
        <f>IFERROR('Cash flow data'!I25,0)</f>
        <v>-300</v>
      </c>
      <c r="I95" s="36">
        <f>IFERROR('Cash flow data'!J25,0)</f>
        <v>0</v>
      </c>
      <c r="J95" s="36">
        <f>IFERROR('Cash flow data'!K25,0)</f>
        <v>0</v>
      </c>
      <c r="K95" s="36">
        <f>IFERROR('Cash flow data'!L25,0)</f>
        <v>0</v>
      </c>
      <c r="L95" s="36">
        <f>IFERROR('Cash flow data'!M25,0)</f>
        <v>0</v>
      </c>
      <c r="M95" s="36">
        <f>IFERROR('Cash flow data'!N25,0)</f>
        <v>0</v>
      </c>
    </row>
    <row r="96" spans="2:13" x14ac:dyDescent="0.3">
      <c r="B96" t="s">
        <v>147</v>
      </c>
      <c r="C96" s="36">
        <f>IFERROR('Cash flow data'!D26,0)</f>
        <v>396</v>
      </c>
      <c r="D96" s="36">
        <f>IFERROR('Cash flow data'!E26,0)</f>
        <v>171</v>
      </c>
      <c r="E96" s="36">
        <f>IFERROR('Cash flow data'!F26,0)</f>
        <v>332</v>
      </c>
      <c r="F96" s="36">
        <f>IFERROR('Cash flow data'!G26,0)</f>
        <v>0</v>
      </c>
      <c r="G96" s="36">
        <f>IFERROR('Cash flow data'!H26,0)</f>
        <v>0</v>
      </c>
      <c r="H96" s="36">
        <f>IFERROR('Cash flow data'!I26,0)</f>
        <v>1400</v>
      </c>
      <c r="I96" s="36">
        <f>IFERROR('Cash flow data'!J26,0)</f>
        <v>1958</v>
      </c>
      <c r="J96" s="36">
        <f>IFERROR('Cash flow data'!K26,0)</f>
        <v>1020</v>
      </c>
      <c r="K96" s="36">
        <f>IFERROR('Cash flow data'!L26,0)</f>
        <v>855</v>
      </c>
      <c r="L96" s="36">
        <f>IFERROR('Cash flow data'!M26,0)</f>
        <v>1478</v>
      </c>
      <c r="M96" s="36">
        <f>IFERROR('Cash flow data'!N26,0)</f>
        <v>2783</v>
      </c>
    </row>
    <row r="97" spans="2:13" x14ac:dyDescent="0.3">
      <c r="B97" t="s">
        <v>148</v>
      </c>
      <c r="C97" s="36">
        <f>IFERROR('Cash flow data'!D27,0)</f>
        <v>-1</v>
      </c>
      <c r="D97" s="36">
        <f>IFERROR('Cash flow data'!E27,0)</f>
        <v>-87</v>
      </c>
      <c r="E97" s="36">
        <f>IFERROR('Cash flow data'!F27,0)</f>
        <v>-997</v>
      </c>
      <c r="F97" s="36">
        <f>IFERROR('Cash flow data'!G27,0)</f>
        <v>71</v>
      </c>
      <c r="G97" s="36">
        <f>IFERROR('Cash flow data'!H27,0)</f>
        <v>-57</v>
      </c>
      <c r="H97" s="36">
        <f>IFERROR('Cash flow data'!I27,0)</f>
        <v>-644</v>
      </c>
      <c r="I97" s="36">
        <f>IFERROR('Cash flow data'!J27,0)</f>
        <v>-1310</v>
      </c>
      <c r="J97" s="36">
        <f>IFERROR('Cash flow data'!K27,0)</f>
        <v>-1233</v>
      </c>
      <c r="K97" s="36">
        <f>IFERROR('Cash flow data'!L27,0)</f>
        <v>-726</v>
      </c>
      <c r="L97" s="36">
        <f>IFERROR('Cash flow data'!M27,0)</f>
        <v>-1138</v>
      </c>
      <c r="M97" s="36">
        <f>IFERROR('Cash flow data'!N27,0)</f>
        <v>-1277</v>
      </c>
    </row>
    <row r="98" spans="2:13" x14ac:dyDescent="0.3">
      <c r="B98" t="s">
        <v>149</v>
      </c>
      <c r="C98" s="36">
        <f>IFERROR('Cash flow data'!D28,0)</f>
        <v>-161</v>
      </c>
      <c r="D98" s="36">
        <f>IFERROR('Cash flow data'!E28,0)</f>
        <v>-186</v>
      </c>
      <c r="E98" s="36">
        <f>IFERROR('Cash flow data'!F28,0)</f>
        <v>-141</v>
      </c>
      <c r="F98" s="36">
        <f>IFERROR('Cash flow data'!G28,0)</f>
        <v>-219</v>
      </c>
      <c r="G98" s="36">
        <f>IFERROR('Cash flow data'!H28,0)</f>
        <v>-156</v>
      </c>
      <c r="H98" s="36">
        <f>IFERROR('Cash flow data'!I28,0)</f>
        <v>-189</v>
      </c>
      <c r="I98" s="36">
        <f>IFERROR('Cash flow data'!J28,0)</f>
        <v>-303</v>
      </c>
      <c r="J98" s="36">
        <f>IFERROR('Cash flow data'!K28,0)</f>
        <v>-277</v>
      </c>
      <c r="K98" s="36">
        <f>IFERROR('Cash flow data'!L28,0)</f>
        <v>-179</v>
      </c>
      <c r="L98" s="36">
        <f>IFERROR('Cash flow data'!M28,0)</f>
        <v>-172</v>
      </c>
      <c r="M98" s="36">
        <f>IFERROR('Cash flow data'!N28,0)</f>
        <v>-269</v>
      </c>
    </row>
    <row r="99" spans="2:13" x14ac:dyDescent="0.3">
      <c r="B99" t="s">
        <v>150</v>
      </c>
      <c r="C99" s="36">
        <f>IFERROR('Cash flow data'!D29,0)</f>
        <v>0</v>
      </c>
      <c r="D99" s="36">
        <f>IFERROR('Cash flow data'!E29,0)</f>
        <v>0</v>
      </c>
      <c r="E99" s="36">
        <f>IFERROR('Cash flow data'!F29,0)</f>
        <v>0</v>
      </c>
      <c r="F99" s="36">
        <f>IFERROR('Cash flow data'!G29,0)</f>
        <v>0</v>
      </c>
      <c r="G99" s="36">
        <f>IFERROR('Cash flow data'!H29,0)</f>
        <v>-46</v>
      </c>
      <c r="H99" s="36">
        <f>IFERROR('Cash flow data'!I29,0)</f>
        <v>-46</v>
      </c>
      <c r="I99" s="36">
        <f>IFERROR('Cash flow data'!J29,0)</f>
        <v>-69</v>
      </c>
      <c r="J99" s="36">
        <f>IFERROR('Cash flow data'!K29,0)</f>
        <v>-72</v>
      </c>
      <c r="K99" s="36">
        <f>IFERROR('Cash flow data'!L29,0)</f>
        <v>-108</v>
      </c>
      <c r="L99" s="36">
        <f>IFERROR('Cash flow data'!M29,0)</f>
        <v>-162</v>
      </c>
      <c r="M99" s="36">
        <f>IFERROR('Cash flow data'!N29,0)</f>
        <v>-227</v>
      </c>
    </row>
    <row r="100" spans="2:13" x14ac:dyDescent="0.3">
      <c r="B100" t="s">
        <v>151</v>
      </c>
      <c r="C100" s="36">
        <f>IFERROR('Cash flow data'!D30,0)</f>
        <v>0</v>
      </c>
      <c r="D100" s="36">
        <f>IFERROR('Cash flow data'!E30,0)</f>
        <v>0</v>
      </c>
      <c r="E100" s="36">
        <f>IFERROR('Cash flow data'!F30,0)</f>
        <v>0</v>
      </c>
      <c r="F100" s="36">
        <f>IFERROR('Cash flow data'!G30,0)</f>
        <v>0</v>
      </c>
      <c r="G100" s="36">
        <f>IFERROR('Cash flow data'!H30,0)</f>
        <v>0</v>
      </c>
      <c r="H100" s="36">
        <f>IFERROR('Cash flow data'!I30,0)</f>
        <v>0</v>
      </c>
      <c r="I100" s="36">
        <f>IFERROR('Cash flow data'!J30,0)</f>
        <v>0</v>
      </c>
      <c r="J100" s="36">
        <f>IFERROR('Cash flow data'!K30,0)</f>
        <v>-11</v>
      </c>
      <c r="K100" s="36">
        <f>IFERROR('Cash flow data'!L30,0)</f>
        <v>-19</v>
      </c>
      <c r="L100" s="36">
        <f>IFERROR('Cash flow data'!M30,0)</f>
        <v>-23</v>
      </c>
      <c r="M100" s="36">
        <f>IFERROR('Cash flow data'!N30,0)</f>
        <v>-30</v>
      </c>
    </row>
    <row r="101" spans="2:13" x14ac:dyDescent="0.3">
      <c r="B101" t="s">
        <v>152</v>
      </c>
      <c r="C101" s="36">
        <f>IFERROR('Cash flow data'!D31,0)</f>
        <v>0</v>
      </c>
      <c r="D101" s="36">
        <f>IFERROR('Cash flow data'!E31,0)</f>
        <v>0</v>
      </c>
      <c r="E101" s="36">
        <f>IFERROR('Cash flow data'!F31,0)</f>
        <v>0</v>
      </c>
      <c r="F101" s="36">
        <f>IFERROR('Cash flow data'!G31,0)</f>
        <v>0</v>
      </c>
      <c r="G101" s="36">
        <f>IFERROR('Cash flow data'!H31,0)</f>
        <v>0</v>
      </c>
      <c r="H101" s="36">
        <f>IFERROR('Cash flow data'!I31,0)</f>
        <v>0</v>
      </c>
      <c r="I101" s="36">
        <f>IFERROR('Cash flow data'!J31,0)</f>
        <v>0</v>
      </c>
      <c r="J101" s="36">
        <f>IFERROR('Cash flow data'!K31,0)</f>
        <v>0</v>
      </c>
      <c r="K101" s="36">
        <f>IFERROR('Cash flow data'!L31,0)</f>
        <v>0</v>
      </c>
      <c r="L101" s="36">
        <f>IFERROR('Cash flow data'!M31,0)</f>
        <v>0</v>
      </c>
      <c r="M101" s="36">
        <f>IFERROR('Cash flow data'!N31,0)</f>
        <v>0</v>
      </c>
    </row>
    <row r="102" spans="2:13" x14ac:dyDescent="0.3">
      <c r="B102" t="s">
        <v>153</v>
      </c>
      <c r="C102" s="36">
        <f>IFERROR('Cash flow data'!D32,0)</f>
        <v>0</v>
      </c>
      <c r="D102" s="36">
        <f>IFERROR('Cash flow data'!E32,0)</f>
        <v>0</v>
      </c>
      <c r="E102" s="36">
        <f>IFERROR('Cash flow data'!F32,0)</f>
        <v>0</v>
      </c>
      <c r="F102" s="36">
        <f>IFERROR('Cash flow data'!G32,0)</f>
        <v>-21</v>
      </c>
      <c r="G102" s="36">
        <f>IFERROR('Cash flow data'!H32,0)</f>
        <v>0</v>
      </c>
      <c r="H102" s="36">
        <f>IFERROR('Cash flow data'!I32,0)</f>
        <v>0</v>
      </c>
      <c r="I102" s="36">
        <f>IFERROR('Cash flow data'!J32,0)</f>
        <v>0</v>
      </c>
      <c r="J102" s="36">
        <f>IFERROR('Cash flow data'!K32,0)</f>
        <v>0</v>
      </c>
      <c r="K102" s="36">
        <f>IFERROR('Cash flow data'!L32,0)</f>
        <v>0</v>
      </c>
      <c r="L102" s="36">
        <f>IFERROR('Cash flow data'!M32,0)</f>
        <v>0</v>
      </c>
      <c r="M102" s="36">
        <f>IFERROR('Cash flow data'!N32,0)</f>
        <v>0</v>
      </c>
    </row>
    <row r="103" spans="2:13" x14ac:dyDescent="0.3">
      <c r="B103" t="s">
        <v>154</v>
      </c>
      <c r="C103" s="36">
        <f>IFERROR('Cash flow data'!D33,0)</f>
        <v>0</v>
      </c>
      <c r="D103" s="36">
        <f>IFERROR('Cash flow data'!E33,0)</f>
        <v>-80</v>
      </c>
      <c r="E103" s="36">
        <f>IFERROR('Cash flow data'!F33,0)</f>
        <v>250</v>
      </c>
      <c r="F103" s="36">
        <f>IFERROR('Cash flow data'!G33,0)</f>
        <v>17</v>
      </c>
      <c r="G103" s="36">
        <f>IFERROR('Cash flow data'!H33,0)</f>
        <v>113</v>
      </c>
      <c r="H103" s="36">
        <f>IFERROR('Cash flow data'!I33,0)</f>
        <v>-308</v>
      </c>
      <c r="I103" s="36">
        <f>IFERROR('Cash flow data'!J33,0)</f>
        <v>-69</v>
      </c>
      <c r="J103" s="36">
        <f>IFERROR('Cash flow data'!K33,0)</f>
        <v>0</v>
      </c>
      <c r="K103" s="36">
        <f>IFERROR('Cash flow data'!L33,0)</f>
        <v>0</v>
      </c>
      <c r="L103" s="36">
        <f>IFERROR('Cash flow data'!M33,0)</f>
        <v>0</v>
      </c>
      <c r="M103" s="36">
        <f>IFERROR('Cash flow data'!N33,0)</f>
        <v>0</v>
      </c>
    </row>
    <row r="104" spans="2:13" x14ac:dyDescent="0.3">
      <c r="B104" s="35" t="s">
        <v>160</v>
      </c>
      <c r="C104" s="49">
        <f>IFERROR(SUM(C93:C103),0)</f>
        <v>274</v>
      </c>
      <c r="D104" s="49">
        <f t="shared" ref="D104:M104" si="24">IFERROR(SUM(D93:D103),0)</f>
        <v>58</v>
      </c>
      <c r="E104" s="49">
        <f t="shared" si="24"/>
        <v>-236</v>
      </c>
      <c r="F104" s="49">
        <f t="shared" si="24"/>
        <v>229</v>
      </c>
      <c r="G104" s="49">
        <f t="shared" si="24"/>
        <v>158</v>
      </c>
      <c r="H104" s="49">
        <f t="shared" si="24"/>
        <v>-86</v>
      </c>
      <c r="I104" s="49">
        <f t="shared" si="24"/>
        <v>1107</v>
      </c>
      <c r="J104" s="49">
        <f t="shared" si="24"/>
        <v>-573</v>
      </c>
      <c r="K104" s="49">
        <f t="shared" si="24"/>
        <v>-177</v>
      </c>
      <c r="L104" s="49">
        <f t="shared" si="24"/>
        <v>-17</v>
      </c>
      <c r="M104" s="49">
        <f t="shared" si="24"/>
        <v>984</v>
      </c>
    </row>
    <row r="105" spans="2:13" x14ac:dyDescent="0.3"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</row>
    <row r="106" spans="2:13" x14ac:dyDescent="0.3">
      <c r="B106" s="35" t="s">
        <v>35</v>
      </c>
      <c r="C106" s="49">
        <f>IFERROR(SUM(C104,C90,C78),0)</f>
        <v>-15</v>
      </c>
      <c r="D106" s="49">
        <f t="shared" ref="D106:M106" si="25">IFERROR(SUM(D104,D90,D78),0)</f>
        <v>32</v>
      </c>
      <c r="E106" s="49">
        <f t="shared" si="25"/>
        <v>-24</v>
      </c>
      <c r="F106" s="49">
        <f t="shared" si="25"/>
        <v>70</v>
      </c>
      <c r="G106" s="49">
        <f t="shared" si="25"/>
        <v>-165</v>
      </c>
      <c r="H106" s="49">
        <f t="shared" si="25"/>
        <v>-73</v>
      </c>
      <c r="I106" s="49">
        <f t="shared" si="25"/>
        <v>11</v>
      </c>
      <c r="J106" s="49">
        <f t="shared" si="25"/>
        <v>-145</v>
      </c>
      <c r="K106" s="49">
        <f t="shared" si="25"/>
        <v>-222</v>
      </c>
      <c r="L106" s="49">
        <f t="shared" si="25"/>
        <v>-580</v>
      </c>
      <c r="M106" s="49">
        <f t="shared" si="25"/>
        <v>-587</v>
      </c>
    </row>
  </sheetData>
  <mergeCells count="1">
    <mergeCell ref="B2:M2"/>
  </mergeCells>
  <pageMargins left="0.25" right="0.25" top="0.75" bottom="0.75" header="0.3" footer="0.3"/>
  <pageSetup paperSize="9" scale="47" orientation="portrait" horizontalDpi="300" verticalDpi="300" r:id="rId1"/>
  <ignoredErrors>
    <ignoredError sqref="M9 M6 C15:L15 M21 M24 M30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1"/>
  <sheetViews>
    <sheetView showGridLines="0" workbookViewId="0">
      <pane ySplit="3" topLeftCell="A4" activePane="bottomLeft" state="frozen"/>
      <selection activeCell="C1" sqref="C1"/>
      <selection pane="bottomLeft" activeCell="C27" sqref="C27"/>
    </sheetView>
  </sheetViews>
  <sheetFormatPr defaultRowHeight="14.4" x14ac:dyDescent="0.3"/>
  <cols>
    <col min="1" max="1" width="1.77734375" customWidth="1"/>
    <col min="2" max="2" width="27.21875" customWidth="1"/>
    <col min="3" max="3" width="10.44140625" bestFit="1" customWidth="1"/>
    <col min="4" max="4" width="9.6640625" bestFit="1" customWidth="1"/>
    <col min="13" max="13" width="8.88671875" style="53"/>
    <col min="14" max="15" width="9.6640625" bestFit="1" customWidth="1"/>
  </cols>
  <sheetData>
    <row r="2" spans="2:23" x14ac:dyDescent="0.3">
      <c r="B2" s="109" t="str">
        <f>"Ratio Analysis -"&amp;'Data Sheet'!B1</f>
        <v>Ratio Analysis -VARUN BEVERAGES LTD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75"/>
      <c r="Q2" s="75"/>
      <c r="R2" s="75"/>
      <c r="S2" s="75"/>
      <c r="T2" s="75"/>
      <c r="U2" s="75"/>
      <c r="V2" s="75"/>
      <c r="W2" s="75"/>
    </row>
    <row r="3" spans="2:23" x14ac:dyDescent="0.3">
      <c r="B3" s="32" t="s">
        <v>93</v>
      </c>
      <c r="C3" s="33">
        <f>'Data Sheet'!B16</f>
        <v>42004</v>
      </c>
      <c r="D3" s="33">
        <f>'Data Sheet'!C16</f>
        <v>42369</v>
      </c>
      <c r="E3" s="33">
        <f>'Data Sheet'!D16</f>
        <v>42735</v>
      </c>
      <c r="F3" s="33">
        <f>'Data Sheet'!E16</f>
        <v>43100</v>
      </c>
      <c r="G3" s="33">
        <f>'Data Sheet'!F16</f>
        <v>43465</v>
      </c>
      <c r="H3" s="33">
        <f>'Data Sheet'!G16</f>
        <v>43830</v>
      </c>
      <c r="I3" s="33">
        <f>'Data Sheet'!H16</f>
        <v>44196</v>
      </c>
      <c r="J3" s="33">
        <f>'Data Sheet'!I16</f>
        <v>44561</v>
      </c>
      <c r="K3" s="33">
        <f>'Data Sheet'!J16</f>
        <v>44926</v>
      </c>
      <c r="L3" s="33">
        <f>'Data Sheet'!K16</f>
        <v>45291</v>
      </c>
      <c r="M3" s="73" t="s">
        <v>192</v>
      </c>
      <c r="N3" s="74" t="s">
        <v>190</v>
      </c>
      <c r="O3" s="74" t="s">
        <v>191</v>
      </c>
    </row>
    <row r="5" spans="2:23" x14ac:dyDescent="0.3">
      <c r="B5" s="60" t="s">
        <v>22</v>
      </c>
      <c r="C5" s="61"/>
      <c r="D5" s="62">
        <f>IFERROR('Historical FS'!D7,0)</f>
        <v>0.35635390025575431</v>
      </c>
      <c r="E5" s="62">
        <f>IFERROR('Historical FS'!E7,0)</f>
        <v>0.13760186674680486</v>
      </c>
      <c r="F5" s="62">
        <f>IFERROR('Historical FS'!F7,0)</f>
        <v>3.6869558010763637E-2</v>
      </c>
      <c r="G5" s="62">
        <f>IFERROR('Historical FS'!G7,0)</f>
        <v>0.27518645998291524</v>
      </c>
      <c r="H5" s="62">
        <f>IFERROR('Historical FS'!H7,0)</f>
        <v>0.39651653392775277</v>
      </c>
      <c r="I5" s="62">
        <f>IFERROR('Historical FS'!I7,0)</f>
        <v>-9.5298741300329004E-2</v>
      </c>
      <c r="J5" s="62">
        <f>IFERROR('Historical FS'!J7,0)</f>
        <v>0.36791294452523493</v>
      </c>
      <c r="K5" s="62">
        <f>IFERROR('Historical FS'!K7,0)</f>
        <v>0.49300652935489619</v>
      </c>
      <c r="L5" s="62">
        <f>IFERROR('Historical FS'!L7,0)</f>
        <v>0.21782505917343942</v>
      </c>
      <c r="M5" s="76"/>
      <c r="N5" s="62">
        <f>IFERROR(AVERAGE(D5:L5),0)</f>
        <v>0.24288601229747028</v>
      </c>
      <c r="O5" s="61">
        <f>IFERROR(MEDIAN(D5:L5),0)</f>
        <v>0.27518645998291524</v>
      </c>
    </row>
    <row r="6" spans="2:23" x14ac:dyDescent="0.3">
      <c r="B6" s="11" t="s">
        <v>162</v>
      </c>
      <c r="C6" s="11"/>
      <c r="D6" s="63">
        <f>IFERROR('Historical FS'!D18/'Historical FS'!C18-1,0)</f>
        <v>0.66060120447672244</v>
      </c>
      <c r="E6" s="63">
        <f>IFERROR('Historical FS'!E18/'Historical FS'!D18-1,0)</f>
        <v>0.25999657571559909</v>
      </c>
      <c r="F6" s="63">
        <f>IFERROR('Historical FS'!F18/'Historical FS'!E18-1,0)</f>
        <v>3.5601783795135011E-2</v>
      </c>
      <c r="G6" s="63">
        <f>IFERROR('Historical FS'!G18/'Historical FS'!F18-1,0)</f>
        <v>0.23555163241205745</v>
      </c>
      <c r="H6" s="63">
        <f>IFERROR('Historical FS'!H18/'Historical FS'!G18-1,0)</f>
        <v>0.41177833558602006</v>
      </c>
      <c r="I6" s="63">
        <f>IFERROR('Historical FS'!I18/'Historical FS'!H18-1,0)</f>
        <v>-0.16915586191804777</v>
      </c>
      <c r="J6" s="63">
        <f>IFERROR('Historical FS'!J18/'Historical FS'!I18-1,0)</f>
        <v>0.39424343188252964</v>
      </c>
      <c r="K6" s="63">
        <f>IFERROR('Historical FS'!K18/'Historical FS'!J18-1,0)</f>
        <v>0.69013253047610634</v>
      </c>
      <c r="L6" s="63">
        <f>IFERROR('Historical FS'!L18/'Historical FS'!K18-1,0)</f>
        <v>0.29819769472581292</v>
      </c>
      <c r="M6" s="77"/>
      <c r="N6" s="63">
        <f t="shared" ref="N6:N9" si="0">IFERROR(AVERAGE(D6:L6),0)</f>
        <v>0.31299414746132614</v>
      </c>
      <c r="O6" s="11">
        <f t="shared" ref="O6:O9" si="1">IFERROR(MEDIAN(D6:L6),0)</f>
        <v>0.29819769472581292</v>
      </c>
    </row>
    <row r="7" spans="2:23" x14ac:dyDescent="0.3">
      <c r="B7" s="6" t="s">
        <v>163</v>
      </c>
      <c r="C7" s="11"/>
      <c r="D7" s="63">
        <f>IFERROR('Historical FS'!D27/'Historical FS'!C27-1,0)</f>
        <v>-15.711301044634597</v>
      </c>
      <c r="E7" s="63">
        <f>IFERROR('Historical FS'!E27/'Historical FS'!D27-1,0)</f>
        <v>-0.66070621651281147</v>
      </c>
      <c r="F7" s="63">
        <f>IFERROR('Historical FS'!F27/'Historical FS'!E27-1,0)</f>
        <v>4.2720700152206836</v>
      </c>
      <c r="G7" s="63">
        <f>IFERROR('Historical FS'!G27/'Historical FS'!F27-1,0)</f>
        <v>0.54431613136052026</v>
      </c>
      <c r="H7" s="63">
        <f>IFERROR('Historical FS'!H27/'Historical FS'!G27-1,0)</f>
        <v>0.51749117846376658</v>
      </c>
      <c r="I7" s="63">
        <f>IFERROR('Historical FS'!I27/'Historical FS'!H27-1,0)</f>
        <v>-0.39554652129723689</v>
      </c>
      <c r="J7" s="63">
        <f>IFERROR('Historical FS'!J27/'Historical FS'!I27-1,0)</f>
        <v>1.4348313461734388</v>
      </c>
      <c r="K7" s="63">
        <f>IFERROR('Historical FS'!K27/'Historical FS'!J27-1,0)</f>
        <v>1.1363160758381126</v>
      </c>
      <c r="L7" s="63">
        <f>IFERROR('Historical FS'!L27/'Historical FS'!K27-1,0)</f>
        <v>0.34407754246419797</v>
      </c>
      <c r="M7" s="77"/>
      <c r="N7" s="63">
        <f t="shared" si="0"/>
        <v>-0.94649461032488036</v>
      </c>
      <c r="O7" s="11">
        <f t="shared" si="1"/>
        <v>0.51749117846376658</v>
      </c>
    </row>
    <row r="8" spans="2:23" x14ac:dyDescent="0.3">
      <c r="B8" s="6" t="s">
        <v>164</v>
      </c>
      <c r="C8" s="11"/>
      <c r="D8" s="63">
        <f>IFERROR('Historical FS'!D33/'Historical FS'!C33-1,0)</f>
        <v>-3.152235427277867</v>
      </c>
      <c r="E8" s="63">
        <f>IFERROR('Historical FS'!E33/'Historical FS'!D33-1,0)</f>
        <v>-0.72048382855639836</v>
      </c>
      <c r="F8" s="63">
        <f>IFERROR('Historical FS'!F33/'Historical FS'!E33-1,0)</f>
        <v>8.4167450611476191</v>
      </c>
      <c r="G8" s="63">
        <f>IFERROR('Historical FS'!G33/'Historical FS'!F33-1,0)</f>
        <v>0.46853146853146921</v>
      </c>
      <c r="H8" s="63">
        <f>IFERROR('Historical FS'!H33/'Historical FS'!G33-1,0)</f>
        <v>0.44663265306122324</v>
      </c>
      <c r="I8" s="63">
        <f>IFERROR('Historical FS'!I33/'Historical FS'!H33-1,0)</f>
        <v>-8.9393618772188987E-2</v>
      </c>
      <c r="J8" s="63">
        <f>IFERROR('Historical FS'!J33/'Historical FS'!I33-1,0)</f>
        <v>0.79495984920859919</v>
      </c>
      <c r="K8" s="63">
        <f>IFERROR('Historical FS'!K33/'Historical FS'!J33-1,0)</f>
        <v>1.255836701813946</v>
      </c>
      <c r="L8" s="63">
        <f>IFERROR('Historical FS'!L33/'Historical FS'!K33-1,0)</f>
        <v>0.34338313597204562</v>
      </c>
      <c r="M8" s="77"/>
      <c r="N8" s="63">
        <f t="shared" si="0"/>
        <v>0.8626639994587163</v>
      </c>
      <c r="O8" s="11">
        <f t="shared" si="1"/>
        <v>0.44663265306122324</v>
      </c>
    </row>
    <row r="9" spans="2:23" x14ac:dyDescent="0.3">
      <c r="B9" s="64" t="s">
        <v>165</v>
      </c>
      <c r="C9" s="64"/>
      <c r="D9" s="65">
        <f>IFERROR('Historical FS'!D41/'Historical FS'!C41-1,0)</f>
        <v>0</v>
      </c>
      <c r="E9" s="65">
        <f>IFERROR('Historical FS'!E41/'Historical FS'!D41-1,0)</f>
        <v>0</v>
      </c>
      <c r="F9" s="65">
        <f>IFERROR('Historical FS'!F41/'Historical FS'!E41-1,0)</f>
        <v>0</v>
      </c>
      <c r="G9" s="65">
        <f>IFERROR('Historical FS'!G41/'Historical FS'!F41-1,0)</f>
        <v>-1.0542501792176751E-4</v>
      </c>
      <c r="H9" s="65">
        <f>IFERROR('Historical FS'!H41/'Historical FS'!G41-1,0)</f>
        <v>0.50005734854320583</v>
      </c>
      <c r="I9" s="65">
        <f>IFERROR('Historical FS'!I41/'Historical FS'!H41-1,0)</f>
        <v>0</v>
      </c>
      <c r="J9" s="65">
        <f>IFERROR('Historical FS'!J41/'Historical FS'!I41-1,0)</f>
        <v>0.50006928086462521</v>
      </c>
      <c r="K9" s="65">
        <f>IFERROR('Historical FS'!K41/'Historical FS'!J41-1,0)</f>
        <v>1.1001062239752359</v>
      </c>
      <c r="L9" s="65">
        <f>IFERROR('Historical FS'!L41/'Historical FS'!K41-1,0)</f>
        <v>0.42858713820709093</v>
      </c>
      <c r="M9" s="78"/>
      <c r="N9" s="65">
        <f t="shared" si="0"/>
        <v>0.28096828517469291</v>
      </c>
      <c r="O9" s="64">
        <f t="shared" si="1"/>
        <v>0</v>
      </c>
    </row>
    <row r="10" spans="2:23" x14ac:dyDescent="0.3">
      <c r="B10" s="38"/>
    </row>
    <row r="11" spans="2:23" x14ac:dyDescent="0.3">
      <c r="B11" s="61" t="s">
        <v>166</v>
      </c>
      <c r="C11" s="62">
        <f>IFERROR('Historical FS'!C13,0)</f>
        <v>0.27993526214833769</v>
      </c>
      <c r="D11" s="62">
        <f>IFERROR('Historical FS'!D13,0)</f>
        <v>0.3213921641417265</v>
      </c>
      <c r="E11" s="62">
        <f>IFERROR('Historical FS'!E13,0)</f>
        <v>0.36024479563242334</v>
      </c>
      <c r="F11" s="62">
        <f>IFERROR('Historical FS'!F13,0)</f>
        <v>0.35362953785899481</v>
      </c>
      <c r="G11" s="62">
        <f>IFERROR('Historical FS'!G13,0)</f>
        <v>0.37050218793949774</v>
      </c>
      <c r="H11" s="62">
        <f>IFERROR('Historical FS'!H13,0)</f>
        <v>0.36104651325884551</v>
      </c>
      <c r="I11" s="62">
        <f>IFERROR('Historical FS'!I13,0)</f>
        <v>0.35111951058426644</v>
      </c>
      <c r="J11" s="62">
        <f>IFERROR('Historical FS'!J13,0)</f>
        <v>0.35302944613253862</v>
      </c>
      <c r="K11" s="62">
        <f>IFERROR('Historical FS'!K13,0)</f>
        <v>0.3587238881542289</v>
      </c>
      <c r="L11" s="62">
        <f>IFERROR('Historical FS'!L13,0)</f>
        <v>0.38042945710727327</v>
      </c>
      <c r="M11" s="76"/>
      <c r="N11" s="62">
        <f>IFERROR(AVERAGE(C11:L11),0)</f>
        <v>0.34900527629581329</v>
      </c>
      <c r="O11" s="62">
        <f>IFERROR(MEDIAN(C11:L11),0)</f>
        <v>0.35617671300661186</v>
      </c>
    </row>
    <row r="12" spans="2:23" x14ac:dyDescent="0.3">
      <c r="B12" s="11" t="s">
        <v>167</v>
      </c>
      <c r="C12" s="63">
        <f>IFERROR('Historical FS'!C19,0)</f>
        <v>0.15460757672634279</v>
      </c>
      <c r="D12" s="63">
        <f>IFERROR('Historical FS'!D19,0)</f>
        <v>0.18928800815523211</v>
      </c>
      <c r="E12" s="63">
        <f>IFERROR('Historical FS'!E19,0)</f>
        <v>0.20965352560616191</v>
      </c>
      <c r="F12" s="63">
        <f>IFERROR('Historical FS'!F19,0)</f>
        <v>0.20939718349260905</v>
      </c>
      <c r="G12" s="63">
        <f>IFERROR('Historical FS'!G19,0)</f>
        <v>0.20288878529203216</v>
      </c>
      <c r="H12" s="63">
        <f>IFERROR('Historical FS'!H19,0)</f>
        <v>0.20510605112783642</v>
      </c>
      <c r="I12" s="63">
        <f>IFERROR('Historical FS'!I19,0)</f>
        <v>0.18836180299962485</v>
      </c>
      <c r="J12" s="63">
        <f>IFERROR('Historical FS'!J19,0)</f>
        <v>0.19198751477633461</v>
      </c>
      <c r="K12" s="63">
        <f>IFERROR('Historical FS'!K19,0)</f>
        <v>0.21733618560191406</v>
      </c>
      <c r="L12" s="63">
        <f>IFERROR('Historical FS'!L19,0)</f>
        <v>0.23167969241855113</v>
      </c>
      <c r="M12" s="77"/>
      <c r="N12" s="63">
        <f t="shared" ref="N12:N41" si="2">IFERROR(AVERAGE(C12:L12),0)</f>
        <v>0.20003063261966386</v>
      </c>
      <c r="O12" s="63">
        <f t="shared" ref="O12:O41" si="3">IFERROR(MEDIAN(C12:L12),0)</f>
        <v>0.20399741820993428</v>
      </c>
    </row>
    <row r="13" spans="2:23" x14ac:dyDescent="0.3">
      <c r="B13" s="11" t="s">
        <v>168</v>
      </c>
      <c r="C13" s="63">
        <f>IFERROR(('Historical FS'!C18-'Historical FS'!C24)/'Historical FS'!C6,0)</f>
        <v>7.0664162404092151E-2</v>
      </c>
      <c r="D13" s="63">
        <f>IFERROR(('Historical FS'!D18-'Historical FS'!D24)/'Historical FS'!D6,0)</f>
        <v>9.5770946395846795E-2</v>
      </c>
      <c r="E13" s="63">
        <f>IFERROR(('Historical FS'!E18-'Historical FS'!E24)/'Historical FS'!E6,0)</f>
        <v>0.12620494253052184</v>
      </c>
      <c r="F13" s="63">
        <f>IFERROR(('Historical FS'!F18-'Historical FS'!F24)/'Historical FS'!F6,0)</f>
        <v>0.12281380977834618</v>
      </c>
      <c r="G13" s="63">
        <f>IFERROR(('Historical FS'!G18-'Historical FS'!G24)/'Historical FS'!G6,0)</f>
        <v>0.12746265616246777</v>
      </c>
      <c r="H13" s="63">
        <f>IFERROR(('Historical FS'!H18-'Historical FS'!H24)/'Historical FS'!H6,0)</f>
        <v>0.13657045716577976</v>
      </c>
      <c r="I13" s="63">
        <f>IFERROR(('Historical FS'!I18-'Historical FS'!I24)/'Historical FS'!I6,0)</f>
        <v>0.10639458988487074</v>
      </c>
      <c r="J13" s="63">
        <f>IFERROR(('Historical FS'!J18-'Historical FS'!J24)/'Historical FS'!J6,0)</f>
        <v>0.13177600493243391</v>
      </c>
      <c r="K13" s="63">
        <f>IFERROR(('Historical FS'!K18-'Historical FS'!K24)/'Historical FS'!K6,0)</f>
        <v>0.17048403038303686</v>
      </c>
      <c r="L13" s="63">
        <f>IFERROR(('Historical FS'!L18-'Historical FS'!L24)/'Historical FS'!L6,0)</f>
        <v>0.18923577130361824</v>
      </c>
      <c r="M13" s="77"/>
      <c r="N13" s="63">
        <f t="shared" si="2"/>
        <v>0.12773773709410144</v>
      </c>
      <c r="O13" s="63">
        <f t="shared" si="3"/>
        <v>0.1268337993464948</v>
      </c>
    </row>
    <row r="14" spans="2:23" x14ac:dyDescent="0.3">
      <c r="B14" s="6" t="s">
        <v>170</v>
      </c>
      <c r="C14" s="63">
        <f>IFERROR('Historical FS'!C28,0)</f>
        <v>-4.2079603580561864E-3</v>
      </c>
      <c r="D14" s="63">
        <f>IFERROR('Historical FS'!D28,0)</f>
        <v>4.5640427324741883E-2</v>
      </c>
      <c r="E14" s="63">
        <f>IFERROR('Historical FS'!E28,0)</f>
        <v>1.3612419001445199E-2</v>
      </c>
      <c r="F14" s="63">
        <f>IFERROR('Historical FS'!F28,0)</f>
        <v>6.9213745834936086E-2</v>
      </c>
      <c r="G14" s="63">
        <f>IFERROR('Historical FS'!G28,0)</f>
        <v>8.382139205446934E-2</v>
      </c>
      <c r="H14" s="63">
        <f>IFERROR('Historical FS'!H28,0)</f>
        <v>9.1082504158730232E-2</v>
      </c>
      <c r="I14" s="63">
        <f>IFERROR('Historical FS'!I28,0)</f>
        <v>6.0854493080770372E-2</v>
      </c>
      <c r="J14" s="63">
        <f>IFERROR('Historical FS'!J28,0)</f>
        <v>0.10831860894479671</v>
      </c>
      <c r="K14" s="63">
        <f>IFERROR('Historical FS'!K28,0)</f>
        <v>0.15499114106431711</v>
      </c>
      <c r="L14" s="63">
        <f>IFERROR('Historical FS'!L28,0)</f>
        <v>0.17105914385342005</v>
      </c>
      <c r="M14" s="77"/>
      <c r="N14" s="63">
        <f t="shared" si="2"/>
        <v>7.9438591495957084E-2</v>
      </c>
      <c r="O14" s="63">
        <f t="shared" si="3"/>
        <v>7.6517568944702713E-2</v>
      </c>
    </row>
    <row r="15" spans="2:23" x14ac:dyDescent="0.3">
      <c r="B15" s="64" t="s">
        <v>169</v>
      </c>
      <c r="C15" s="65">
        <f>IFERROR('Historical FS'!C34,0)</f>
        <v>-1.4122442455242887E-2</v>
      </c>
      <c r="D15" s="65">
        <f>IFERROR('Historical FS'!D34,0)</f>
        <v>2.2409211169839609E-2</v>
      </c>
      <c r="E15" s="65">
        <f>IFERROR('Historical FS'!E34,0)</f>
        <v>5.5060888122284313E-3</v>
      </c>
      <c r="F15" s="65">
        <f>IFERROR('Historical FS'!F34,0)</f>
        <v>5.0005744915749564E-2</v>
      </c>
      <c r="G15" s="65">
        <f>IFERROR('Historical FS'!G34,0)</f>
        <v>5.7587664487215175E-2</v>
      </c>
      <c r="H15" s="65">
        <f>IFERROR('Historical FS'!H34,0)</f>
        <v>5.9654285385674875E-2</v>
      </c>
      <c r="I15" s="65">
        <f>IFERROR('Historical FS'!I34,0)</f>
        <v>6.0043657967113917E-2</v>
      </c>
      <c r="J15" s="65">
        <f>IFERROR('Historical FS'!J34,0)</f>
        <v>7.8788606893393773E-2</v>
      </c>
      <c r="K15" s="65">
        <f>IFERROR('Historical FS'!K34,0)</f>
        <v>0.11904451026862221</v>
      </c>
      <c r="L15" s="65">
        <f>IFERROR('Historical FS'!L34,0)</f>
        <v>0.13131802989294736</v>
      </c>
      <c r="M15" s="78"/>
      <c r="N15" s="65">
        <f t="shared" si="2"/>
        <v>5.7023535733754203E-2</v>
      </c>
      <c r="O15" s="65">
        <f t="shared" si="3"/>
        <v>5.8620974936445025E-2</v>
      </c>
    </row>
    <row r="16" spans="2:23" x14ac:dyDescent="0.3">
      <c r="N16" s="37"/>
      <c r="O16" s="37"/>
    </row>
    <row r="17" spans="2:15" x14ac:dyDescent="0.3">
      <c r="B17" s="60" t="s">
        <v>171</v>
      </c>
      <c r="C17" s="62">
        <f>IFERROR('Historical FS'!C16,0)</f>
        <v>0.12532768542199488</v>
      </c>
      <c r="D17" s="62">
        <f>IFERROR('Historical FS'!D16,0)</f>
        <v>0.13210415598649439</v>
      </c>
      <c r="E17" s="62">
        <f>IFERROR('Historical FS'!E16,0)</f>
        <v>0.15059127002626141</v>
      </c>
      <c r="F17" s="62">
        <f>IFERROR('Historical FS'!F16,0)</f>
        <v>0.14423235436638573</v>
      </c>
      <c r="G17" s="62">
        <f>IFERROR('Historical FS'!G16,0)</f>
        <v>0.16761340264746552</v>
      </c>
      <c r="H17" s="62">
        <f>IFERROR('Historical FS'!H16,0)</f>
        <v>0.15594046213100909</v>
      </c>
      <c r="I17" s="62">
        <f>IFERROR('Historical FS'!I16,0)</f>
        <v>0.16275770758464159</v>
      </c>
      <c r="J17" s="62">
        <f>IFERROR('Historical FS'!J16,0)</f>
        <v>0.16104193135620404</v>
      </c>
      <c r="K17" s="62">
        <f>IFERROR('Historical FS'!K16,0)</f>
        <v>0.14138770255231481</v>
      </c>
      <c r="L17" s="62">
        <f>IFERROR('Historical FS'!L16,0)</f>
        <v>0.14874976468872214</v>
      </c>
      <c r="M17" s="76"/>
      <c r="N17" s="62">
        <f t="shared" si="2"/>
        <v>0.14897464367614938</v>
      </c>
      <c r="O17" s="62">
        <f t="shared" si="3"/>
        <v>0.14967051735749176</v>
      </c>
    </row>
    <row r="18" spans="2:15" x14ac:dyDescent="0.3">
      <c r="B18" s="11" t="s">
        <v>107</v>
      </c>
      <c r="C18" s="63">
        <f>IFERROR('Historical FS'!C25,0)</f>
        <v>8.3943414322250637E-2</v>
      </c>
      <c r="D18" s="63">
        <f>IFERROR('Historical FS'!D25,0)</f>
        <v>9.3517061759385303E-2</v>
      </c>
      <c r="E18" s="63">
        <f>IFERROR('Historical FS'!E25,0)</f>
        <v>8.3448583075640084E-2</v>
      </c>
      <c r="F18" s="63">
        <f>IFERROR('Historical FS'!F25,0)</f>
        <v>8.6583373714262876E-2</v>
      </c>
      <c r="G18" s="63">
        <f>IFERROR('Historical FS'!G25,0)</f>
        <v>7.5426129129564409E-2</v>
      </c>
      <c r="H18" s="63">
        <f>IFERROR('Historical FS'!H25,0)</f>
        <v>6.8535593962056676E-2</v>
      </c>
      <c r="I18" s="63">
        <f>IFERROR('Historical FS'!I25,0)</f>
        <v>8.1967213114754106E-2</v>
      </c>
      <c r="J18" s="63">
        <f>IFERROR('Historical FS'!J25,0)</f>
        <v>6.0211509843900703E-2</v>
      </c>
      <c r="K18" s="63">
        <f>IFERROR('Historical FS'!K25,0)</f>
        <v>4.6852155218877208E-2</v>
      </c>
      <c r="L18" s="63">
        <f>IFERROR('Historical FS'!L25,0)</f>
        <v>4.2443921114932885E-2</v>
      </c>
      <c r="M18" s="77"/>
      <c r="N18" s="63">
        <f t="shared" si="2"/>
        <v>7.2292895525562478E-2</v>
      </c>
      <c r="O18" s="63">
        <f t="shared" si="3"/>
        <v>7.8696671122159251E-2</v>
      </c>
    </row>
    <row r="19" spans="2:15" x14ac:dyDescent="0.3">
      <c r="B19" s="64" t="s">
        <v>188</v>
      </c>
      <c r="C19" s="65">
        <f>IFERROR(C13,0)</f>
        <v>7.0664162404092151E-2</v>
      </c>
      <c r="D19" s="65">
        <f t="shared" ref="D19:L19" si="4">IFERROR(D13,0)</f>
        <v>9.5770946395846795E-2</v>
      </c>
      <c r="E19" s="65">
        <f t="shared" si="4"/>
        <v>0.12620494253052184</v>
      </c>
      <c r="F19" s="65">
        <f t="shared" si="4"/>
        <v>0.12281380977834618</v>
      </c>
      <c r="G19" s="65">
        <f t="shared" si="4"/>
        <v>0.12746265616246777</v>
      </c>
      <c r="H19" s="65">
        <f t="shared" si="4"/>
        <v>0.13657045716577976</v>
      </c>
      <c r="I19" s="65">
        <f t="shared" si="4"/>
        <v>0.10639458988487074</v>
      </c>
      <c r="J19" s="65">
        <f t="shared" si="4"/>
        <v>0.13177600493243391</v>
      </c>
      <c r="K19" s="65">
        <f t="shared" si="4"/>
        <v>0.17048403038303686</v>
      </c>
      <c r="L19" s="65">
        <f t="shared" si="4"/>
        <v>0.18923577130361824</v>
      </c>
      <c r="M19" s="78"/>
      <c r="N19" s="65">
        <f t="shared" si="2"/>
        <v>0.12773773709410144</v>
      </c>
      <c r="O19" s="65">
        <f t="shared" si="3"/>
        <v>0.1268337993464948</v>
      </c>
    </row>
    <row r="20" spans="2:15" x14ac:dyDescent="0.3">
      <c r="B20" s="38"/>
      <c r="N20" s="37"/>
      <c r="O20" s="37"/>
    </row>
    <row r="21" spans="2:15" x14ac:dyDescent="0.3">
      <c r="B21" s="61" t="s">
        <v>172</v>
      </c>
      <c r="C21" s="62">
        <f>IFERROR(('Historical FS'!C18-'Historical FS'!C24)/SUM('Historical FS'!C47:C48),0)</f>
        <v>1.235882024042495</v>
      </c>
      <c r="D21" s="62">
        <f>IFERROR(('Historical FS'!D18-'Historical FS'!D24)/SUM('Historical FS'!D47:D48),0)</f>
        <v>1.4493490280007106</v>
      </c>
      <c r="E21" s="62">
        <f>IFERROR(('Historical FS'!E18-'Historical FS'!E24)/SUM('Historical FS'!E47:E48),0)</f>
        <v>0.28773197763331165</v>
      </c>
      <c r="F21" s="62">
        <f>IFERROR(('Historical FS'!F18-'Historical FS'!F24)/SUM('Historical FS'!F47:F48),0)</f>
        <v>0.27788044737570861</v>
      </c>
      <c r="G21" s="62">
        <f>IFERROR(('Historical FS'!G18-'Historical FS'!G24)/SUM('Historical FS'!G47:G48),0)</f>
        <v>0.32560920690517903</v>
      </c>
      <c r="H21" s="62">
        <f>IFERROR(('Historical FS'!H18-'Historical FS'!H24)/SUM('Historical FS'!H47:H48),0)</f>
        <v>0.29253820130872904</v>
      </c>
      <c r="I21" s="62">
        <f>IFERROR(('Historical FS'!I18-'Historical FS'!I24)/SUM('Historical FS'!I47:I48),0)</f>
        <v>0.19473893303064704</v>
      </c>
      <c r="J21" s="62">
        <f>IFERROR(('Historical FS'!J18-'Historical FS'!J24)/SUM('Historical FS'!J47:J48),0)</f>
        <v>0.28497932552433725</v>
      </c>
      <c r="K21" s="62">
        <f>IFERROR(('Historical FS'!K18-'Historical FS'!K24)/SUM('Historical FS'!K47:K48),0)</f>
        <v>0.44014949886131532</v>
      </c>
      <c r="L21" s="62">
        <f>IFERROR(('Historical FS'!L18-'Historical FS'!L24)/SUM('Historical FS'!L47:L48),0)</f>
        <v>0.43766020327254379</v>
      </c>
      <c r="M21" s="76"/>
      <c r="N21" s="62">
        <f t="shared" si="2"/>
        <v>0.52265188459549783</v>
      </c>
      <c r="O21" s="62">
        <f t="shared" si="3"/>
        <v>0.30907370410695401</v>
      </c>
    </row>
    <row r="22" spans="2:15" x14ac:dyDescent="0.3">
      <c r="B22" s="11" t="s">
        <v>173</v>
      </c>
      <c r="C22" s="63">
        <f>IFERROR('Historical FS'!C44,0)</f>
        <v>0</v>
      </c>
      <c r="D22" s="63">
        <f>IFERROR('Historical FS'!D44,0)</f>
        <v>1</v>
      </c>
      <c r="E22" s="63">
        <f>IFERROR('Historical FS'!E44,0)</f>
        <v>1</v>
      </c>
      <c r="F22" s="63">
        <f>IFERROR('Historical FS'!F44,0)</f>
        <v>0.77197802197802201</v>
      </c>
      <c r="G22" s="63">
        <f>IFERROR('Historical FS'!G44,0)</f>
        <v>0.84469387755102054</v>
      </c>
      <c r="H22" s="63">
        <f>IFERROR('Historical FS'!H44,0)</f>
        <v>0.83031200771202174</v>
      </c>
      <c r="I22" s="63">
        <f>IFERROR('Historical FS'!I44,0)</f>
        <v>0.81365385111931632</v>
      </c>
      <c r="J22" s="63">
        <f>IFERROR('Historical FS'!J44,0)</f>
        <v>0.84426830847130896</v>
      </c>
      <c r="K22" s="63">
        <f>IFERROR('Historical FS'!K44,0)</f>
        <v>0.85503032158093073</v>
      </c>
      <c r="L22" s="63">
        <f>IFERROR('Historical FS'!L44,0)</f>
        <v>0.84582376060911002</v>
      </c>
      <c r="M22" s="77"/>
      <c r="N22" s="63">
        <f t="shared" si="2"/>
        <v>0.78057601490217299</v>
      </c>
      <c r="O22" s="63">
        <f t="shared" si="3"/>
        <v>0.84448109301116481</v>
      </c>
    </row>
    <row r="23" spans="2:15" x14ac:dyDescent="0.3">
      <c r="B23" s="11" t="s">
        <v>174</v>
      </c>
      <c r="C23" s="63">
        <f>IFERROR('Historical FS'!C33/SUM('Historical FS'!C47:C48),0)</f>
        <v>-0.24699468828627202</v>
      </c>
      <c r="D23" s="63">
        <f>IFERROR('Historical FS'!D33/SUM('Historical FS'!D47:D48),0)</f>
        <v>0.33912965935437578</v>
      </c>
      <c r="E23" s="63">
        <f>IFERROR('Historical FS'!E33/SUM('Historical FS'!E47:E48),0)</f>
        <v>1.2553215359089374E-2</v>
      </c>
      <c r="F23" s="63">
        <f>IFERROR('Historical FS'!F33/SUM('Historical FS'!F47:F48),0)</f>
        <v>0.11314378076555728</v>
      </c>
      <c r="G23" s="63">
        <f>IFERROR('Historical FS'!G33/SUM('Historical FS'!G47:G48),0)</f>
        <v>0.14711033274956226</v>
      </c>
      <c r="H23" s="63">
        <f>IFERROR('Historical FS'!H33/SUM('Historical FS'!H47:H48),0)</f>
        <v>0.12778134970947172</v>
      </c>
      <c r="I23" s="63">
        <f>IFERROR('Historical FS'!I33/SUM('Historical FS'!I47:I48),0)</f>
        <v>0.10990068104426794</v>
      </c>
      <c r="J23" s="63">
        <f>IFERROR('Historical FS'!J33/SUM('Historical FS'!J47:J48),0)</f>
        <v>0.17038856249279977</v>
      </c>
      <c r="K23" s="63">
        <f>IFERROR('Historical FS'!K33/SUM('Historical FS'!K47:K48),0)</f>
        <v>0.30734480771718259</v>
      </c>
      <c r="L23" s="63">
        <f>IFERROR('Historical FS'!L33/SUM('Historical FS'!L47:L48),0)</f>
        <v>0.30370936351185746</v>
      </c>
      <c r="M23" s="77"/>
      <c r="N23" s="63">
        <f t="shared" si="2"/>
        <v>0.13840670644178923</v>
      </c>
      <c r="O23" s="63">
        <f t="shared" si="3"/>
        <v>0.13744584122951697</v>
      </c>
    </row>
    <row r="24" spans="2:15" x14ac:dyDescent="0.3">
      <c r="B24" s="11" t="s">
        <v>175</v>
      </c>
      <c r="C24" s="63">
        <f>IFERROR(C23*C22,0)</f>
        <v>0</v>
      </c>
      <c r="D24" s="63">
        <f t="shared" ref="D24:L24" si="5">IFERROR(D23*D22,0)</f>
        <v>0.33912965935437578</v>
      </c>
      <c r="E24" s="63">
        <f t="shared" si="5"/>
        <v>1.2553215359089374E-2</v>
      </c>
      <c r="F24" s="63">
        <f t="shared" si="5"/>
        <v>8.7344512074509884E-2</v>
      </c>
      <c r="G24" s="63">
        <f t="shared" si="5"/>
        <v>0.12426319739804863</v>
      </c>
      <c r="H24" s="63">
        <f t="shared" si="5"/>
        <v>0.10609838902542343</v>
      </c>
      <c r="I24" s="63">
        <f t="shared" si="5"/>
        <v>8.9421112372304254E-2</v>
      </c>
      <c r="J24" s="63">
        <f t="shared" si="5"/>
        <v>0.14385366343865397</v>
      </c>
      <c r="K24" s="63">
        <f t="shared" si="5"/>
        <v>0.26278912977865193</v>
      </c>
      <c r="L24" s="63">
        <f t="shared" si="5"/>
        <v>0.2568845959777985</v>
      </c>
      <c r="M24" s="77"/>
      <c r="N24" s="63">
        <f t="shared" si="2"/>
        <v>0.14223374747788559</v>
      </c>
      <c r="O24" s="63">
        <f t="shared" si="3"/>
        <v>0.11518079321173602</v>
      </c>
    </row>
    <row r="25" spans="2:15" x14ac:dyDescent="0.3">
      <c r="B25" s="64" t="s">
        <v>176</v>
      </c>
      <c r="C25" s="66">
        <f>IFERROR(('Historical FS'!C18-'Historical FS'!C24)/'Historical FS'!C21,0)</f>
        <v>0.94379803586678157</v>
      </c>
      <c r="D25" s="66">
        <f>IFERROR(('Historical FS'!D18-'Historical FS'!D24)/'Historical FS'!D21,0)</f>
        <v>1.9104319717895941</v>
      </c>
      <c r="E25" s="66">
        <f>IFERROR(('Historical FS'!E18-'Historical FS'!E24)/'Historical FS'!E21,0)</f>
        <v>1.1208998481851227</v>
      </c>
      <c r="F25" s="66">
        <f>IFERROR(('Historical FS'!F18-'Historical FS'!F24)/'Historical FS'!F21,0)</f>
        <v>2.2912996877766907</v>
      </c>
      <c r="G25" s="66">
        <f>IFERROR(('Historical FS'!G18-'Historical FS'!G24)/'Historical FS'!G21,0)</f>
        <v>2.9206912028725323</v>
      </c>
      <c r="H25" s="66">
        <f>IFERROR(('Historical FS'!H18-'Historical FS'!H24)/'Historical FS'!H21,0)</f>
        <v>3.0023434368351265</v>
      </c>
      <c r="I25" s="66">
        <f>IFERROR(('Historical FS'!I18-'Historical FS'!I24)/'Historical FS'!I21,0)</f>
        <v>2.3362837883842862</v>
      </c>
      <c r="J25" s="66">
        <f>IFERROR(('Historical FS'!J18-'Historical FS'!J24)/'Historical FS'!J21,0)</f>
        <v>5.6176740590423666</v>
      </c>
      <c r="K25" s="66">
        <f>IFERROR(('Historical FS'!K18-'Historical FS'!K24)/'Historical FS'!K21,0)</f>
        <v>11.004017835268744</v>
      </c>
      <c r="L25" s="66">
        <f>IFERROR(('Historical FS'!L18-'Historical FS'!L24)/'Historical FS'!L21,0)</f>
        <v>10.410939643347049</v>
      </c>
      <c r="M25" s="78"/>
      <c r="N25" s="66">
        <f t="shared" si="2"/>
        <v>4.1558379509368297</v>
      </c>
      <c r="O25" s="66">
        <f t="shared" si="3"/>
        <v>2.6284874956284092</v>
      </c>
    </row>
    <row r="26" spans="2:15" x14ac:dyDescent="0.3">
      <c r="N26" s="37"/>
      <c r="O26" s="68"/>
    </row>
    <row r="27" spans="2:15" x14ac:dyDescent="0.3">
      <c r="B27" s="61" t="s">
        <v>178</v>
      </c>
      <c r="C27" s="67">
        <f>IFERROR('Historical FS'!C6/'Historical FS'!C59,0)</f>
        <v>25.721040189125294</v>
      </c>
      <c r="D27" s="67">
        <f>IFERROR('Historical FS'!D6/'Historical FS'!D59,0)</f>
        <v>34.665917679501582</v>
      </c>
      <c r="E27" s="67">
        <f>IFERROR('Historical FS'!E6/'Historical FS'!E59,0)</f>
        <v>29.396117244004568</v>
      </c>
      <c r="F27" s="67">
        <f>IFERROR('Historical FS'!F6/'Historical FS'!F59,0)</f>
        <v>26.64585690515807</v>
      </c>
      <c r="G27" s="67">
        <f>IFERROR('Historical FS'!G6/'Historical FS'!G59,0)</f>
        <v>39.875497930172614</v>
      </c>
      <c r="H27" s="67">
        <f>IFERROR('Historical FS'!H6/'Historical FS'!H59,0)</f>
        <v>41.316527584608252</v>
      </c>
      <c r="I27" s="67">
        <f>IFERROR('Historical FS'!I6/'Historical FS'!I59,0)</f>
        <v>26.675516956162117</v>
      </c>
      <c r="J27" s="67">
        <f>IFERROR('Historical FS'!J6/'Historical FS'!J59,0)</f>
        <v>39.879005649717513</v>
      </c>
      <c r="K27" s="67">
        <f>IFERROR('Historical FS'!K6/'Historical FS'!K59,0)</f>
        <v>44.007282688581547</v>
      </c>
      <c r="L27" s="67">
        <f>IFERROR('Historical FS'!L6/'Historical FS'!L59,0)</f>
        <v>44.638359442388492</v>
      </c>
      <c r="M27" s="76"/>
      <c r="N27" s="67">
        <f t="shared" si="2"/>
        <v>35.282112226942004</v>
      </c>
      <c r="O27" s="67">
        <f t="shared" si="3"/>
        <v>37.270707804837102</v>
      </c>
    </row>
    <row r="28" spans="2:15" x14ac:dyDescent="0.3">
      <c r="B28" s="6" t="s">
        <v>177</v>
      </c>
      <c r="C28" s="68">
        <f>IFERROR('Historical FS'!C6/'Historical FS'!C50,0)</f>
        <v>3.4127514490282986</v>
      </c>
      <c r="D28" s="68">
        <f>IFERROR('Historical FS'!D6/'Historical FS'!D50,0)</f>
        <v>1.5937772936016754</v>
      </c>
      <c r="E28" s="68">
        <f>IFERROR('Historical FS'!E6/'Historical FS'!E50,0)</f>
        <v>4.2178866762068097</v>
      </c>
      <c r="F28" s="68">
        <f>IFERROR('Historical FS'!F6/'Historical FS'!F50,0)</f>
        <v>4.6963447822822824</v>
      </c>
      <c r="G28" s="68">
        <f>IFERROR('Historical FS'!G6/'Historical FS'!G50,0)</f>
        <v>4.2842301366184419</v>
      </c>
      <c r="H28" s="68">
        <f>IFERROR('Historical FS'!H6/'Historical FS'!H50,0)</f>
        <v>4.3740291291917694</v>
      </c>
      <c r="I28" s="68">
        <f>IFERROR('Historical FS'!I6/'Historical FS'!I50,0)</f>
        <v>3.7781096975234885</v>
      </c>
      <c r="J28" s="68">
        <f>IFERROR('Historical FS'!J6/'Historical FS'!J50,0)</f>
        <v>4.1760641042024602</v>
      </c>
      <c r="K28" s="68">
        <f>IFERROR('Historical FS'!K6/'Historical FS'!K50,0)</f>
        <v>5.0048973233791143</v>
      </c>
      <c r="L28" s="68">
        <f>IFERROR('Historical FS'!L6/'Historical FS'!L50,0)</f>
        <v>5.6901293551396233</v>
      </c>
      <c r="M28" s="77"/>
      <c r="N28" s="68">
        <f t="shared" si="2"/>
        <v>4.1228219947173965</v>
      </c>
      <c r="O28" s="68">
        <f t="shared" si="3"/>
        <v>4.2510584064126258</v>
      </c>
    </row>
    <row r="29" spans="2:15" x14ac:dyDescent="0.3">
      <c r="B29" s="6" t="s">
        <v>47</v>
      </c>
      <c r="C29" s="68">
        <f>IFERROR('Historical FS'!C6/'Historical FS'!C60,0)</f>
        <v>8.6513396715643918</v>
      </c>
      <c r="D29" s="68">
        <f>IFERROR('Historical FS'!D6/'Historical FS'!D60,0)</f>
        <v>7.9926058493853898</v>
      </c>
      <c r="E29" s="68">
        <f>IFERROR('Historical FS'!E6/'Historical FS'!E60,0)</f>
        <v>7.8810850529667498</v>
      </c>
      <c r="F29" s="68">
        <f>IFERROR('Historical FS'!F6/'Historical FS'!F60,0)</f>
        <v>9.1219667798309381</v>
      </c>
      <c r="G29" s="68">
        <f>IFERROR('Historical FS'!G6/'Historical FS'!G60,0)</f>
        <v>8.8265214384509001</v>
      </c>
      <c r="H29" s="68">
        <f>IFERROR('Historical FS'!H6/'Historical FS'!H60,0)</f>
        <v>8.0879173236832251</v>
      </c>
      <c r="I29" s="68">
        <f>IFERROR('Historical FS'!I6/'Historical FS'!I60,0)</f>
        <v>6.9445951765719212</v>
      </c>
      <c r="J29" s="68">
        <f>IFERROR('Historical FS'!J6/'Historical FS'!J60,0)</f>
        <v>6.0930121746576527</v>
      </c>
      <c r="K29" s="68">
        <f>IFERROR('Historical FS'!K6/'Historical FS'!K60,0)</f>
        <v>6.6067536323468188</v>
      </c>
      <c r="L29" s="68">
        <f>IFERROR('Historical FS'!L6/'Historical FS'!L60,0)</f>
        <v>7.4598261823829466</v>
      </c>
      <c r="M29" s="77"/>
      <c r="N29" s="68">
        <f t="shared" si="2"/>
        <v>7.7665623281840919</v>
      </c>
      <c r="O29" s="68">
        <f t="shared" si="3"/>
        <v>7.9368454511760698</v>
      </c>
    </row>
    <row r="30" spans="2:15" x14ac:dyDescent="0.3">
      <c r="B30" s="11" t="s">
        <v>179</v>
      </c>
      <c r="C30" s="68">
        <f>IFERROR('Historical FS'!C6/'Historical FS'!C53,0)</f>
        <v>1.0626488935694964</v>
      </c>
      <c r="D30" s="68">
        <f>IFERROR('Historical FS'!D6/'Historical FS'!D53,0)</f>
        <v>0.97098327311425592</v>
      </c>
      <c r="E30" s="68">
        <f>IFERROR('Historical FS'!E6/'Historical FS'!E53,0)</f>
        <v>1.0392087202260798</v>
      </c>
      <c r="F30" s="68">
        <f>IFERROR('Historical FS'!F6/'Historical FS'!F53,0)</f>
        <v>1.0057831640087225</v>
      </c>
      <c r="G30" s="68">
        <f>IFERROR('Historical FS'!G6/'Historical FS'!G53,0)</f>
        <v>1.1637325990376046</v>
      </c>
      <c r="H30" s="68">
        <f>IFERROR('Historical FS'!H6/'Historical FS'!H53,0)</f>
        <v>1.1004068503975897</v>
      </c>
      <c r="I30" s="68">
        <f>IFERROR('Historical FS'!I6/'Historical FS'!I53,0)</f>
        <v>1.0064787739014016</v>
      </c>
      <c r="J30" s="68">
        <f>IFERROR('Historical FS'!J6/'Historical FS'!J53,0)</f>
        <v>1.3981203591315179</v>
      </c>
      <c r="K30" s="68">
        <f>IFERROR('Historical FS'!K6/'Historical FS'!K53,0)</f>
        <v>1.9002772560593864</v>
      </c>
      <c r="L30" s="68">
        <f>IFERROR('Historical FS'!L6/'Historical FS'!L53,0)</f>
        <v>1.9077483271238422</v>
      </c>
      <c r="M30" s="77"/>
      <c r="N30" s="68">
        <f t="shared" si="2"/>
        <v>1.2555388216569896</v>
      </c>
      <c r="O30" s="68">
        <f t="shared" si="3"/>
        <v>1.0815278719835431</v>
      </c>
    </row>
    <row r="31" spans="2:15" x14ac:dyDescent="0.3">
      <c r="B31" s="64" t="s">
        <v>180</v>
      </c>
      <c r="C31" s="66">
        <f>IFERROR('Historical FS'!C6/SUM('Historical FS'!C47:C48),0)</f>
        <v>17.489516354486998</v>
      </c>
      <c r="D31" s="66">
        <f>IFERROR('Historical FS'!D6/SUM('Historical FS'!D47:D48),0)</f>
        <v>15.133493846976991</v>
      </c>
      <c r="E31" s="66">
        <f>IFERROR('Historical FS'!E6/SUM('Historical FS'!E47:E48),0)</f>
        <v>2.279878837262856</v>
      </c>
      <c r="F31" s="66">
        <f>IFERROR('Historical FS'!F6/SUM('Historical FS'!F47:F48),0)</f>
        <v>2.2626156445861096</v>
      </c>
      <c r="G31" s="66">
        <f>IFERROR('Historical FS'!G6/SUM('Historical FS'!G47:G48),0)</f>
        <v>2.5545459094320742</v>
      </c>
      <c r="H31" s="66">
        <f>IFERROR('Historical FS'!H6/SUM('Historical FS'!H47:H48),0)</f>
        <v>2.1420313542161145</v>
      </c>
      <c r="I31" s="66">
        <f>IFERROR('Historical FS'!I6/SUM('Historical FS'!I47:I48),0)</f>
        <v>1.8303461975028377</v>
      </c>
      <c r="J31" s="66">
        <f>IFERROR('Historical FS'!J6/SUM('Historical FS'!J47:J48),0)</f>
        <v>2.1626040770507191</v>
      </c>
      <c r="K31" s="66">
        <f>IFERROR('Historical FS'!K6/SUM('Historical FS'!K47:K48),0)</f>
        <v>2.581763804342287</v>
      </c>
      <c r="L31" s="66">
        <f>IFERROR('Historical FS'!L6/SUM('Historical FS'!L47:L48),0)</f>
        <v>2.3127773372738414</v>
      </c>
      <c r="M31" s="78"/>
      <c r="N31" s="66">
        <f t="shared" si="2"/>
        <v>5.0749573363130835</v>
      </c>
      <c r="O31" s="66">
        <f t="shared" si="3"/>
        <v>2.2963280872683489</v>
      </c>
    </row>
    <row r="32" spans="2:15" x14ac:dyDescent="0.3">
      <c r="N32" s="37"/>
      <c r="O32" s="37"/>
    </row>
    <row r="33" spans="2:15" x14ac:dyDescent="0.3">
      <c r="B33" s="59"/>
      <c r="N33" s="37"/>
      <c r="O33" s="37"/>
    </row>
    <row r="34" spans="2:15" x14ac:dyDescent="0.3">
      <c r="B34" s="61" t="s">
        <v>46</v>
      </c>
      <c r="C34" s="69">
        <f>IFERROR(365/C27,0)</f>
        <v>14.190716911764707</v>
      </c>
      <c r="D34" s="69">
        <f t="shared" ref="D34:L34" si="6">IFERROR(365/D27,0)</f>
        <v>10.529073638683142</v>
      </c>
      <c r="E34" s="69">
        <f t="shared" si="6"/>
        <v>12.416605804443201</v>
      </c>
      <c r="F34" s="69">
        <f t="shared" si="6"/>
        <v>13.698189602202051</v>
      </c>
      <c r="G34" s="69">
        <f t="shared" si="6"/>
        <v>9.1534907134994103</v>
      </c>
      <c r="H34" s="69">
        <f t="shared" si="6"/>
        <v>8.8342370798840886</v>
      </c>
      <c r="I34" s="69">
        <f t="shared" si="6"/>
        <v>13.682958819498491</v>
      </c>
      <c r="J34" s="69">
        <f t="shared" si="6"/>
        <v>9.1526855811307204</v>
      </c>
      <c r="K34" s="69">
        <f t="shared" si="6"/>
        <v>8.2940817451268263</v>
      </c>
      <c r="L34" s="69">
        <f t="shared" si="6"/>
        <v>8.1768238026551838</v>
      </c>
      <c r="M34" s="76"/>
      <c r="N34" s="69">
        <f t="shared" si="2"/>
        <v>10.812886369888783</v>
      </c>
      <c r="O34" s="69">
        <f t="shared" si="3"/>
        <v>9.8412821760912763</v>
      </c>
    </row>
    <row r="35" spans="2:15" x14ac:dyDescent="0.3">
      <c r="B35" s="11" t="s">
        <v>181</v>
      </c>
      <c r="C35" s="70">
        <f>IFERROR(365/C28,0)</f>
        <v>106.95182624680307</v>
      </c>
      <c r="D35" s="70">
        <f t="shared" ref="D35:L35" si="7">IFERROR(365/D28,0)</f>
        <v>229.01568585856799</v>
      </c>
      <c r="E35" s="70">
        <f t="shared" si="7"/>
        <v>86.536227267312071</v>
      </c>
      <c r="F35" s="70">
        <f t="shared" si="7"/>
        <v>77.720017784260932</v>
      </c>
      <c r="G35" s="70">
        <f t="shared" si="7"/>
        <v>85.196170224435193</v>
      </c>
      <c r="H35" s="70">
        <f t="shared" si="7"/>
        <v>83.447089449869409</v>
      </c>
      <c r="I35" s="70">
        <f t="shared" si="7"/>
        <v>96.609158870970234</v>
      </c>
      <c r="J35" s="70">
        <f t="shared" si="7"/>
        <v>87.402872870819422</v>
      </c>
      <c r="K35" s="70">
        <f t="shared" si="7"/>
        <v>72.928569042764309</v>
      </c>
      <c r="L35" s="70">
        <f t="shared" si="7"/>
        <v>64.146169132396409</v>
      </c>
      <c r="M35" s="77"/>
      <c r="N35" s="70">
        <f t="shared" si="2"/>
        <v>98.995378674819904</v>
      </c>
      <c r="O35" s="70">
        <f t="shared" si="3"/>
        <v>85.866198745873632</v>
      </c>
    </row>
    <row r="36" spans="2:15" x14ac:dyDescent="0.3">
      <c r="B36" s="6" t="s">
        <v>182</v>
      </c>
      <c r="C36" s="70">
        <f>IFERROR(365/C29,0)</f>
        <v>42.189997602301787</v>
      </c>
      <c r="D36" s="70">
        <f t="shared" ref="D36:L36" si="8">IFERROR(365/D29,0)</f>
        <v>45.667208777481193</v>
      </c>
      <c r="E36" s="70">
        <f t="shared" si="8"/>
        <v>46.313419731791839</v>
      </c>
      <c r="F36" s="70">
        <f t="shared" si="8"/>
        <v>40.013300728854958</v>
      </c>
      <c r="G36" s="70">
        <f t="shared" si="8"/>
        <v>41.352644135656163</v>
      </c>
      <c r="H36" s="70">
        <f t="shared" si="8"/>
        <v>45.129046872326285</v>
      </c>
      <c r="I36" s="70">
        <f t="shared" si="8"/>
        <v>52.558859187552514</v>
      </c>
      <c r="J36" s="70">
        <f t="shared" si="8"/>
        <v>59.904689099116759</v>
      </c>
      <c r="K36" s="70">
        <f t="shared" si="8"/>
        <v>55.246497797791577</v>
      </c>
      <c r="L36" s="70">
        <f t="shared" si="8"/>
        <v>48.928753978474788</v>
      </c>
      <c r="M36" s="77"/>
      <c r="N36" s="70">
        <f t="shared" si="2"/>
        <v>47.730441791134787</v>
      </c>
      <c r="O36" s="70">
        <f t="shared" si="3"/>
        <v>45.990314254636516</v>
      </c>
    </row>
    <row r="37" spans="2:15" x14ac:dyDescent="0.3">
      <c r="B37" s="71" t="s">
        <v>189</v>
      </c>
      <c r="C37" s="72">
        <f>IFERROR(SUM(C34,C36)-C35,0)</f>
        <v>-50.571111732736568</v>
      </c>
      <c r="D37" s="72">
        <f t="shared" ref="D37:L37" si="9">IFERROR(SUM(D34,D36)-D35,0)</f>
        <v>-172.81940344240365</v>
      </c>
      <c r="E37" s="72">
        <f t="shared" si="9"/>
        <v>-27.806201731077032</v>
      </c>
      <c r="F37" s="72">
        <f t="shared" si="9"/>
        <v>-24.008527453203925</v>
      </c>
      <c r="G37" s="72">
        <f t="shared" si="9"/>
        <v>-34.690035375279621</v>
      </c>
      <c r="H37" s="72">
        <f t="shared" si="9"/>
        <v>-29.483805497659034</v>
      </c>
      <c r="I37" s="72">
        <f t="shared" si="9"/>
        <v>-30.367340863919225</v>
      </c>
      <c r="J37" s="72">
        <f t="shared" si="9"/>
        <v>-18.345498190571945</v>
      </c>
      <c r="K37" s="72">
        <f t="shared" si="9"/>
        <v>-9.3879894998459079</v>
      </c>
      <c r="L37" s="72">
        <f t="shared" si="9"/>
        <v>-7.0405913512664355</v>
      </c>
      <c r="M37" s="78"/>
      <c r="N37" s="72">
        <f t="shared" si="2"/>
        <v>-40.45205051379633</v>
      </c>
      <c r="O37" s="72">
        <f t="shared" si="3"/>
        <v>-28.645003614368033</v>
      </c>
    </row>
    <row r="38" spans="2:15" x14ac:dyDescent="0.3">
      <c r="N38" s="37"/>
      <c r="O38" s="37"/>
    </row>
    <row r="39" spans="2:15" x14ac:dyDescent="0.3">
      <c r="B39" s="61" t="s">
        <v>183</v>
      </c>
      <c r="C39" s="62">
        <f>IFERROR('Historical FS'!C78/'Historical FS'!C6,0)</f>
        <v>0.11389066496163683</v>
      </c>
      <c r="D39" s="62">
        <f>IFERROR('Historical FS'!D78/'Historical FS'!D6,0)</f>
        <v>0.1396524598278209</v>
      </c>
      <c r="E39" s="62">
        <f>IFERROR('Historical FS'!E78/'Historical FS'!E6,0)</f>
        <v>0.13286093888396813</v>
      </c>
      <c r="F39" s="62">
        <f>IFERROR('Historical FS'!F78/'Historical FS'!F6,0)</f>
        <v>0.22205348266783898</v>
      </c>
      <c r="G39" s="62">
        <f>IFERROR('Historical FS'!G78/'Historical FS'!G6,0)</f>
        <v>8.2855721354054446E-2</v>
      </c>
      <c r="H39" s="62">
        <f>IFERROR('Historical FS'!H78/'Historical FS'!H6,0)</f>
        <v>0.13324768078905069</v>
      </c>
      <c r="I39" s="62">
        <f>IFERROR('Historical FS'!I78/'Historical FS'!I6,0)</f>
        <v>0.1896082875720527</v>
      </c>
      <c r="J39" s="62">
        <f>IFERROR('Historical FS'!J78/'Historical FS'!J6,0)</f>
        <v>0.10200346131745404</v>
      </c>
      <c r="K39" s="62">
        <f>IFERROR('Historical FS'!K78/'Historical FS'!K6,0)</f>
        <v>7.3103299592959622E-2</v>
      </c>
      <c r="L39" s="62">
        <f>IFERROR('Historical FS'!L78/'Historical FS'!L6,0)</f>
        <v>7.5174940689091155E-2</v>
      </c>
      <c r="M39" s="76"/>
      <c r="N39" s="62">
        <f t="shared" si="2"/>
        <v>0.12644509376559276</v>
      </c>
      <c r="O39" s="62">
        <f t="shared" si="3"/>
        <v>0.12337580192280248</v>
      </c>
    </row>
    <row r="40" spans="2:15" x14ac:dyDescent="0.3">
      <c r="B40" s="11" t="s">
        <v>184</v>
      </c>
      <c r="C40" s="63">
        <f>IFERROR('Historical FS'!C78/'Historical FS'!C64,0)</f>
        <v>8.6582979912748673E-2</v>
      </c>
      <c r="D40" s="63">
        <f>IFERROR('Historical FS'!D78/'Historical FS'!D64,0)</f>
        <v>0.10696755994358251</v>
      </c>
      <c r="E40" s="63">
        <f>IFERROR('Historical FS'!E78/'Historical FS'!E64,0)</f>
        <v>0.10633402564453344</v>
      </c>
      <c r="F40" s="63">
        <f>IFERROR('Historical FS'!F78/'Historical FS'!F64,0)</f>
        <v>0.1685113190702118</v>
      </c>
      <c r="G40" s="63">
        <f>IFERROR('Historical FS'!G78/'Historical FS'!G64,0)</f>
        <v>7.0523390257768839E-2</v>
      </c>
      <c r="H40" s="63">
        <f>IFERROR('Historical FS'!H78/'Historical FS'!H64,0)</f>
        <v>0.11342498071775328</v>
      </c>
      <c r="I40" s="63">
        <f>IFERROR('Historical FS'!I78/'Historical FS'!I64,0)</f>
        <v>0.14477896052731268</v>
      </c>
      <c r="J40" s="63">
        <f>IFERROR('Historical FS'!J78/'Historical FS'!J64,0)</f>
        <v>9.3950819877488129E-2</v>
      </c>
      <c r="K40" s="63">
        <f>IFERROR('Historical FS'!K78/'Historical FS'!K64,0)</f>
        <v>8.2886908860550293E-2</v>
      </c>
      <c r="L40" s="63">
        <f>IFERROR('Historical FS'!L78/'Historical FS'!L64,0)</f>
        <v>7.9409080553466807E-2</v>
      </c>
      <c r="M40" s="77"/>
      <c r="N40" s="63">
        <f t="shared" si="2"/>
        <v>0.10533700253654163</v>
      </c>
      <c r="O40" s="63">
        <f t="shared" si="3"/>
        <v>0.10014242276101079</v>
      </c>
    </row>
    <row r="41" spans="2:15" x14ac:dyDescent="0.3">
      <c r="B41" s="64" t="s">
        <v>185</v>
      </c>
      <c r="C41" s="65">
        <f>IFERROR('Historical FS'!C78/'Historical FS'!C49,0)</f>
        <v>0.1179972757120204</v>
      </c>
      <c r="D41" s="65">
        <f>IFERROR('Historical FS'!D78/'Historical FS'!D49,0)</f>
        <v>0.22817531951765471</v>
      </c>
      <c r="E41" s="65">
        <f>IFERROR('Historical FS'!E78/'Historical FS'!E49,0)</f>
        <v>0.23156089193825041</v>
      </c>
      <c r="F41" s="65">
        <f>IFERROR('Historical FS'!F78/'Historical FS'!F49,0)</f>
        <v>0.33500395673964656</v>
      </c>
      <c r="G41" s="65">
        <f>IFERROR('Historical FS'!G78/'Historical FS'!G49,0)</f>
        <v>0.15064800008547405</v>
      </c>
      <c r="H41" s="65">
        <f>IFERROR('Historical FS'!H78/'Historical FS'!H49,0)</f>
        <v>0.27800701162947228</v>
      </c>
      <c r="I41" s="65">
        <f>IFERROR('Historical FS'!I78/'Historical FS'!I49,0)</f>
        <v>0.38027188040247256</v>
      </c>
      <c r="J41" s="65">
        <f>IFERROR('Historical FS'!J78/'Historical FS'!J49,0)</f>
        <v>0.26574070793324589</v>
      </c>
      <c r="K41" s="65">
        <f>IFERROR('Historical FS'!K78/'Historical FS'!K49,0)</f>
        <v>0.24795239725939219</v>
      </c>
      <c r="L41" s="65">
        <f>IFERROR('Historical FS'!L78/'Historical FS'!L49,0)</f>
        <v>0.22204587843448448</v>
      </c>
      <c r="M41" s="78"/>
      <c r="N41" s="65">
        <f t="shared" si="2"/>
        <v>0.24574033196521131</v>
      </c>
      <c r="O41" s="65">
        <f t="shared" si="3"/>
        <v>0.23975664459882129</v>
      </c>
    </row>
  </sheetData>
  <mergeCells count="1">
    <mergeCell ref="B2:O2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  <x14:sparklineGroup displayEmptyCellsAs="gap" markers="1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2"/>
  <sheetViews>
    <sheetView showGridLines="0" workbookViewId="0">
      <selection activeCell="M21" sqref="M21"/>
    </sheetView>
  </sheetViews>
  <sheetFormatPr defaultRowHeight="14.4" x14ac:dyDescent="0.3"/>
  <cols>
    <col min="1" max="1" width="1.77734375" customWidth="1"/>
    <col min="2" max="2" width="10.5546875" customWidth="1"/>
    <col min="3" max="3" width="6.109375" bestFit="1" customWidth="1"/>
    <col min="4" max="4" width="12" bestFit="1" customWidth="1"/>
    <col min="5" max="5" width="11.6640625" customWidth="1"/>
    <col min="7" max="7" width="10.5546875" bestFit="1" customWidth="1"/>
    <col min="8" max="8" width="6.109375" customWidth="1"/>
    <col min="9" max="9" width="7" customWidth="1"/>
    <col min="10" max="10" width="13.6640625" bestFit="1" customWidth="1"/>
    <col min="11" max="11" width="8.77734375" customWidth="1"/>
    <col min="12" max="12" width="10.5546875" bestFit="1" customWidth="1"/>
    <col min="13" max="13" width="8.6640625" customWidth="1"/>
    <col min="14" max="14" width="12.6640625" customWidth="1"/>
    <col min="15" max="15" width="14.109375" customWidth="1"/>
  </cols>
  <sheetData>
    <row r="2" spans="2:15" x14ac:dyDescent="0.3">
      <c r="B2" s="110" t="str">
        <f>'Profit &amp; Loss'!$A$1&amp;"-"&amp;'Profit &amp; Loss'!A4&amp;" forcasting"</f>
        <v>VARUN BEVERAGES LTD-Sales forcasting</v>
      </c>
      <c r="C2" s="111"/>
      <c r="D2" s="111"/>
      <c r="E2" s="111"/>
      <c r="G2" s="112" t="str">
        <f>'Profit &amp; Loss'!$A$1&amp;"-"&amp;'Historical FS'!B18&amp;" forcasting"</f>
        <v>VARUN BEVERAGES LTD-EBITDA forcasting</v>
      </c>
      <c r="H2" s="112"/>
      <c r="I2" s="112"/>
      <c r="J2" s="112"/>
      <c r="L2" s="112" t="str">
        <f>'Profit &amp; Loss'!$A$1&amp;"-"&amp; 'Historical FS'!B38&amp;" forcasting"</f>
        <v>VARUN BEVERAGES LTD-Earnings Per Share forcasting</v>
      </c>
      <c r="M2" s="112"/>
      <c r="N2" s="112"/>
      <c r="O2" s="112"/>
    </row>
    <row r="3" spans="2:15" x14ac:dyDescent="0.3">
      <c r="B3" s="84" t="s">
        <v>193</v>
      </c>
      <c r="C3" s="85" t="s">
        <v>194</v>
      </c>
      <c r="D3" s="86" t="s">
        <v>6</v>
      </c>
      <c r="E3" s="86" t="s">
        <v>22</v>
      </c>
      <c r="F3" s="52"/>
      <c r="G3" s="79" t="s">
        <v>193</v>
      </c>
      <c r="H3" s="80" t="s">
        <v>194</v>
      </c>
      <c r="I3" s="81" t="s">
        <v>195</v>
      </c>
      <c r="J3" s="81" t="s">
        <v>196</v>
      </c>
      <c r="K3" s="52"/>
      <c r="L3" s="79" t="s">
        <v>193</v>
      </c>
      <c r="M3" s="80" t="s">
        <v>194</v>
      </c>
      <c r="N3" s="81" t="s">
        <v>195</v>
      </c>
      <c r="O3" s="81" t="s">
        <v>196</v>
      </c>
    </row>
    <row r="4" spans="2:15" x14ac:dyDescent="0.3">
      <c r="B4" s="87">
        <v>1</v>
      </c>
      <c r="C4" s="88">
        <v>2012</v>
      </c>
      <c r="D4" s="89">
        <v>1800</v>
      </c>
      <c r="E4" s="92"/>
      <c r="G4" s="87">
        <v>1</v>
      </c>
      <c r="H4" s="88">
        <v>2014</v>
      </c>
      <c r="I4" s="91">
        <f t="array" ref="I4:I13">TRANSPOSE('Historical FS'!C18:L18)</f>
        <v>386.89000000000021</v>
      </c>
      <c r="J4" s="92"/>
      <c r="L4" s="87">
        <v>1</v>
      </c>
      <c r="M4" s="88">
        <v>2014</v>
      </c>
      <c r="N4" s="91">
        <f t="array" ref="N4:N13">TRANSPOSE('Historical FS'!C38:L38)</f>
        <v>-0.39136212624584504</v>
      </c>
      <c r="O4" s="92"/>
    </row>
    <row r="5" spans="2:15" x14ac:dyDescent="0.3">
      <c r="B5" s="87">
        <f>1+B4</f>
        <v>2</v>
      </c>
      <c r="C5" s="88">
        <f>C4+1</f>
        <v>2013</v>
      </c>
      <c r="D5" s="89">
        <v>2115</v>
      </c>
      <c r="E5" s="93">
        <f>D5/D4-1</f>
        <v>0.17500000000000004</v>
      </c>
      <c r="G5" s="87">
        <f>1+G4</f>
        <v>2</v>
      </c>
      <c r="H5" s="88">
        <f>H4+1</f>
        <v>2015</v>
      </c>
      <c r="I5" s="91">
        <v>642.46999999999946</v>
      </c>
      <c r="J5" s="93">
        <f>I5/I4-1</f>
        <v>0.66060120447672244</v>
      </c>
      <c r="L5" s="87">
        <f>1+L4</f>
        <v>2</v>
      </c>
      <c r="M5" s="88">
        <f>M4+1</f>
        <v>2015</v>
      </c>
      <c r="N5" s="91">
        <v>0.84230343300110089</v>
      </c>
      <c r="O5" s="93">
        <f>N5/N4-1</f>
        <v>-3.152235427277867</v>
      </c>
    </row>
    <row r="6" spans="2:15" x14ac:dyDescent="0.3">
      <c r="B6" s="87">
        <f t="shared" ref="B6:B14" si="0">1+B5</f>
        <v>3</v>
      </c>
      <c r="C6" s="88">
        <f t="shared" ref="C6:C19" si="1">C5+1</f>
        <v>2014</v>
      </c>
      <c r="D6" s="89">
        <v>2502</v>
      </c>
      <c r="E6" s="93">
        <f t="shared" ref="E6:E19" si="2">D6/D5-1</f>
        <v>0.18297872340425525</v>
      </c>
      <c r="G6" s="87">
        <f t="shared" ref="G6:G14" si="3">1+G5</f>
        <v>3</v>
      </c>
      <c r="H6" s="88">
        <f t="shared" ref="H6:H17" si="4">H5+1</f>
        <v>2016</v>
      </c>
      <c r="I6" s="91">
        <v>809.51000000000022</v>
      </c>
      <c r="J6" s="93">
        <f t="shared" ref="J6:J17" si="5">I6/I5-1</f>
        <v>0.25999657571559909</v>
      </c>
      <c r="L6" s="87">
        <f t="shared" ref="L6:L14" si="6">1+L5</f>
        <v>3</v>
      </c>
      <c r="M6" s="88">
        <f t="shared" ref="M6:M17" si="7">M5+1</f>
        <v>2016</v>
      </c>
      <c r="N6" s="91">
        <v>0.17276125467251888</v>
      </c>
      <c r="O6" s="93">
        <f t="shared" ref="O6:O17" si="8">N6/N5-1</f>
        <v>-0.79489427692705006</v>
      </c>
    </row>
    <row r="7" spans="2:15" x14ac:dyDescent="0.3">
      <c r="B7" s="87">
        <f t="shared" si="0"/>
        <v>4</v>
      </c>
      <c r="C7" s="88">
        <f t="shared" si="1"/>
        <v>2015</v>
      </c>
      <c r="D7" s="89">
        <v>3394</v>
      </c>
      <c r="E7" s="93">
        <f t="shared" si="2"/>
        <v>0.35651478816946436</v>
      </c>
      <c r="G7" s="87">
        <f t="shared" si="3"/>
        <v>4</v>
      </c>
      <c r="H7" s="88">
        <f t="shared" si="4"/>
        <v>2017</v>
      </c>
      <c r="I7" s="91">
        <v>838.33</v>
      </c>
      <c r="J7" s="93">
        <f t="shared" si="5"/>
        <v>3.5601783795135011E-2</v>
      </c>
      <c r="L7" s="87">
        <f t="shared" si="6"/>
        <v>4</v>
      </c>
      <c r="M7" s="88">
        <f t="shared" si="7"/>
        <v>2017</v>
      </c>
      <c r="N7" s="91">
        <v>1.6242089891286711</v>
      </c>
      <c r="O7" s="93">
        <f t="shared" si="8"/>
        <v>8.4014655786534629</v>
      </c>
    </row>
    <row r="8" spans="2:15" x14ac:dyDescent="0.3">
      <c r="B8" s="87">
        <f t="shared" si="0"/>
        <v>5</v>
      </c>
      <c r="C8" s="88">
        <f t="shared" si="1"/>
        <v>2016</v>
      </c>
      <c r="D8" s="89">
        <v>3861</v>
      </c>
      <c r="E8" s="93">
        <f t="shared" si="2"/>
        <v>0.13759575721862105</v>
      </c>
      <c r="G8" s="87">
        <f t="shared" si="3"/>
        <v>5</v>
      </c>
      <c r="H8" s="88">
        <f t="shared" si="4"/>
        <v>2018</v>
      </c>
      <c r="I8" s="91">
        <v>1035.8000000000002</v>
      </c>
      <c r="J8" s="93">
        <f t="shared" si="5"/>
        <v>0.23555163241205745</v>
      </c>
      <c r="L8" s="87">
        <f t="shared" si="6"/>
        <v>5</v>
      </c>
      <c r="M8" s="88">
        <f t="shared" si="7"/>
        <v>2018</v>
      </c>
      <c r="N8" s="91">
        <v>2.3844282238442838</v>
      </c>
      <c r="O8" s="93">
        <f t="shared" si="8"/>
        <v>0.46805505929593627</v>
      </c>
    </row>
    <row r="9" spans="2:15" x14ac:dyDescent="0.3">
      <c r="B9" s="87">
        <f t="shared" si="0"/>
        <v>6</v>
      </c>
      <c r="C9" s="88">
        <f t="shared" si="1"/>
        <v>2017</v>
      </c>
      <c r="D9" s="89">
        <v>4004</v>
      </c>
      <c r="E9" s="93">
        <f t="shared" si="2"/>
        <v>3.7037037037036979E-2</v>
      </c>
      <c r="G9" s="87">
        <f t="shared" si="3"/>
        <v>6</v>
      </c>
      <c r="H9" s="88">
        <f t="shared" si="4"/>
        <v>2019</v>
      </c>
      <c r="I9" s="91">
        <v>1462.32</v>
      </c>
      <c r="J9" s="93">
        <f t="shared" si="5"/>
        <v>0.41177833558602006</v>
      </c>
      <c r="L9" s="87">
        <f t="shared" si="6"/>
        <v>6</v>
      </c>
      <c r="M9" s="88">
        <f t="shared" si="7"/>
        <v>2019</v>
      </c>
      <c r="N9" s="91">
        <v>3.2736299261083737</v>
      </c>
      <c r="O9" s="93">
        <f t="shared" si="8"/>
        <v>0.37292030574544976</v>
      </c>
    </row>
    <row r="10" spans="2:15" x14ac:dyDescent="0.3">
      <c r="B10" s="87">
        <f t="shared" si="0"/>
        <v>7</v>
      </c>
      <c r="C10" s="88">
        <f t="shared" si="1"/>
        <v>2018</v>
      </c>
      <c r="D10" s="89">
        <v>5105</v>
      </c>
      <c r="E10" s="93">
        <f t="shared" si="2"/>
        <v>0.27497502497502491</v>
      </c>
      <c r="G10" s="87">
        <f t="shared" si="3"/>
        <v>7</v>
      </c>
      <c r="H10" s="88">
        <f t="shared" si="4"/>
        <v>2020</v>
      </c>
      <c r="I10" s="91">
        <v>1214.9600000000003</v>
      </c>
      <c r="J10" s="93">
        <f t="shared" si="5"/>
        <v>-0.16915586191804777</v>
      </c>
      <c r="L10" s="87">
        <f t="shared" si="6"/>
        <v>7</v>
      </c>
      <c r="M10" s="88">
        <f t="shared" si="7"/>
        <v>2020</v>
      </c>
      <c r="N10" s="91">
        <v>2.9809883004926125</v>
      </c>
      <c r="O10" s="93">
        <f t="shared" si="8"/>
        <v>-8.9393618772188987E-2</v>
      </c>
    </row>
    <row r="11" spans="2:15" x14ac:dyDescent="0.3">
      <c r="B11" s="87">
        <f t="shared" si="0"/>
        <v>8</v>
      </c>
      <c r="C11" s="88">
        <f t="shared" si="1"/>
        <v>2019</v>
      </c>
      <c r="D11" s="89">
        <v>7130</v>
      </c>
      <c r="E11" s="93">
        <f t="shared" si="2"/>
        <v>0.39666993143976503</v>
      </c>
      <c r="G11" s="87">
        <f t="shared" si="3"/>
        <v>8</v>
      </c>
      <c r="H11" s="88">
        <f t="shared" si="4"/>
        <v>2021</v>
      </c>
      <c r="I11" s="91">
        <v>1693.9499999999987</v>
      </c>
      <c r="J11" s="93">
        <f t="shared" si="5"/>
        <v>0.39424343188252964</v>
      </c>
      <c r="L11" s="87">
        <f t="shared" si="6"/>
        <v>8</v>
      </c>
      <c r="M11" s="88">
        <f t="shared" si="7"/>
        <v>2021</v>
      </c>
      <c r="N11" s="91">
        <v>5.3507543103448185</v>
      </c>
      <c r="O11" s="93">
        <f t="shared" si="8"/>
        <v>0.79495984920859941</v>
      </c>
    </row>
    <row r="12" spans="2:15" x14ac:dyDescent="0.3">
      <c r="B12" s="87">
        <f t="shared" si="0"/>
        <v>9</v>
      </c>
      <c r="C12" s="88">
        <f t="shared" si="1"/>
        <v>2020</v>
      </c>
      <c r="D12" s="89">
        <v>6450</v>
      </c>
      <c r="E12" s="93">
        <f t="shared" si="2"/>
        <v>-9.5371669004207571E-2</v>
      </c>
      <c r="G12" s="87">
        <f t="shared" si="3"/>
        <v>9</v>
      </c>
      <c r="H12" s="88">
        <f t="shared" si="4"/>
        <v>2022</v>
      </c>
      <c r="I12" s="91">
        <v>2862.9999999999982</v>
      </c>
      <c r="J12" s="93">
        <f t="shared" si="5"/>
        <v>0.69013253047610634</v>
      </c>
      <c r="L12" s="87">
        <f t="shared" si="6"/>
        <v>9</v>
      </c>
      <c r="M12" s="88">
        <f t="shared" si="7"/>
        <v>2022</v>
      </c>
      <c r="N12" s="91">
        <v>12.07135709337232</v>
      </c>
      <c r="O12" s="93">
        <f t="shared" si="8"/>
        <v>1.2560103479306277</v>
      </c>
    </row>
    <row r="13" spans="2:15" x14ac:dyDescent="0.3">
      <c r="B13" s="87">
        <f t="shared" si="0"/>
        <v>10</v>
      </c>
      <c r="C13" s="88">
        <f t="shared" si="1"/>
        <v>2021</v>
      </c>
      <c r="D13" s="89">
        <v>8823</v>
      </c>
      <c r="E13" s="93">
        <f t="shared" si="2"/>
        <v>0.36790697674418604</v>
      </c>
      <c r="G13" s="87">
        <f t="shared" si="3"/>
        <v>10</v>
      </c>
      <c r="H13" s="88">
        <f t="shared" si="4"/>
        <v>2023</v>
      </c>
      <c r="I13" s="91">
        <v>3716.74</v>
      </c>
      <c r="J13" s="93">
        <f t="shared" si="5"/>
        <v>0.29819769472581292</v>
      </c>
      <c r="L13" s="87">
        <f t="shared" si="6"/>
        <v>10</v>
      </c>
      <c r="M13" s="88">
        <f t="shared" si="7"/>
        <v>2023</v>
      </c>
      <c r="N13" s="91">
        <v>16.215209359605907</v>
      </c>
      <c r="O13" s="93">
        <f t="shared" si="8"/>
        <v>0.34327973517648114</v>
      </c>
    </row>
    <row r="14" spans="2:15" x14ac:dyDescent="0.3">
      <c r="B14" s="87">
        <f t="shared" si="0"/>
        <v>11</v>
      </c>
      <c r="C14" s="88">
        <f t="shared" si="1"/>
        <v>2022</v>
      </c>
      <c r="D14" s="89">
        <v>13173</v>
      </c>
      <c r="E14" s="93">
        <f t="shared" si="2"/>
        <v>0.49302958177490641</v>
      </c>
      <c r="G14" s="87">
        <f t="shared" si="3"/>
        <v>11</v>
      </c>
      <c r="H14" s="90">
        <f t="shared" si="4"/>
        <v>2024</v>
      </c>
      <c r="I14" s="91">
        <f>FORECAST(G14,$I$4:$I$13,$G$4:$G$13)</f>
        <v>3182.7626666666652</v>
      </c>
      <c r="J14" s="93">
        <f t="shared" si="5"/>
        <v>-0.14366819668132147</v>
      </c>
      <c r="L14" s="87">
        <f t="shared" si="6"/>
        <v>11</v>
      </c>
      <c r="M14" s="90">
        <f t="shared" si="7"/>
        <v>2024</v>
      </c>
      <c r="N14" s="91">
        <f>FORECAST(L14,$N$4:$N$13,$L$4:$L$13)</f>
        <v>13.082828673431866</v>
      </c>
      <c r="O14" s="93">
        <f t="shared" si="8"/>
        <v>-0.1931754698139877</v>
      </c>
    </row>
    <row r="15" spans="2:15" x14ac:dyDescent="0.3">
      <c r="B15" s="87">
        <f>1+B14</f>
        <v>12</v>
      </c>
      <c r="C15" s="88">
        <f t="shared" si="1"/>
        <v>2023</v>
      </c>
      <c r="D15" s="89">
        <v>16043</v>
      </c>
      <c r="E15" s="93">
        <f t="shared" si="2"/>
        <v>0.21786988537159346</v>
      </c>
      <c r="G15" s="87">
        <f>1+G14</f>
        <v>12</v>
      </c>
      <c r="H15" s="90">
        <f t="shared" si="4"/>
        <v>2025</v>
      </c>
      <c r="I15" s="91">
        <f t="shared" ref="I15:I17" si="9">FORECAST(G15,$I$4:$I$13,$G$4:$G$13)</f>
        <v>3494.82915151515</v>
      </c>
      <c r="J15" s="93">
        <f t="shared" si="5"/>
        <v>9.8048933436596597E-2</v>
      </c>
      <c r="L15" s="87">
        <f>1+L14</f>
        <v>12</v>
      </c>
      <c r="M15" s="90">
        <f t="shared" si="7"/>
        <v>2025</v>
      </c>
      <c r="N15" s="91">
        <f t="shared" ref="N15:N17" si="10">FORECAST(L15,$N$4:$N$13,$L$4:$L$13)</f>
        <v>14.651992454704484</v>
      </c>
      <c r="O15" s="93">
        <f t="shared" si="8"/>
        <v>0.11994071163365594</v>
      </c>
    </row>
    <row r="16" spans="2:15" x14ac:dyDescent="0.3">
      <c r="B16" s="87">
        <f t="shared" ref="B16:B19" si="11">1+B15</f>
        <v>13</v>
      </c>
      <c r="C16" s="90">
        <f t="shared" si="1"/>
        <v>2024</v>
      </c>
      <c r="D16" s="91">
        <f>FORECAST(B16,$D$4:$D$15,$B$4:$B$15)</f>
        <v>13623.40909090909</v>
      </c>
      <c r="E16" s="93">
        <f t="shared" si="2"/>
        <v>-0.15081910547222521</v>
      </c>
      <c r="G16" s="87">
        <f t="shared" ref="G16:G17" si="12">1+G15</f>
        <v>13</v>
      </c>
      <c r="H16" s="90">
        <f t="shared" si="4"/>
        <v>2026</v>
      </c>
      <c r="I16" s="91">
        <f t="shared" si="9"/>
        <v>3806.8956363636344</v>
      </c>
      <c r="J16" s="93">
        <f t="shared" si="5"/>
        <v>8.9293774121459002E-2</v>
      </c>
      <c r="L16" s="87">
        <f t="shared" ref="L16:L17" si="13">1+L15</f>
        <v>13</v>
      </c>
      <c r="M16" s="90">
        <f t="shared" si="7"/>
        <v>2026</v>
      </c>
      <c r="N16" s="91">
        <f t="shared" si="10"/>
        <v>16.221156235977098</v>
      </c>
      <c r="O16" s="93">
        <f t="shared" si="8"/>
        <v>0.1070955903180788</v>
      </c>
    </row>
    <row r="17" spans="2:15" x14ac:dyDescent="0.3">
      <c r="B17" s="87">
        <f t="shared" si="11"/>
        <v>14</v>
      </c>
      <c r="C17" s="90">
        <f t="shared" si="1"/>
        <v>2025</v>
      </c>
      <c r="D17" s="91">
        <f t="shared" ref="D17:D19" si="14">FORECAST(B17,$D$4:$D$15,$B$4:$B$15)</f>
        <v>14765.472027972028</v>
      </c>
      <c r="E17" s="93">
        <f t="shared" si="2"/>
        <v>8.3830921426637506E-2</v>
      </c>
      <c r="G17" s="94">
        <f t="shared" si="12"/>
        <v>14</v>
      </c>
      <c r="H17" s="95">
        <f t="shared" si="4"/>
        <v>2027</v>
      </c>
      <c r="I17" s="96">
        <f t="shared" si="9"/>
        <v>4118.9621212121183</v>
      </c>
      <c r="J17" s="97">
        <f t="shared" si="5"/>
        <v>8.1974005766696445E-2</v>
      </c>
      <c r="L17" s="94">
        <f t="shared" si="13"/>
        <v>14</v>
      </c>
      <c r="M17" s="95">
        <f t="shared" si="7"/>
        <v>2027</v>
      </c>
      <c r="N17" s="96">
        <f t="shared" si="10"/>
        <v>17.790320017249716</v>
      </c>
      <c r="O17" s="97">
        <f t="shared" si="8"/>
        <v>9.6735630829592134E-2</v>
      </c>
    </row>
    <row r="18" spans="2:15" x14ac:dyDescent="0.3">
      <c r="B18" s="87">
        <f t="shared" si="11"/>
        <v>15</v>
      </c>
      <c r="C18" s="90">
        <f t="shared" si="1"/>
        <v>2026</v>
      </c>
      <c r="D18" s="91">
        <f t="shared" si="14"/>
        <v>15907.534965034965</v>
      </c>
      <c r="E18" s="93">
        <f t="shared" si="2"/>
        <v>7.734686266035995E-2</v>
      </c>
      <c r="G18" s="82"/>
      <c r="H18" s="83"/>
    </row>
    <row r="19" spans="2:15" x14ac:dyDescent="0.3">
      <c r="B19" s="94">
        <f t="shared" si="11"/>
        <v>16</v>
      </c>
      <c r="C19" s="95">
        <f t="shared" si="1"/>
        <v>2027</v>
      </c>
      <c r="D19" s="96">
        <f t="shared" si="14"/>
        <v>17049.597902097899</v>
      </c>
      <c r="E19" s="97">
        <f t="shared" si="2"/>
        <v>7.1793834781643362E-2</v>
      </c>
      <c r="G19" s="82"/>
      <c r="H19" s="83"/>
    </row>
    <row r="22" spans="2:15" x14ac:dyDescent="0.3">
      <c r="D22" s="11"/>
    </row>
  </sheetData>
  <mergeCells count="3">
    <mergeCell ref="B2:E2"/>
    <mergeCell ref="G2:J2"/>
    <mergeCell ref="L2:O2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9"/>
  <sheetViews>
    <sheetView showGridLines="0" workbookViewId="0">
      <selection activeCell="O43" sqref="O43"/>
    </sheetView>
  </sheetViews>
  <sheetFormatPr defaultRowHeight="14.4" x14ac:dyDescent="0.3"/>
  <cols>
    <col min="1" max="1" width="1.88671875" customWidth="1"/>
    <col min="2" max="2" width="21" style="82" bestFit="1" customWidth="1"/>
    <col min="3" max="12" width="8" customWidth="1"/>
  </cols>
  <sheetData>
    <row r="2" spans="2:13" x14ac:dyDescent="0.3">
      <c r="B2" s="109" t="str">
        <f>"Common Size Statement"&amp;"-"&amp;'Data Sheet'!B1</f>
        <v>Common Size Statement-VARUN BEVERAGES LTD</v>
      </c>
      <c r="C2" s="109"/>
      <c r="D2" s="109"/>
      <c r="E2" s="109"/>
      <c r="F2" s="109"/>
      <c r="G2" s="109"/>
      <c r="H2" s="109"/>
      <c r="I2" s="109"/>
      <c r="J2" s="109"/>
      <c r="K2" s="109"/>
      <c r="L2" s="109"/>
    </row>
    <row r="4" spans="2:13" x14ac:dyDescent="0.3">
      <c r="B4" s="98" t="s">
        <v>197</v>
      </c>
      <c r="C4" s="99">
        <f>'Data Sheet'!B16</f>
        <v>42004</v>
      </c>
      <c r="D4" s="99">
        <f>'Data Sheet'!C16</f>
        <v>42369</v>
      </c>
      <c r="E4" s="99">
        <f>'Data Sheet'!D16</f>
        <v>42735</v>
      </c>
      <c r="F4" s="99">
        <f>'Data Sheet'!E16</f>
        <v>43100</v>
      </c>
      <c r="G4" s="99">
        <f>'Data Sheet'!F16</f>
        <v>43465</v>
      </c>
      <c r="H4" s="99">
        <f>'Data Sheet'!G16</f>
        <v>43830</v>
      </c>
      <c r="I4" s="99">
        <f>'Data Sheet'!H16</f>
        <v>44196</v>
      </c>
      <c r="J4" s="99">
        <f>'Data Sheet'!I16</f>
        <v>44561</v>
      </c>
      <c r="K4" s="99">
        <f>'Data Sheet'!J16</f>
        <v>44926</v>
      </c>
      <c r="L4" s="99">
        <f>'Data Sheet'!K16</f>
        <v>45291</v>
      </c>
      <c r="M4" s="51"/>
    </row>
    <row r="5" spans="2:13" x14ac:dyDescent="0.3">
      <c r="C5" s="100"/>
      <c r="D5" s="100"/>
      <c r="E5" s="100"/>
      <c r="F5" s="100"/>
      <c r="G5" s="100"/>
      <c r="H5" s="100"/>
      <c r="I5" s="100"/>
      <c r="J5" s="100"/>
      <c r="K5" s="100"/>
      <c r="L5" s="100"/>
    </row>
    <row r="6" spans="2:13" x14ac:dyDescent="0.3">
      <c r="B6" s="82" t="str">
        <f>'Data Sheet'!A17</f>
        <v>Sales</v>
      </c>
      <c r="C6" s="101">
        <f>'Data Sheet'!B17/'Data Sheet'!B$17</f>
        <v>1</v>
      </c>
      <c r="D6" s="101">
        <f>'Data Sheet'!C17/'Data Sheet'!C$17</f>
        <v>1</v>
      </c>
      <c r="E6" s="101">
        <f>'Data Sheet'!D17/'Data Sheet'!D$17</f>
        <v>1</v>
      </c>
      <c r="F6" s="101">
        <f>'Data Sheet'!E17/'Data Sheet'!E$17</f>
        <v>1</v>
      </c>
      <c r="G6" s="101">
        <f>'Data Sheet'!F17/'Data Sheet'!F$17</f>
        <v>1</v>
      </c>
      <c r="H6" s="101">
        <f>'Data Sheet'!G17/'Data Sheet'!G$17</f>
        <v>1</v>
      </c>
      <c r="I6" s="101">
        <f>'Data Sheet'!H17/'Data Sheet'!H$17</f>
        <v>1</v>
      </c>
      <c r="J6" s="101">
        <f>'Data Sheet'!I17/'Data Sheet'!I$17</f>
        <v>1</v>
      </c>
      <c r="K6" s="101">
        <f>'Data Sheet'!J17/'Data Sheet'!J$17</f>
        <v>1</v>
      </c>
      <c r="L6" s="101">
        <f>'Data Sheet'!K17/'Data Sheet'!K$17</f>
        <v>1</v>
      </c>
    </row>
    <row r="7" spans="2:13" x14ac:dyDescent="0.3">
      <c r="B7" s="82" t="str">
        <f>'Data Sheet'!A18</f>
        <v>Raw Material Cost</v>
      </c>
      <c r="C7" s="101">
        <f>'Data Sheet'!B18/'Data Sheet'!B$17</f>
        <v>0.54984015345268544</v>
      </c>
      <c r="D7" s="101">
        <f>'Data Sheet'!C18/'Data Sheet'!C$17</f>
        <v>0.51425692517103005</v>
      </c>
      <c r="E7" s="101">
        <f>'Data Sheet'!D18/'Data Sheet'!D$17</f>
        <v>0.4583417504493445</v>
      </c>
      <c r="F7" s="101">
        <f>'Data Sheet'!E18/'Data Sheet'!E$17</f>
        <v>0.47040369273193222</v>
      </c>
      <c r="G7" s="101">
        <f>'Data Sheet'!F18/'Data Sheet'!F$17</f>
        <v>0.45178893925089025</v>
      </c>
      <c r="H7" s="101">
        <f>'Data Sheet'!G18/'Data Sheet'!G$17</f>
        <v>0.47173746560105922</v>
      </c>
      <c r="I7" s="101">
        <f>'Data Sheet'!H18/'Data Sheet'!H$17</f>
        <v>0.43116893586805866</v>
      </c>
      <c r="J7" s="101">
        <f>'Data Sheet'!I18/'Data Sheet'!I$17</f>
        <v>0.46857896711295072</v>
      </c>
      <c r="K7" s="101">
        <f>'Data Sheet'!J18/'Data Sheet'!J$17</f>
        <v>0.5014491609441637</v>
      </c>
      <c r="L7" s="101">
        <f>'Data Sheet'!K18/'Data Sheet'!K$17</f>
        <v>0.46683014826792196</v>
      </c>
    </row>
    <row r="8" spans="2:13" x14ac:dyDescent="0.3">
      <c r="B8" s="82" t="str">
        <f>'Data Sheet'!A19</f>
        <v>Change in Inventory</v>
      </c>
      <c r="C8" s="101">
        <f>'Data Sheet'!B19/'Data Sheet'!B$17</f>
        <v>-7.5927109974424553E-5</v>
      </c>
      <c r="D8" s="101">
        <f>'Data Sheet'!C19/'Data Sheet'!C$17</f>
        <v>8.5411915831403538E-3</v>
      </c>
      <c r="E8" s="101">
        <f>'Data Sheet'!D19/'Data Sheet'!D$17</f>
        <v>8.2513635727938101E-3</v>
      </c>
      <c r="F8" s="101">
        <f>'Data Sheet'!E19/'Data Sheet'!E$17</f>
        <v>1.8288814399256659E-2</v>
      </c>
      <c r="G8" s="101">
        <f>'Data Sheet'!F19/'Data Sheet'!F$17</f>
        <v>1.2222687972796683E-2</v>
      </c>
      <c r="H8" s="101">
        <f>'Data Sheet'!G19/'Data Sheet'!G$17</f>
        <v>2.0177906692960879E-2</v>
      </c>
      <c r="I8" s="101">
        <f>'Data Sheet'!H19/'Data Sheet'!H$17</f>
        <v>2.6604073710027997E-3</v>
      </c>
      <c r="J8" s="101">
        <f>'Data Sheet'!I19/'Data Sheet'!I$17</f>
        <v>1.1301983513973908E-2</v>
      </c>
      <c r="K8" s="101">
        <f>'Data Sheet'!J19/'Data Sheet'!J$17</f>
        <v>2.6152458715234181E-2</v>
      </c>
      <c r="L8" s="101">
        <f>'Data Sheet'!K19/'Data Sheet'!K$17</f>
        <v>5.2528957312352499E-3</v>
      </c>
    </row>
    <row r="9" spans="2:13" x14ac:dyDescent="0.3">
      <c r="B9" s="82" t="str">
        <f>'Data Sheet'!A20</f>
        <v>Power and Fuel</v>
      </c>
      <c r="C9" s="101">
        <f>'Data Sheet'!B20/'Data Sheet'!B$17</f>
        <v>4.5404411764705881E-2</v>
      </c>
      <c r="D9" s="101">
        <f>'Data Sheet'!C20/'Data Sheet'!C$17</f>
        <v>3.8640126806790527E-2</v>
      </c>
      <c r="E9" s="101">
        <f>'Data Sheet'!D20/'Data Sheet'!D$17</f>
        <v>4.0459134254295322E-2</v>
      </c>
      <c r="F9" s="101">
        <f>'Data Sheet'!E20/'Data Sheet'!E$17</f>
        <v>3.9974622459123671E-2</v>
      </c>
      <c r="G9" s="101">
        <f>'Data Sheet'!F20/'Data Sheet'!F$17</f>
        <v>3.8156724633025545E-2</v>
      </c>
      <c r="H9" s="101">
        <f>'Data Sheet'!G20/'Data Sheet'!G$17</f>
        <v>3.9141155579992093E-2</v>
      </c>
      <c r="I9" s="101">
        <f>'Data Sheet'!H20/'Data Sheet'!H$17</f>
        <v>4.1394450353015588E-2</v>
      </c>
      <c r="J9" s="101">
        <f>'Data Sheet'!I20/'Data Sheet'!I$17</f>
        <v>3.7393335547186241E-2</v>
      </c>
      <c r="K9" s="101">
        <f>'Data Sheet'!J20/'Data Sheet'!J$17</f>
        <v>3.6378570333269064E-2</v>
      </c>
      <c r="L9" s="101">
        <f>'Data Sheet'!K20/'Data Sheet'!K$17</f>
        <v>3.4301839230348234E-2</v>
      </c>
    </row>
    <row r="10" spans="2:13" x14ac:dyDescent="0.3">
      <c r="B10" s="82" t="str">
        <f>'Data Sheet'!A21</f>
        <v>Other Mfr. Exp</v>
      </c>
      <c r="C10" s="101">
        <f>'Data Sheet'!B21/'Data Sheet'!B$17</f>
        <v>3.8107416879795394E-2</v>
      </c>
      <c r="D10" s="101">
        <f>'Data Sheet'!C21/'Data Sheet'!C$17</f>
        <v>3.8822794581248862E-2</v>
      </c>
      <c r="E10" s="101">
        <f>'Data Sheet'!D21/'Data Sheet'!D$17</f>
        <v>4.005511268575928E-2</v>
      </c>
      <c r="F10" s="101">
        <f>'Data Sheet'!E21/'Data Sheet'!E$17</f>
        <v>3.8588349310859894E-2</v>
      </c>
      <c r="G10" s="101">
        <f>'Data Sheet'!F21/'Data Sheet'!F$17</f>
        <v>3.7526002593403669E-2</v>
      </c>
      <c r="H10" s="101">
        <f>'Data Sheet'!G21/'Data Sheet'!G$17</f>
        <v>3.4419979858561094E-2</v>
      </c>
      <c r="I10" s="101">
        <f>'Data Sheet'!H21/'Data Sheet'!H$17</f>
        <v>4.0980505849485434E-2</v>
      </c>
      <c r="J10" s="101">
        <f>'Data Sheet'!I21/'Data Sheet'!I$17</f>
        <v>3.7214262803984488E-2</v>
      </c>
      <c r="K10" s="101">
        <f>'Data Sheet'!J21/'Data Sheet'!J$17</f>
        <v>3.583428096869843E-2</v>
      </c>
      <c r="L10" s="101">
        <f>'Data Sheet'!K21/'Data Sheet'!K$17</f>
        <v>3.3482768981049182E-2</v>
      </c>
    </row>
    <row r="11" spans="2:13" x14ac:dyDescent="0.3">
      <c r="B11" s="82" t="str">
        <f>'Data Sheet'!A22</f>
        <v>Employee Cost</v>
      </c>
      <c r="C11" s="101">
        <f>'Data Sheet'!B22/'Data Sheet'!B$17</f>
        <v>8.6636828644501285E-2</v>
      </c>
      <c r="D11" s="101">
        <f>'Data Sheet'!C22/'Data Sheet'!C$17</f>
        <v>9.5429180882344269E-2</v>
      </c>
      <c r="E11" s="101">
        <f>'Data Sheet'!D22/'Data Sheet'!D$17</f>
        <v>0.10915057055097147</v>
      </c>
      <c r="F11" s="101">
        <f>'Data Sheet'!E22/'Data Sheet'!E$17</f>
        <v>0.11569261203834606</v>
      </c>
      <c r="G11" s="101">
        <f>'Data Sheet'!F22/'Data Sheet'!F$17</f>
        <v>0.11424883355597951</v>
      </c>
      <c r="H11" s="101">
        <f>'Data Sheet'!G22/'Data Sheet'!G$17</f>
        <v>0.1138327923945029</v>
      </c>
      <c r="I11" s="101">
        <f>'Data Sheet'!H22/'Data Sheet'!H$17</f>
        <v>0.13799700471617671</v>
      </c>
      <c r="J11" s="101">
        <f>'Data Sheet'!I22/'Data Sheet'!I$17</f>
        <v>0.11508597191731373</v>
      </c>
      <c r="K11" s="101">
        <f>'Data Sheet'!J22/'Data Sheet'!J$17</f>
        <v>9.3766558314874057E-2</v>
      </c>
      <c r="L11" s="101">
        <f>'Data Sheet'!K22/'Data Sheet'!K$17</f>
        <v>9.0208682144642574E-2</v>
      </c>
    </row>
    <row r="12" spans="2:13" x14ac:dyDescent="0.3">
      <c r="B12" s="82" t="str">
        <f>'Data Sheet'!A23</f>
        <v>Selling and admin</v>
      </c>
      <c r="C12" s="101">
        <f>'Data Sheet'!B23/'Data Sheet'!B$17</f>
        <v>0.11921755115089513</v>
      </c>
      <c r="D12" s="101">
        <f>'Data Sheet'!C23/'Data Sheet'!C$17</f>
        <v>0.12537785713023034</v>
      </c>
      <c r="E12" s="101">
        <f>'Data Sheet'!D23/'Data Sheet'!D$17</f>
        <v>0.14062799455088859</v>
      </c>
      <c r="F12" s="101">
        <f>'Data Sheet'!E23/'Data Sheet'!E$17</f>
        <v>0.13136374308736767</v>
      </c>
      <c r="G12" s="101">
        <f>'Data Sheet'!F23/'Data Sheet'!F$17</f>
        <v>0.33157566901587771</v>
      </c>
      <c r="H12" s="101">
        <f>'Data Sheet'!G23/'Data Sheet'!G$17</f>
        <v>0.33241649578236021</v>
      </c>
      <c r="I12" s="101">
        <f>'Data Sheet'!H23/'Data Sheet'!H$17</f>
        <v>0.3242766823665843</v>
      </c>
      <c r="J12" s="101">
        <f>'Data Sheet'!I23/'Data Sheet'!I$17</f>
        <v>0.15401275949963905</v>
      </c>
      <c r="K12" s="101">
        <f>'Data Sheet'!J23/'Data Sheet'!J$17</f>
        <v>0.13492455101820827</v>
      </c>
      <c r="L12" s="101">
        <f>'Data Sheet'!K23/'Data Sheet'!K$17</f>
        <v>0.14048987132992324</v>
      </c>
    </row>
    <row r="13" spans="2:13" x14ac:dyDescent="0.3">
      <c r="B13" s="82" t="str">
        <f>'Data Sheet'!A24</f>
        <v>Other Expenses</v>
      </c>
      <c r="C13" s="101">
        <f>'Data Sheet'!B24/'Data Sheet'!B$17</f>
        <v>6.1101342710997439E-3</v>
      </c>
      <c r="D13" s="101">
        <f>'Data Sheet'!C24/'Data Sheet'!C$17</f>
        <v>6.7262988562640314E-3</v>
      </c>
      <c r="E13" s="101">
        <f>'Data Sheet'!D24/'Data Sheet'!D$17</f>
        <v>9.9632754753728129E-3</v>
      </c>
      <c r="F13" s="101">
        <f>'Data Sheet'!E24/'Data Sheet'!E$17</f>
        <v>1.2868611279018069E-2</v>
      </c>
      <c r="G13" s="101">
        <f>'Data Sheet'!F24/'Data Sheet'!F$17</f>
        <v>-0.16396226636841219</v>
      </c>
      <c r="H13" s="101">
        <f>'Data Sheet'!G24/'Data Sheet'!G$17</f>
        <v>-0.17647603365135114</v>
      </c>
      <c r="I13" s="101">
        <f>'Data Sheet'!H24/'Data Sheet'!H$17</f>
        <v>-0.16151897478194269</v>
      </c>
      <c r="J13" s="101">
        <f>'Data Sheet'!I24/'Data Sheet'!I$17</f>
        <v>7.0291718565650002E-3</v>
      </c>
      <c r="K13" s="101">
        <f>'Data Sheet'!J24/'Data Sheet'!J$17</f>
        <v>6.4631515341065232E-3</v>
      </c>
      <c r="L13" s="101">
        <f>'Data Sheet'!K24/'Data Sheet'!K$17</f>
        <v>8.2598933587988959E-3</v>
      </c>
    </row>
    <row r="14" spans="2:13" x14ac:dyDescent="0.3">
      <c r="B14" s="82" t="str">
        <f>'Data Sheet'!A25</f>
        <v>Other Income</v>
      </c>
      <c r="C14" s="101">
        <f>'Data Sheet'!B25/'Data Sheet'!B$17</f>
        <v>5.714514066496164E-3</v>
      </c>
      <c r="D14" s="101">
        <f>'Data Sheet'!C25/'Data Sheet'!C$17</f>
        <v>1.0518128303487776E-2</v>
      </c>
      <c r="E14" s="101">
        <f>'Data Sheet'!D25/'Data Sheet'!D$17</f>
        <v>6.9331137113524885E-3</v>
      </c>
      <c r="F14" s="101">
        <f>'Data Sheet'!E25/'Data Sheet'!E$17</f>
        <v>3.4619361864749697E-3</v>
      </c>
      <c r="G14" s="101">
        <f>'Data Sheet'!F25/'Data Sheet'!F$17</f>
        <v>1.1497945256460983E-3</v>
      </c>
      <c r="H14" s="101">
        <f>'Data Sheet'!G25/'Data Sheet'!G$17</f>
        <v>6.5768250023143021E-3</v>
      </c>
      <c r="I14" s="101">
        <f>'Data Sheet'!H25/'Data Sheet'!H$17</f>
        <v>-4.6526121913632885E-3</v>
      </c>
      <c r="J14" s="101">
        <f>'Data Sheet'!I25/'Data Sheet'!I$17</f>
        <v>5.7677290516058178E-3</v>
      </c>
      <c r="K14" s="101">
        <f>'Data Sheet'!J25/'Data Sheet'!J$17</f>
        <v>-1.3724897784431046E-3</v>
      </c>
      <c r="L14" s="101">
        <f>'Data Sheet'!K25/'Data Sheet'!K$17</f>
        <v>-3.0356713197004473E-4</v>
      </c>
    </row>
    <row r="15" spans="2:13" x14ac:dyDescent="0.3">
      <c r="B15" s="82" t="str">
        <f>'Data Sheet'!A26</f>
        <v>Depreciation</v>
      </c>
      <c r="C15" s="101">
        <f>'Data Sheet'!B26/'Data Sheet'!B$17</f>
        <v>8.3943414322250637E-2</v>
      </c>
      <c r="D15" s="101">
        <f>'Data Sheet'!C26/'Data Sheet'!C$17</f>
        <v>9.3517061759385303E-2</v>
      </c>
      <c r="E15" s="101">
        <f>'Data Sheet'!D26/'Data Sheet'!D$17</f>
        <v>8.3448583075640084E-2</v>
      </c>
      <c r="F15" s="101">
        <f>'Data Sheet'!E26/'Data Sheet'!E$17</f>
        <v>8.6583373714262876E-2</v>
      </c>
      <c r="G15" s="101">
        <f>'Data Sheet'!F26/'Data Sheet'!F$17</f>
        <v>7.5426129129564409E-2</v>
      </c>
      <c r="H15" s="101">
        <f>'Data Sheet'!G26/'Data Sheet'!G$17</f>
        <v>6.8535593962056676E-2</v>
      </c>
      <c r="I15" s="101">
        <f>'Data Sheet'!H26/'Data Sheet'!H$17</f>
        <v>8.1967213114754106E-2</v>
      </c>
      <c r="J15" s="101">
        <f>'Data Sheet'!I26/'Data Sheet'!I$17</f>
        <v>6.0211509843900703E-2</v>
      </c>
      <c r="K15" s="101">
        <f>'Data Sheet'!J26/'Data Sheet'!J$17</f>
        <v>4.6852155218877208E-2</v>
      </c>
      <c r="L15" s="101">
        <f>'Data Sheet'!K26/'Data Sheet'!K$17</f>
        <v>4.2443921114932885E-2</v>
      </c>
    </row>
    <row r="16" spans="2:13" x14ac:dyDescent="0.3">
      <c r="B16" s="82" t="str">
        <f>'Data Sheet'!A27</f>
        <v>Interest</v>
      </c>
      <c r="C16" s="101">
        <f>'Data Sheet'!B27/'Data Sheet'!B$17</f>
        <v>7.4872122762148344E-2</v>
      </c>
      <c r="D16" s="101">
        <f>'Data Sheet'!C27/'Data Sheet'!C$17</f>
        <v>5.0130519071104905E-2</v>
      </c>
      <c r="E16" s="101">
        <f>'Data Sheet'!D27/'Data Sheet'!D$17</f>
        <v>0.11259252352907662</v>
      </c>
      <c r="F16" s="101">
        <f>'Data Sheet'!E27/'Data Sheet'!E$17</f>
        <v>5.3600063943410083E-2</v>
      </c>
      <c r="G16" s="101">
        <f>'Data Sheet'!F27/'Data Sheet'!F$17</f>
        <v>4.3641264107998415E-2</v>
      </c>
      <c r="H16" s="101">
        <f>'Data Sheet'!G27/'Data Sheet'!G$17</f>
        <v>4.5487953007049504E-2</v>
      </c>
      <c r="I16" s="101">
        <f>'Data Sheet'!H27/'Data Sheet'!H$17</f>
        <v>4.5540096804100372E-2</v>
      </c>
      <c r="J16" s="101">
        <f>'Data Sheet'!I27/'Data Sheet'!I$17</f>
        <v>2.3457395987637183E-2</v>
      </c>
      <c r="K16" s="101">
        <f>'Data Sheet'!J27/'Data Sheet'!J$17</f>
        <v>1.549288931871976E-2</v>
      </c>
      <c r="L16" s="101">
        <f>'Data Sheet'!K27/'Data Sheet'!K$17</f>
        <v>1.8176627450198161E-2</v>
      </c>
    </row>
    <row r="17" spans="1:12" x14ac:dyDescent="0.3">
      <c r="B17" s="82" t="str">
        <f>'Data Sheet'!A28</f>
        <v>Profit before tax</v>
      </c>
      <c r="C17" s="101">
        <f>'Data Sheet'!B28/'Data Sheet'!B$17</f>
        <v>1.5065537084398976E-3</v>
      </c>
      <c r="D17" s="101">
        <f>'Data Sheet'!C28/'Data Sheet'!C$17</f>
        <v>5.6158555628229835E-2</v>
      </c>
      <c r="E17" s="101">
        <f>'Data Sheet'!D28/'Data Sheet'!D$17</f>
        <v>2.0545532712797642E-2</v>
      </c>
      <c r="F17" s="101">
        <f>'Data Sheet'!E28/'Data Sheet'!E$17</f>
        <v>7.2675682021411045E-2</v>
      </c>
      <c r="G17" s="101">
        <f>'Data Sheet'!F28/'Data Sheet'!F$17</f>
        <v>8.4971186580115404E-2</v>
      </c>
      <c r="H17" s="101">
        <f>'Data Sheet'!G28/'Data Sheet'!G$17</f>
        <v>9.7659329161044542E-2</v>
      </c>
      <c r="I17" s="101">
        <f>'Data Sheet'!H28/'Data Sheet'!H$17</f>
        <v>5.6201880889407051E-2</v>
      </c>
      <c r="J17" s="101">
        <f>'Data Sheet'!I28/'Data Sheet'!I$17</f>
        <v>0.11408633799640268</v>
      </c>
      <c r="K17" s="101">
        <f>'Data Sheet'!J28/'Data Sheet'!J$17</f>
        <v>0.15361865128587415</v>
      </c>
      <c r="L17" s="101">
        <f>'Data Sheet'!K28/'Data Sheet'!K$17</f>
        <v>0.17075557672145006</v>
      </c>
    </row>
    <row r="18" spans="1:12" x14ac:dyDescent="0.3">
      <c r="B18" s="82" t="str">
        <f>'Data Sheet'!A29</f>
        <v>Tax</v>
      </c>
      <c r="C18" s="101">
        <f>'Data Sheet'!B29/'Data Sheet'!B$17</f>
        <v>9.9144820971867002E-3</v>
      </c>
      <c r="D18" s="101">
        <f>'Data Sheet'!C29/'Data Sheet'!C$17</f>
        <v>2.3231216154902271E-2</v>
      </c>
      <c r="E18" s="101">
        <f>'Data Sheet'!D29/'Data Sheet'!D$17</f>
        <v>8.1063301892167691E-3</v>
      </c>
      <c r="F18" s="101">
        <f>'Data Sheet'!E29/'Data Sheet'!E$17</f>
        <v>1.9208000919186521E-2</v>
      </c>
      <c r="G18" s="101">
        <f>'Data Sheet'!F29/'Data Sheet'!F$17</f>
        <v>2.6233727567254166E-2</v>
      </c>
      <c r="H18" s="101">
        <f>'Data Sheet'!G29/'Data Sheet'!G$17</f>
        <v>3.1428218773055357E-2</v>
      </c>
      <c r="I18" s="101">
        <f>'Data Sheet'!H29/'Data Sheet'!H$17</f>
        <v>8.1083511365644784E-4</v>
      </c>
      <c r="J18" s="101">
        <f>'Data Sheet'!I29/'Data Sheet'!I$17</f>
        <v>2.9530002051402948E-2</v>
      </c>
      <c r="K18" s="101">
        <f>'Data Sheet'!J29/'Data Sheet'!J$17</f>
        <v>3.5946630795694878E-2</v>
      </c>
      <c r="L18" s="101">
        <f>'Data Sheet'!K29/'Data Sheet'!K$17</f>
        <v>3.9741113960472689E-2</v>
      </c>
    </row>
    <row r="19" spans="1:12" x14ac:dyDescent="0.3">
      <c r="B19" s="82" t="str">
        <f>'Data Sheet'!A30</f>
        <v>Net profit</v>
      </c>
      <c r="C19" s="101">
        <f>'Data Sheet'!B30/'Data Sheet'!B$17</f>
        <v>-8.056265984654731E-3</v>
      </c>
      <c r="D19" s="101">
        <f>'Data Sheet'!C30/'Data Sheet'!C$17</f>
        <v>3.330446003995121E-2</v>
      </c>
      <c r="E19" s="101">
        <f>'Data Sheet'!D30/'Data Sheet'!D$17</f>
        <v>1.0975919278562512E-2</v>
      </c>
      <c r="F19" s="101">
        <f>'Data Sheet'!E30/'Data Sheet'!E$17</f>
        <v>5.2491045424799057E-2</v>
      </c>
      <c r="G19" s="101">
        <f>'Data Sheet'!F30/'Data Sheet'!F$17</f>
        <v>5.7360447851823405E-2</v>
      </c>
      <c r="H19" s="101">
        <f>'Data Sheet'!G30/'Data Sheet'!G$17</f>
        <v>6.5779470880472632E-2</v>
      </c>
      <c r="I19" s="101">
        <f>'Data Sheet'!H30/'Data Sheet'!H$17</f>
        <v>5.1006644817011719E-2</v>
      </c>
      <c r="J19" s="101">
        <f>'Data Sheet'!I30/'Data Sheet'!I$17</f>
        <v>7.8661669252643299E-2</v>
      </c>
      <c r="K19" s="101">
        <f>'Data Sheet'!J30/'Data Sheet'!J$17</f>
        <v>0.11367297394546784</v>
      </c>
      <c r="L19" s="101">
        <f>'Data Sheet'!K30/'Data Sheet'!K$17</f>
        <v>0.12815395029976476</v>
      </c>
    </row>
    <row r="20" spans="1:12" x14ac:dyDescent="0.3">
      <c r="B20" s="82" t="str">
        <f>'Data Sheet'!A31</f>
        <v>Dividend Amount</v>
      </c>
      <c r="C20" s="101">
        <f>'Data Sheet'!B31/'Data Sheet'!B$17</f>
        <v>0</v>
      </c>
      <c r="D20" s="101">
        <f>'Data Sheet'!C31/'Data Sheet'!C$17</f>
        <v>0</v>
      </c>
      <c r="E20" s="101">
        <f>'Data Sheet'!D31/'Data Sheet'!D$17</f>
        <v>0</v>
      </c>
      <c r="F20" s="101">
        <f>'Data Sheet'!E31/'Data Sheet'!E$17</f>
        <v>1.1402408868151685E-2</v>
      </c>
      <c r="G20" s="101">
        <f>'Data Sheet'!F31/'Data Sheet'!F$17</f>
        <v>8.9437168724021878E-3</v>
      </c>
      <c r="H20" s="101">
        <f>'Data Sheet'!G31/'Data Sheet'!G$17</f>
        <v>1.0122615918469252E-2</v>
      </c>
      <c r="I20" s="101">
        <f>'Data Sheet'!H31/'Data Sheet'!H$17</f>
        <v>1.1188904426880657E-2</v>
      </c>
      <c r="J20" s="101">
        <f>'Data Sheet'!I31/'Data Sheet'!I$17</f>
        <v>1.2269883024697305E-2</v>
      </c>
      <c r="K20" s="101">
        <f>'Data Sheet'!J31/'Data Sheet'!J$17</f>
        <v>1.7257844371197758E-2</v>
      </c>
      <c r="L20" s="101">
        <f>'Data Sheet'!K31/'Data Sheet'!K$17</f>
        <v>2.0246120013115099E-2</v>
      </c>
    </row>
    <row r="21" spans="1:12" x14ac:dyDescent="0.3">
      <c r="B21" s="82" t="str">
        <f>'Historical FS'!B18</f>
        <v>EBITDA</v>
      </c>
      <c r="C21" s="101">
        <f>'Historical FS'!C18/'Data Sheet'!B$17</f>
        <v>0.15460757672634279</v>
      </c>
      <c r="D21" s="101">
        <f>'Historical FS'!D18/'Data Sheet'!C$17</f>
        <v>0.18928800815523211</v>
      </c>
      <c r="E21" s="101">
        <f>'Historical FS'!E18/'Data Sheet'!D$17</f>
        <v>0.20965352560616191</v>
      </c>
      <c r="F21" s="101">
        <f>'Historical FS'!F18/'Data Sheet'!E$17</f>
        <v>0.20939718349260905</v>
      </c>
      <c r="G21" s="101">
        <f>'Historical FS'!G18/'Data Sheet'!F$17</f>
        <v>0.20288878529203216</v>
      </c>
      <c r="H21" s="101">
        <f>'Historical FS'!H18/'Data Sheet'!G$17</f>
        <v>0.20510605112783642</v>
      </c>
      <c r="I21" s="101">
        <f>'Historical FS'!I18/'Data Sheet'!H$17</f>
        <v>0.18836180299962485</v>
      </c>
      <c r="J21" s="101">
        <f>'Historical FS'!J18/'Data Sheet'!I$17</f>
        <v>0.19198751477633461</v>
      </c>
      <c r="K21" s="101">
        <f>'Historical FS'!K18/'Data Sheet'!J$17</f>
        <v>0.21733618560191406</v>
      </c>
      <c r="L21" s="101">
        <f>'Historical FS'!L18/'Data Sheet'!K$17</f>
        <v>0.23167969241855113</v>
      </c>
    </row>
    <row r="23" spans="1:12" x14ac:dyDescent="0.3">
      <c r="B23" s="109" t="str">
        <f>"Common Size Balance sheet"&amp;"-"&amp; 'Data Sheet'!B1</f>
        <v>Common Size Balance sheet-VARUN BEVERAGES LTD</v>
      </c>
      <c r="C23" s="109"/>
      <c r="D23" s="109"/>
      <c r="E23" s="109"/>
      <c r="F23" s="109"/>
      <c r="G23" s="109"/>
      <c r="H23" s="109"/>
      <c r="I23" s="109"/>
      <c r="J23" s="109"/>
      <c r="K23" s="109"/>
      <c r="L23" s="109"/>
    </row>
    <row r="24" spans="1:12" x14ac:dyDescent="0.3">
      <c r="A24" s="102"/>
      <c r="B24" s="103"/>
      <c r="C24" s="103"/>
      <c r="D24" s="103"/>
      <c r="E24" s="103"/>
      <c r="F24" s="103"/>
      <c r="G24" s="103"/>
      <c r="H24" s="103"/>
      <c r="I24" s="103"/>
      <c r="J24" s="103"/>
      <c r="K24" s="103"/>
    </row>
    <row r="25" spans="1:12" x14ac:dyDescent="0.3">
      <c r="B25" s="98" t="s">
        <v>197</v>
      </c>
      <c r="C25" s="99">
        <f>'Data Sheet'!B56</f>
        <v>42004</v>
      </c>
      <c r="D25" s="99">
        <f>'Data Sheet'!C56</f>
        <v>42369</v>
      </c>
      <c r="E25" s="99">
        <f>'Data Sheet'!D56</f>
        <v>42735</v>
      </c>
      <c r="F25" s="99">
        <f>'Data Sheet'!E56</f>
        <v>43100</v>
      </c>
      <c r="G25" s="99">
        <f>'Data Sheet'!F56</f>
        <v>43465</v>
      </c>
      <c r="H25" s="99">
        <f>'Data Sheet'!G56</f>
        <v>43830</v>
      </c>
      <c r="I25" s="99">
        <f>'Data Sheet'!H56</f>
        <v>44196</v>
      </c>
      <c r="J25" s="99">
        <f>'Data Sheet'!I56</f>
        <v>44561</v>
      </c>
      <c r="K25" s="99">
        <f>'Data Sheet'!J56</f>
        <v>44926</v>
      </c>
      <c r="L25" s="99">
        <f>'Data Sheet'!K56</f>
        <v>45291</v>
      </c>
    </row>
    <row r="26" spans="1:12" x14ac:dyDescent="0.3">
      <c r="B26" s="102" t="s">
        <v>198</v>
      </c>
      <c r="C26" s="105">
        <f>'Data Sheet'!B61/'Data Sheet'!B$61</f>
        <v>1</v>
      </c>
      <c r="D26" s="105">
        <f>'Data Sheet'!C61/'Data Sheet'!C$61</f>
        <v>1</v>
      </c>
      <c r="E26" s="105">
        <f>'Data Sheet'!D61/'Data Sheet'!D$61</f>
        <v>1</v>
      </c>
      <c r="F26" s="105">
        <f>'Data Sheet'!E61/'Data Sheet'!E$61</f>
        <v>1</v>
      </c>
      <c r="G26" s="105">
        <f>'Data Sheet'!F61/'Data Sheet'!F$61</f>
        <v>1</v>
      </c>
      <c r="H26" s="105">
        <f>'Data Sheet'!G61/'Data Sheet'!G$61</f>
        <v>1</v>
      </c>
      <c r="I26" s="105">
        <f>'Data Sheet'!H61/'Data Sheet'!H$61</f>
        <v>1</v>
      </c>
      <c r="J26" s="105">
        <f>'Data Sheet'!I61/'Data Sheet'!I$61</f>
        <v>1</v>
      </c>
      <c r="K26" s="105">
        <f>'Data Sheet'!J61/'Data Sheet'!J$61</f>
        <v>1</v>
      </c>
      <c r="L26" s="105">
        <f>'Data Sheet'!K61/'Data Sheet'!K$61</f>
        <v>1</v>
      </c>
    </row>
    <row r="27" spans="1:12" x14ac:dyDescent="0.3">
      <c r="B27" s="82" t="str">
        <f>'Data Sheet'!A57</f>
        <v>Equity Share Capital</v>
      </c>
      <c r="C27" s="106">
        <f>'Data Sheet'!B57/'Data Sheet'!B$61</f>
        <v>4.063931657167856E-2</v>
      </c>
      <c r="D27" s="106">
        <f>'Data Sheet'!C57/'Data Sheet'!C$61</f>
        <v>3.0187870239774331E-2</v>
      </c>
      <c r="E27" s="106">
        <f>'Data Sheet'!D57/'Data Sheet'!D$61</f>
        <v>3.7788998470282435E-2</v>
      </c>
      <c r="F27" s="106">
        <f>'Data Sheet'!E57/'Data Sheet'!E$61</f>
        <v>3.4610215690697381E-2</v>
      </c>
      <c r="G27" s="106">
        <f>'Data Sheet'!F57/'Data Sheet'!F$61</f>
        <v>3.0450099282928834E-2</v>
      </c>
      <c r="H27" s="106">
        <f>'Data Sheet'!G57/'Data Sheet'!G$61</f>
        <v>3.4468060719377046E-2</v>
      </c>
      <c r="I27" s="106">
        <f>'Data Sheet'!H57/'Data Sheet'!H$61</f>
        <v>3.4175174255625426E-2</v>
      </c>
      <c r="J27" s="106">
        <f>'Data Sheet'!I57/'Data Sheet'!I$61</f>
        <v>4.5203915035054096E-2</v>
      </c>
      <c r="K27" s="106">
        <f>'Data Sheet'!J57/'Data Sheet'!J$61</f>
        <v>5.5907779491558098E-2</v>
      </c>
      <c r="L27" s="106">
        <f>'Data Sheet'!K57/'Data Sheet'!K$61</f>
        <v>4.277357613460827E-2</v>
      </c>
    </row>
    <row r="28" spans="1:12" x14ac:dyDescent="0.3">
      <c r="B28" s="82" t="str">
        <f>'Data Sheet'!A58</f>
        <v>Reserves</v>
      </c>
      <c r="C28" s="106">
        <f>'Data Sheet'!B58/'Data Sheet'!B$61</f>
        <v>2.8283773438164566E-3</v>
      </c>
      <c r="D28" s="106">
        <f>'Data Sheet'!C58/'Data Sheet'!C$61</f>
        <v>2.0425387870239776E-2</v>
      </c>
      <c r="E28" s="106">
        <f>'Data Sheet'!D58/'Data Sheet'!D$61</f>
        <v>0.3132563085303518</v>
      </c>
      <c r="F28" s="106">
        <f>'Data Sheet'!E58/'Data Sheet'!E$61</f>
        <v>0.30078796575182776</v>
      </c>
      <c r="G28" s="106">
        <f>'Data Sheet'!F58/'Data Sheet'!F$61</f>
        <v>0.30274374334154158</v>
      </c>
      <c r="H28" s="106">
        <f>'Data Sheet'!G58/'Data Sheet'!G$61</f>
        <v>0.36292770172334332</v>
      </c>
      <c r="I28" s="106">
        <f>'Data Sheet'!H58/'Data Sheet'!H$61</f>
        <v>0.38299658118039243</v>
      </c>
      <c r="J28" s="106">
        <f>'Data Sheet'!I58/'Data Sheet'!I$61</f>
        <v>0.38069707332757102</v>
      </c>
      <c r="K28" s="106">
        <f>'Data Sheet'!J58/'Data Sheet'!J$61</f>
        <v>0.38326200870355581</v>
      </c>
      <c r="L28" s="106">
        <f>'Data Sheet'!K58/'Data Sheet'!K$61</f>
        <v>0.41396032706532748</v>
      </c>
    </row>
    <row r="29" spans="1:12" x14ac:dyDescent="0.3">
      <c r="B29" s="82" t="str">
        <f>'Data Sheet'!A59</f>
        <v>Borrowings</v>
      </c>
      <c r="C29" s="106">
        <f>'Data Sheet'!B59/'Data Sheet'!B$61</f>
        <v>0.73377100776512616</v>
      </c>
      <c r="D29" s="106">
        <f>'Data Sheet'!C59/'Data Sheet'!C$61</f>
        <v>0.46879548660084625</v>
      </c>
      <c r="E29" s="106">
        <f>'Data Sheet'!D59/'Data Sheet'!D$61</f>
        <v>0.45920545889454073</v>
      </c>
      <c r="F29" s="106">
        <f>'Data Sheet'!E59/'Data Sheet'!E$61</f>
        <v>0.50301292172848255</v>
      </c>
      <c r="G29" s="106">
        <f>'Data Sheet'!F59/'Data Sheet'!F$61</f>
        <v>0.46813359764321832</v>
      </c>
      <c r="H29" s="106">
        <f>'Data Sheet'!G59/'Data Sheet'!G$61</f>
        <v>0.40799323748325489</v>
      </c>
      <c r="I29" s="106">
        <f>'Data Sheet'!H59/'Data Sheet'!H$61</f>
        <v>0.38072486552011514</v>
      </c>
      <c r="J29" s="106">
        <f>'Data Sheet'!I59/'Data Sheet'!I$61</f>
        <v>0.35354319858697969</v>
      </c>
      <c r="K29" s="106">
        <f>'Data Sheet'!J59/'Data Sheet'!J$61</f>
        <v>0.33428557165284933</v>
      </c>
      <c r="L29" s="106">
        <f>'Data Sheet'!K59/'Data Sheet'!K$61</f>
        <v>0.35762465447831659</v>
      </c>
    </row>
    <row r="30" spans="1:12" x14ac:dyDescent="0.3">
      <c r="B30" s="82" t="str">
        <f>'Data Sheet'!A60</f>
        <v>Other Liabilities</v>
      </c>
      <c r="C30" s="106">
        <f>'Data Sheet'!B60/'Data Sheet'!B$61</f>
        <v>0.2227612983193788</v>
      </c>
      <c r="D30" s="106">
        <f>'Data Sheet'!C60/'Data Sheet'!C$61</f>
        <v>0.4805912552891396</v>
      </c>
      <c r="E30" s="106">
        <f>'Data Sheet'!D60/'Data Sheet'!D$61</f>
        <v>0.18974923410482503</v>
      </c>
      <c r="F30" s="106">
        <f>'Data Sheet'!E60/'Data Sheet'!E$61</f>
        <v>0.1615888968289923</v>
      </c>
      <c r="G30" s="106">
        <f>'Data Sheet'!F60/'Data Sheet'!F$61</f>
        <v>0.19867255973231124</v>
      </c>
      <c r="H30" s="106">
        <f>'Data Sheet'!G60/'Data Sheet'!G$61</f>
        <v>0.19461100007402474</v>
      </c>
      <c r="I30" s="106">
        <f>'Data Sheet'!H60/'Data Sheet'!H$61</f>
        <v>0.20210337904386694</v>
      </c>
      <c r="J30" s="106">
        <f>'Data Sheet'!I60/'Data Sheet'!I$61</f>
        <v>0.22055581305039523</v>
      </c>
      <c r="K30" s="106">
        <f>'Data Sheet'!J60/'Data Sheet'!J$61</f>
        <v>0.22654464015203682</v>
      </c>
      <c r="L30" s="106">
        <f>'Data Sheet'!K60/'Data Sheet'!K$61</f>
        <v>0.18564144232174767</v>
      </c>
    </row>
    <row r="32" spans="1:12" x14ac:dyDescent="0.3">
      <c r="B32" s="104" t="s">
        <v>124</v>
      </c>
      <c r="C32" s="37">
        <f>'Data Sheet'!B61/'Data Sheet'!B$61</f>
        <v>1</v>
      </c>
      <c r="D32" s="37">
        <f>'Data Sheet'!C61/'Data Sheet'!C$61</f>
        <v>1</v>
      </c>
      <c r="E32" s="37">
        <f>'Data Sheet'!D61/'Data Sheet'!D$61</f>
        <v>1</v>
      </c>
      <c r="F32" s="37">
        <f>'Data Sheet'!E61/'Data Sheet'!E$61</f>
        <v>1</v>
      </c>
      <c r="G32" s="37">
        <f>'Data Sheet'!F61/'Data Sheet'!F$61</f>
        <v>1</v>
      </c>
      <c r="H32" s="37">
        <f>'Data Sheet'!G61/'Data Sheet'!G$61</f>
        <v>1</v>
      </c>
      <c r="I32" s="37">
        <f>'Data Sheet'!H61/'Data Sheet'!H$61</f>
        <v>1</v>
      </c>
      <c r="J32" s="37">
        <f>'Data Sheet'!I61/'Data Sheet'!I$61</f>
        <v>1</v>
      </c>
      <c r="K32" s="37">
        <f>'Data Sheet'!J61/'Data Sheet'!J$61</f>
        <v>1</v>
      </c>
      <c r="L32" s="37">
        <f>'Data Sheet'!K61/'Data Sheet'!K$61</f>
        <v>1</v>
      </c>
    </row>
    <row r="33" spans="2:12" x14ac:dyDescent="0.3">
      <c r="B33" s="82" t="str">
        <f>'Data Sheet'!A62</f>
        <v>Net Block</v>
      </c>
      <c r="C33" s="37">
        <f>'Data Sheet'!B62/'Data Sheet'!B$61</f>
        <v>0.71540934002503309</v>
      </c>
      <c r="D33" s="37">
        <f>'Data Sheet'!C62/'Data Sheet'!C$61</f>
        <v>0.78884513399153744</v>
      </c>
      <c r="E33" s="37">
        <f>'Data Sheet'!D62/'Data Sheet'!D$61</f>
        <v>0.77014439041376992</v>
      </c>
      <c r="F33" s="37">
        <f>'Data Sheet'!E62/'Data Sheet'!E$61</f>
        <v>0.75451369604652352</v>
      </c>
      <c r="G33" s="37">
        <f>'Data Sheet'!F62/'Data Sheet'!F$61</f>
        <v>0.73140424907594359</v>
      </c>
      <c r="H33" s="37">
        <f>'Data Sheet'!G62/'Data Sheet'!G$61</f>
        <v>0.77356314428373918</v>
      </c>
      <c r="I33" s="37">
        <f>'Data Sheet'!H62/'Data Sheet'!H$61</f>
        <v>0.75865359118115006</v>
      </c>
      <c r="J33" s="37">
        <f>'Data Sheet'!I62/'Data Sheet'!I$61</f>
        <v>0.6587810611849495</v>
      </c>
      <c r="K33" s="37">
        <f>'Data Sheet'!J62/'Data Sheet'!J$61</f>
        <v>0.59666696504806238</v>
      </c>
      <c r="L33" s="37">
        <f>'Data Sheet'!K62/'Data Sheet'!K$61</f>
        <v>0.55370187223697886</v>
      </c>
    </row>
    <row r="34" spans="2:12" x14ac:dyDescent="0.3">
      <c r="B34" s="82" t="str">
        <f>'Data Sheet'!A63</f>
        <v>Capital Work in Progress</v>
      </c>
      <c r="C34" s="37">
        <f>'Data Sheet'!B63/'Data Sheet'!B$61</f>
        <v>7.5190482555808052E-3</v>
      </c>
      <c r="D34" s="37">
        <f>'Data Sheet'!C63/'Data Sheet'!C$61</f>
        <v>8.5551480959097318E-3</v>
      </c>
      <c r="E34" s="37">
        <f>'Data Sheet'!D63/'Data Sheet'!D$61</f>
        <v>1.9811707935876229E-2</v>
      </c>
      <c r="F34" s="37">
        <f>'Data Sheet'!E63/'Data Sheet'!E$61</f>
        <v>2.7568375979270646E-2</v>
      </c>
      <c r="G34" s="37">
        <f>'Data Sheet'!F63/'Data Sheet'!F$61</f>
        <v>5.8746150806684216E-2</v>
      </c>
      <c r="H34" s="37">
        <f>'Data Sheet'!G63/'Data Sheet'!G$61</f>
        <v>7.6197708099021207E-3</v>
      </c>
      <c r="I34" s="37">
        <f>'Data Sheet'!H63/'Data Sheet'!H$61</f>
        <v>7.9101636487612682E-3</v>
      </c>
      <c r="J34" s="37">
        <f>'Data Sheet'!I63/'Data Sheet'!I$61</f>
        <v>5.1841018510399316E-2</v>
      </c>
      <c r="K34" s="37">
        <f>'Data Sheet'!J63/'Data Sheet'!J$61</f>
        <v>5.2213588288759744E-2</v>
      </c>
      <c r="L34" s="37">
        <f>'Data Sheet'!K63/'Data Sheet'!K$61</f>
        <v>0.12656859272096596</v>
      </c>
    </row>
    <row r="35" spans="2:12" x14ac:dyDescent="0.3">
      <c r="B35" s="82" t="str">
        <f>'Data Sheet'!A64</f>
        <v>Investments</v>
      </c>
      <c r="C35" s="37">
        <f>'Data Sheet'!B64/'Data Sheet'!B$61</f>
        <v>9.2276190591923796E-2</v>
      </c>
      <c r="D35" s="37">
        <f>'Data Sheet'!C64/'Data Sheet'!C$61</f>
        <v>7.3794076163610724E-4</v>
      </c>
      <c r="E35" s="37">
        <f>'Data Sheet'!D64/'Data Sheet'!D$61</f>
        <v>1.424005372666559E-3</v>
      </c>
      <c r="F35" s="37">
        <f>'Data Sheet'!E64/'Data Sheet'!E$61</f>
        <v>1.5600091742945367E-3</v>
      </c>
      <c r="G35" s="37">
        <f>'Data Sheet'!F64/'Data Sheet'!F$61</f>
        <v>1.8739548616957958E-3</v>
      </c>
      <c r="H35" s="37">
        <f>'Data Sheet'!G64/'Data Sheet'!G$61</f>
        <v>0</v>
      </c>
      <c r="I35" s="37">
        <f>'Data Sheet'!H64/'Data Sheet'!H$61</f>
        <v>0</v>
      </c>
      <c r="J35" s="37">
        <f>'Data Sheet'!I64/'Data Sheet'!I$61</f>
        <v>0</v>
      </c>
      <c r="K35" s="37">
        <f>'Data Sheet'!J64/'Data Sheet'!J$61</f>
        <v>8.6071556449169585E-7</v>
      </c>
      <c r="L35" s="37">
        <f>'Data Sheet'!K64/'Data Sheet'!K$61</f>
        <v>1.3880127844668989E-3</v>
      </c>
    </row>
    <row r="36" spans="2:12" x14ac:dyDescent="0.3">
      <c r="B36" s="82" t="str">
        <f>'Data Sheet'!A65</f>
        <v>Other Assets</v>
      </c>
      <c r="C36" s="37">
        <f>('Data Sheet'!B65-SUM('Data Sheet'!B67:B69))/'Data Sheet'!B$61</f>
        <v>5.6910840796684917E-2</v>
      </c>
      <c r="D36" s="37">
        <f>('Data Sheet'!C65-SUM('Data Sheet'!C67:C69))/'Data Sheet'!C$61</f>
        <v>7.0828772919605057E-2</v>
      </c>
      <c r="E36" s="37">
        <f>('Data Sheet'!D65-SUM('Data Sheet'!D67:D69))/'Data Sheet'!D$61</f>
        <v>6.6223504587079901E-2</v>
      </c>
      <c r="F36" s="37">
        <f>('Data Sheet'!E65-SUM('Data Sheet'!E67:E69))/'Data Sheet'!E$61</f>
        <v>8.6780486048058908E-2</v>
      </c>
      <c r="G36" s="37">
        <f>('Data Sheet'!F65-SUM('Data Sheet'!F67:F69))/'Data Sheet'!F$61</f>
        <v>7.4613080004868299E-2</v>
      </c>
      <c r="H36" s="37">
        <f>('Data Sheet'!G65-SUM('Data Sheet'!G67:G69))/'Data Sheet'!G$61</f>
        <v>7.2540647931247773E-2</v>
      </c>
      <c r="I36" s="37">
        <f>('Data Sheet'!H65-SUM('Data Sheet'!H67:H69))/'Data Sheet'!H$61</f>
        <v>7.2362252822183518E-2</v>
      </c>
      <c r="J36" s="37">
        <f>('Data Sheet'!I65-SUM('Data Sheet'!I67:I69))/'Data Sheet'!I$61</f>
        <v>7.9976157369711101E-2</v>
      </c>
      <c r="K36" s="37">
        <f>('Data Sheet'!J65-SUM('Data Sheet'!J67:J69))/'Data Sheet'!J$61</f>
        <v>0.12918307764342965</v>
      </c>
      <c r="L36" s="37">
        <f>('Data Sheet'!K65-SUM('Data Sheet'!K67:K69))/'Data Sheet'!K$61</f>
        <v>0.12279633216963254</v>
      </c>
    </row>
    <row r="37" spans="2:12" x14ac:dyDescent="0.3">
      <c r="B37" s="82" t="str">
        <f>'Data Sheet'!A67</f>
        <v>Receivables</v>
      </c>
      <c r="C37" s="37">
        <f>'Data Sheet'!B67/'Data Sheet'!B$61</f>
        <v>2.9556695142846728E-2</v>
      </c>
      <c r="D37" s="37">
        <f>'Data Sheet'!C67/'Data Sheet'!C$61</f>
        <v>2.2095345557122708E-2</v>
      </c>
      <c r="E37" s="37">
        <f>'Data Sheet'!D67/'Data Sheet'!D$61</f>
        <v>2.7226070698653931E-2</v>
      </c>
      <c r="F37" s="37">
        <f>'Data Sheet'!E67/'Data Sheet'!E$61</f>
        <v>2.8480118886725896E-2</v>
      </c>
      <c r="G37" s="37">
        <f>'Data Sheet'!F67/'Data Sheet'!F$61</f>
        <v>2.1345412895276934E-2</v>
      </c>
      <c r="H37" s="37">
        <f>'Data Sheet'!G67/'Data Sheet'!G$61</f>
        <v>2.0602752287005796E-2</v>
      </c>
      <c r="I37" s="37">
        <f>'Data Sheet'!H67/'Data Sheet'!H$61</f>
        <v>2.8624327600575799E-2</v>
      </c>
      <c r="J37" s="37">
        <f>'Data Sheet'!I67/'Data Sheet'!I$61</f>
        <v>2.30962432198825E-2</v>
      </c>
      <c r="K37" s="37">
        <f>'Data Sheet'!J67/'Data Sheet'!J$61</f>
        <v>2.5764659707494419E-2</v>
      </c>
      <c r="L37" s="37">
        <f>'Data Sheet'!K67/'Data Sheet'!K$61</f>
        <v>2.366403769495061E-2</v>
      </c>
    </row>
    <row r="38" spans="2:12" x14ac:dyDescent="0.3">
      <c r="B38" s="82" t="str">
        <f>'Data Sheet'!A68</f>
        <v>Inventory</v>
      </c>
      <c r="C38" s="37">
        <f>'Data Sheet'!B68/'Data Sheet'!B$61</f>
        <v>8.7874129613201929E-2</v>
      </c>
      <c r="D38" s="37">
        <f>'Data Sheet'!C68/'Data Sheet'!C$61</f>
        <v>9.5833004231311719E-2</v>
      </c>
      <c r="E38" s="37">
        <f>'Data Sheet'!D68/'Data Sheet'!D$61</f>
        <v>0.10155210367256583</v>
      </c>
      <c r="F38" s="37">
        <f>'Data Sheet'!E68/'Data Sheet'!E$61</f>
        <v>8.319227539564146E-2</v>
      </c>
      <c r="G38" s="37">
        <f>'Data Sheet'!F68/'Data Sheet'!F$61</f>
        <v>9.6431983274452682E-2</v>
      </c>
      <c r="H38" s="37">
        <f>'Data Sheet'!G68/'Data Sheet'!G$61</f>
        <v>0.10524763658158599</v>
      </c>
      <c r="I38" s="37">
        <f>'Data Sheet'!H68/'Data Sheet'!H$61</f>
        <v>0.10995151147814226</v>
      </c>
      <c r="J38" s="37">
        <f>'Data Sheet'!I68/'Data Sheet'!I$61</f>
        <v>0.15116582528487976</v>
      </c>
      <c r="K38" s="37">
        <f>'Data Sheet'!J68/'Data Sheet'!J$61</f>
        <v>0.17161721568843474</v>
      </c>
      <c r="L38" s="37">
        <f>'Data Sheet'!K68/'Data Sheet'!K$61</f>
        <v>0.14160166666886151</v>
      </c>
    </row>
    <row r="39" spans="2:12" x14ac:dyDescent="0.3">
      <c r="B39" s="82" t="str">
        <f>'Data Sheet'!A69</f>
        <v>Cash &amp; Bank</v>
      </c>
      <c r="C39" s="37">
        <f>'Data Sheet'!B69/'Data Sheet'!B$61</f>
        <v>1.0453755574728706E-2</v>
      </c>
      <c r="D39" s="37">
        <f>'Data Sheet'!C69/'Data Sheet'!C$61</f>
        <v>1.3104654442877292E-2</v>
      </c>
      <c r="E39" s="37">
        <f>'Data Sheet'!D69/'Data Sheet'!D$61</f>
        <v>1.3618217319387615E-2</v>
      </c>
      <c r="F39" s="37">
        <f>'Data Sheet'!E69/'Data Sheet'!E$61</f>
        <v>1.7905038469485046E-2</v>
      </c>
      <c r="G39" s="37">
        <f>'Data Sheet'!F69/'Data Sheet'!F$61</f>
        <v>1.5585169081078558E-2</v>
      </c>
      <c r="H39" s="37">
        <f>'Data Sheet'!G69/'Data Sheet'!G$61</f>
        <v>2.0426048106519192E-2</v>
      </c>
      <c r="I39" s="37">
        <f>'Data Sheet'!H69/'Data Sheet'!H$61</f>
        <v>2.2498153269187058E-2</v>
      </c>
      <c r="J39" s="37">
        <f>'Data Sheet'!I69/'Data Sheet'!I$61</f>
        <v>3.5139694430177844E-2</v>
      </c>
      <c r="K39" s="37">
        <f>'Data Sheet'!J69/'Data Sheet'!J$61</f>
        <v>2.4553632908254606E-2</v>
      </c>
      <c r="L39" s="37">
        <f>'Data Sheet'!K69/'Data Sheet'!K$61</f>
        <v>3.0279485724143653E-2</v>
      </c>
    </row>
  </sheetData>
  <mergeCells count="2">
    <mergeCell ref="B2:L2"/>
    <mergeCell ref="B23:L23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>
      <selection activeCell="O28" sqref="O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Profit &amp; Loss</vt:lpstr>
      <vt:lpstr>Quarters</vt:lpstr>
      <vt:lpstr>Balance Sheet</vt:lpstr>
      <vt:lpstr>Cash Flow</vt:lpstr>
      <vt:lpstr>Customization</vt:lpstr>
      <vt:lpstr>Data Sheet</vt:lpstr>
      <vt:lpstr>Cash flow data</vt:lpstr>
      <vt:lpstr>Data&gt;</vt:lpstr>
      <vt:lpstr>Historical FS</vt:lpstr>
      <vt:lpstr>Ratio Analysis</vt:lpstr>
      <vt:lpstr>Forcasting</vt:lpstr>
      <vt:lpstr>Common size Statement</vt:lpstr>
      <vt:lpstr>Financials&gt;</vt:lpstr>
      <vt:lpstr>b</vt:lpstr>
      <vt:lpstr>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DELL</cp:lastModifiedBy>
  <cp:lastPrinted>2024-05-06T21:39:16Z</cp:lastPrinted>
  <dcterms:created xsi:type="dcterms:W3CDTF">2012-08-17T09:55:37Z</dcterms:created>
  <dcterms:modified xsi:type="dcterms:W3CDTF">2024-05-06T22:40:57Z</dcterms:modified>
</cp:coreProperties>
</file>