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Себестоимость" sheetId="1" r:id="rId1"/>
    <sheet name="Выбираем надбавку" sheetId="2" r:id="rId2"/>
    <sheet name="Итого цены" sheetId="3" r:id="rId3"/>
    <sheet name="Заказы" sheetId="4" r:id="rId4"/>
    <sheet name="Итог" sheetId="8" r:id="rId5"/>
    <sheet name="Расходы" sheetId="5" r:id="rId6"/>
    <sheet name="Варки" sheetId="7" r:id="rId7"/>
    <sheet name="Ингредиенты" sheetId="6" r:id="rId8"/>
  </sheets>
  <definedNames>
    <definedName name="_xlnm._FilterDatabase" localSheetId="6" hidden="1">Варки!$F$3:$H$26</definedName>
    <definedName name="_xlnm._FilterDatabase" localSheetId="3" hidden="1">Заказы!$A$1:$E$50</definedName>
    <definedName name="_xlnm._FilterDatabase" localSheetId="5" hidden="1">Расходы!$A$1:$C$34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8" l="1"/>
  <c r="H26" i="8" l="1"/>
  <c r="H24" i="8"/>
  <c r="F26" i="8"/>
  <c r="F24" i="8"/>
  <c r="I7" i="8" l="1"/>
  <c r="H9" i="8"/>
  <c r="I8" i="8"/>
  <c r="I6" i="8"/>
  <c r="H6" i="8"/>
  <c r="H32" i="8"/>
  <c r="K32" i="8" s="1"/>
  <c r="H30" i="8"/>
  <c r="F32" i="8"/>
  <c r="F30" i="8"/>
  <c r="F53" i="4"/>
  <c r="F54" i="4"/>
  <c r="F43" i="4"/>
  <c r="L34" i="8"/>
  <c r="L33" i="8"/>
  <c r="M33" i="8" s="1"/>
  <c r="K33" i="8"/>
  <c r="J33" i="8"/>
  <c r="L32" i="8"/>
  <c r="L31" i="8"/>
  <c r="K31" i="8"/>
  <c r="L30" i="8"/>
  <c r="K30" i="8"/>
  <c r="J30" i="8"/>
  <c r="I9" i="8" l="1"/>
  <c r="I10" i="8" s="1"/>
  <c r="J32" i="8"/>
  <c r="J31" i="8"/>
  <c r="M30" i="8"/>
  <c r="M31" i="8"/>
  <c r="M32" i="8"/>
  <c r="H25" i="8"/>
  <c r="F25" i="8"/>
  <c r="F51" i="4"/>
  <c r="F52" i="4"/>
  <c r="H21" i="8" l="1"/>
  <c r="H20" i="8"/>
  <c r="H19" i="8"/>
  <c r="K19" i="8" s="1"/>
  <c r="M19" i="8" s="1"/>
  <c r="H18" i="8"/>
  <c r="K18" i="8" s="1"/>
  <c r="M18" i="8" s="1"/>
  <c r="K20" i="8"/>
  <c r="M20" i="8" s="1"/>
  <c r="F21" i="8"/>
  <c r="F20" i="8"/>
  <c r="F19" i="8"/>
  <c r="F18" i="8"/>
  <c r="F18" i="4"/>
  <c r="F12" i="8"/>
  <c r="H12" i="8"/>
  <c r="K12" i="8" s="1"/>
  <c r="L12" i="8"/>
  <c r="F13" i="8"/>
  <c r="H13" i="8"/>
  <c r="K13" i="8" s="1"/>
  <c r="M13" i="8" s="1"/>
  <c r="L13" i="8"/>
  <c r="F9" i="8" s="1"/>
  <c r="F14" i="8"/>
  <c r="H14" i="8"/>
  <c r="J14" i="8"/>
  <c r="K14" i="8"/>
  <c r="L14" i="8"/>
  <c r="K15" i="8"/>
  <c r="L15" i="8"/>
  <c r="M15" i="8"/>
  <c r="L16" i="8"/>
  <c r="M16" i="8"/>
  <c r="I18" i="8"/>
  <c r="L18" i="8"/>
  <c r="L19" i="8"/>
  <c r="I20" i="8"/>
  <c r="L20" i="8"/>
  <c r="L21" i="8"/>
  <c r="L22" i="8"/>
  <c r="J24" i="8"/>
  <c r="K24" i="8"/>
  <c r="L24" i="8"/>
  <c r="K25" i="8"/>
  <c r="M25" i="8" s="1"/>
  <c r="L25" i="8"/>
  <c r="K26" i="8"/>
  <c r="M26" i="8" s="1"/>
  <c r="L26" i="8"/>
  <c r="J27" i="8"/>
  <c r="K27" i="8"/>
  <c r="L27" i="8"/>
  <c r="M27" i="8"/>
  <c r="L28" i="8"/>
  <c r="F46" i="4"/>
  <c r="F47" i="4"/>
  <c r="F48" i="4"/>
  <c r="F49" i="4"/>
  <c r="F50" i="4"/>
  <c r="M24" i="8" l="1"/>
  <c r="H7" i="8"/>
  <c r="J21" i="8"/>
  <c r="K21" i="8"/>
  <c r="M21" i="8" s="1"/>
  <c r="J13" i="8"/>
  <c r="J18" i="8"/>
  <c r="M14" i="8"/>
  <c r="J25" i="8"/>
  <c r="J20" i="8"/>
  <c r="J19" i="8"/>
  <c r="J26" i="8"/>
  <c r="H10" i="8"/>
  <c r="F6" i="8"/>
  <c r="F10" i="8" s="1"/>
  <c r="G6" i="8"/>
  <c r="G10" i="8" s="1"/>
  <c r="F7" i="8"/>
  <c r="M12" i="8"/>
  <c r="G7" i="8"/>
  <c r="G8" i="8" s="1"/>
  <c r="J12" i="8"/>
  <c r="X31" i="1"/>
  <c r="Y30" i="1"/>
  <c r="Y29" i="1"/>
  <c r="Y28" i="1"/>
  <c r="Y27" i="1"/>
  <c r="Y26" i="1"/>
  <c r="Y25" i="1"/>
  <c r="U30" i="1"/>
  <c r="U29" i="1"/>
  <c r="U28" i="1"/>
  <c r="U27" i="1"/>
  <c r="U26" i="1"/>
  <c r="U25" i="1"/>
  <c r="S30" i="1"/>
  <c r="S29" i="1"/>
  <c r="S28" i="1"/>
  <c r="S27" i="1"/>
  <c r="S26" i="1"/>
  <c r="S25" i="1"/>
  <c r="M30" i="1"/>
  <c r="M29" i="1"/>
  <c r="M28" i="1"/>
  <c r="M27" i="1"/>
  <c r="M26" i="1"/>
  <c r="M25" i="1"/>
  <c r="K30" i="1"/>
  <c r="K29" i="1"/>
  <c r="K28" i="1"/>
  <c r="K27" i="1"/>
  <c r="K26" i="1"/>
  <c r="K25" i="1"/>
  <c r="I30" i="1"/>
  <c r="I29" i="1"/>
  <c r="I28" i="1"/>
  <c r="I27" i="1"/>
  <c r="I26" i="1"/>
  <c r="I25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7" i="1"/>
  <c r="S17" i="1"/>
  <c r="S18" i="1"/>
  <c r="S19" i="1"/>
  <c r="S20" i="1"/>
  <c r="S21" i="1"/>
  <c r="S22" i="1"/>
  <c r="S23" i="1"/>
  <c r="S16" i="1"/>
  <c r="S8" i="1"/>
  <c r="S9" i="1"/>
  <c r="S10" i="1"/>
  <c r="S11" i="1"/>
  <c r="S12" i="1"/>
  <c r="S13" i="1"/>
  <c r="S14" i="1"/>
  <c r="S7" i="1"/>
  <c r="M23" i="1"/>
  <c r="M22" i="1"/>
  <c r="M8" i="1"/>
  <c r="M9" i="1"/>
  <c r="M10" i="1"/>
  <c r="M11" i="1"/>
  <c r="M12" i="1"/>
  <c r="M13" i="1"/>
  <c r="M14" i="1"/>
  <c r="M15" i="1"/>
  <c r="M16" i="1"/>
  <c r="M17" i="1"/>
  <c r="M19" i="1"/>
  <c r="M20" i="1"/>
  <c r="M21" i="1"/>
  <c r="M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K7" i="1"/>
  <c r="I7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Y34" i="1"/>
  <c r="X17" i="1"/>
  <c r="X16" i="1"/>
  <c r="X13" i="1"/>
  <c r="H8" i="8" l="1"/>
  <c r="F8" i="8"/>
  <c r="Y31" i="1"/>
  <c r="Y32" i="1" s="1"/>
  <c r="Y33" i="1" s="1"/>
  <c r="K16" i="2"/>
  <c r="L16" i="2"/>
  <c r="J31" i="1" l="1"/>
  <c r="G24" i="3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8" i="4"/>
  <c r="F39" i="4"/>
  <c r="F40" i="4"/>
  <c r="F41" i="4"/>
  <c r="F42" i="4"/>
  <c r="F44" i="4"/>
  <c r="F45" i="4"/>
  <c r="F32" i="4" l="1"/>
  <c r="H4" i="6"/>
  <c r="F2" i="5"/>
  <c r="T13" i="1"/>
  <c r="L13" i="1"/>
  <c r="N13" i="1"/>
  <c r="J13" i="1"/>
  <c r="R13" i="1"/>
  <c r="B8" i="6"/>
  <c r="G14" i="1" s="1"/>
  <c r="B7" i="6"/>
  <c r="G13" i="1" s="1"/>
  <c r="B2" i="6"/>
  <c r="G8" i="1" s="1"/>
  <c r="B5" i="6"/>
  <c r="G11" i="1" s="1"/>
  <c r="B6" i="6"/>
  <c r="G12" i="1" s="1"/>
  <c r="B4" i="6"/>
  <c r="G10" i="1" s="1"/>
  <c r="B3" i="6"/>
  <c r="G9" i="1" s="1"/>
  <c r="F4" i="5"/>
  <c r="B7" i="5"/>
  <c r="B8" i="5"/>
  <c r="B9" i="5"/>
  <c r="B12" i="5"/>
  <c r="B11" i="5"/>
  <c r="B10" i="5"/>
  <c r="I24" i="1"/>
  <c r="B25" i="4"/>
  <c r="F37" i="4" s="1"/>
  <c r="G25" i="1"/>
  <c r="H31" i="1"/>
  <c r="Q10" i="1" l="1"/>
  <c r="O10" i="1"/>
  <c r="Q11" i="1"/>
  <c r="O11" i="1"/>
  <c r="Q24" i="1"/>
  <c r="C38" i="4"/>
  <c r="F36" i="4" s="1"/>
  <c r="C37" i="4"/>
  <c r="F35" i="4" s="1"/>
  <c r="C36" i="4"/>
  <c r="F34" i="4" s="1"/>
  <c r="C35" i="4"/>
  <c r="F33" i="4" s="1"/>
  <c r="B2" i="4"/>
  <c r="F2" i="4" s="1"/>
  <c r="C3" i="4"/>
  <c r="B3" i="4"/>
  <c r="B6" i="5"/>
  <c r="B20" i="5"/>
  <c r="B2" i="5"/>
  <c r="B22" i="5"/>
  <c r="B21" i="5"/>
  <c r="B19" i="5"/>
  <c r="B13" i="5"/>
  <c r="B5" i="5"/>
  <c r="B4" i="5"/>
  <c r="B3" i="5"/>
  <c r="F3" i="4" l="1"/>
  <c r="H14" i="3"/>
  <c r="K15" i="2"/>
  <c r="L15" i="2"/>
  <c r="O15" i="2"/>
  <c r="H18" i="2"/>
  <c r="O16" i="2"/>
  <c r="W34" i="1"/>
  <c r="U34" i="1"/>
  <c r="S34" i="1"/>
  <c r="Q34" i="1"/>
  <c r="O34" i="1"/>
  <c r="M34" i="1"/>
  <c r="W24" i="1"/>
  <c r="K34" i="1"/>
  <c r="I34" i="1"/>
  <c r="P31" i="1"/>
  <c r="N31" i="1"/>
  <c r="U24" i="1"/>
  <c r="S24" i="1"/>
  <c r="O24" i="1"/>
  <c r="M24" i="1"/>
  <c r="O9" i="1"/>
  <c r="W25" i="1" l="1"/>
  <c r="Q9" i="1"/>
  <c r="W9" i="1"/>
  <c r="O18" i="1"/>
  <c r="T17" i="1"/>
  <c r="R17" i="1"/>
  <c r="P17" i="1"/>
  <c r="Q17" i="1" s="1"/>
  <c r="N17" i="1"/>
  <c r="O17" i="1" s="1"/>
  <c r="L17" i="1"/>
  <c r="J17" i="1"/>
  <c r="H17" i="1"/>
  <c r="W17" i="1" s="1"/>
  <c r="T16" i="1"/>
  <c r="P16" i="1"/>
  <c r="Q16" i="1" s="1"/>
  <c r="N16" i="1"/>
  <c r="O16" i="1" s="1"/>
  <c r="L16" i="1"/>
  <c r="J16" i="1"/>
  <c r="H16" i="1"/>
  <c r="W16" i="1" s="1"/>
  <c r="R23" i="1"/>
  <c r="T23" i="1"/>
  <c r="H23" i="1"/>
  <c r="G22" i="1"/>
  <c r="G26" i="1"/>
  <c r="G27" i="1"/>
  <c r="G30" i="1"/>
  <c r="O30" i="1" s="1"/>
  <c r="G28" i="1"/>
  <c r="W29" i="1"/>
  <c r="O29" i="1"/>
  <c r="Q29" i="1"/>
  <c r="Q8" i="1"/>
  <c r="Q13" i="1"/>
  <c r="Q14" i="1"/>
  <c r="Q15" i="1"/>
  <c r="Q18" i="1"/>
  <c r="Q19" i="1"/>
  <c r="Q20" i="1"/>
  <c r="Q21" i="1"/>
  <c r="Q23" i="1"/>
  <c r="Q25" i="1"/>
  <c r="O8" i="1"/>
  <c r="O13" i="1"/>
  <c r="O14" i="1"/>
  <c r="O15" i="1"/>
  <c r="O19" i="1"/>
  <c r="O20" i="1"/>
  <c r="O21" i="1"/>
  <c r="O23" i="1"/>
  <c r="O25" i="1"/>
  <c r="Q7" i="1"/>
  <c r="O7" i="1"/>
  <c r="W8" i="1"/>
  <c r="W13" i="1"/>
  <c r="W14" i="1"/>
  <c r="W15" i="1"/>
  <c r="W18" i="1"/>
  <c r="W19" i="1"/>
  <c r="W20" i="1"/>
  <c r="W21" i="1"/>
  <c r="W23" i="1"/>
  <c r="W7" i="1"/>
  <c r="W27" i="1" l="1"/>
  <c r="Q30" i="1"/>
  <c r="Q27" i="1"/>
  <c r="O27" i="1"/>
  <c r="Q22" i="1"/>
  <c r="W26" i="1"/>
  <c r="O26" i="1"/>
  <c r="Q26" i="1"/>
  <c r="W28" i="1"/>
  <c r="W22" i="1"/>
  <c r="O28" i="1"/>
  <c r="O22" i="1"/>
  <c r="W30" i="1"/>
  <c r="Q28" i="1"/>
  <c r="K31" i="1" l="1"/>
  <c r="U31" i="1"/>
  <c r="S31" i="1"/>
  <c r="W31" i="1"/>
  <c r="W32" i="1" s="1"/>
  <c r="Q31" i="1"/>
  <c r="Q32" i="1" s="1"/>
  <c r="Q33" i="1" s="1"/>
  <c r="M31" i="1"/>
  <c r="O31" i="1"/>
  <c r="O32" i="1" s="1"/>
  <c r="O33" i="1" s="1"/>
  <c r="I31" i="1"/>
  <c r="I32" i="1" l="1"/>
  <c r="U32" i="1"/>
  <c r="M32" i="1"/>
  <c r="S32" i="1"/>
  <c r="K32" i="1"/>
  <c r="M33" i="1" l="1"/>
  <c r="J13" i="2"/>
  <c r="J16" i="2" s="1"/>
  <c r="U33" i="1"/>
  <c r="N13" i="2"/>
  <c r="N16" i="2" s="1"/>
  <c r="K33" i="1"/>
  <c r="I13" i="2"/>
  <c r="S33" i="1"/>
  <c r="M13" i="2"/>
  <c r="M16" i="2" s="1"/>
  <c r="I33" i="1"/>
  <c r="H13" i="2"/>
  <c r="H16" i="2" s="1"/>
  <c r="I15" i="2" l="1"/>
  <c r="I16" i="2"/>
  <c r="J15" i="2"/>
  <c r="M15" i="2"/>
  <c r="N15" i="2"/>
  <c r="H15" i="2"/>
</calcChain>
</file>

<file path=xl/sharedStrings.xml><?xml version="1.0" encoding="utf-8"?>
<sst xmlns="http://schemas.openxmlformats.org/spreadsheetml/2006/main" count="355" uniqueCount="125">
  <si>
    <t>Ингридиенты</t>
  </si>
  <si>
    <t>ЖКХ</t>
  </si>
  <si>
    <t>Молоко</t>
  </si>
  <si>
    <t>Сычужный фермент</t>
  </si>
  <si>
    <t>Хлористый кальций</t>
  </si>
  <si>
    <t>Аннато</t>
  </si>
  <si>
    <t>Упаковка</t>
  </si>
  <si>
    <t>Вакуумный пакет</t>
  </si>
  <si>
    <t>Расход элэнергии</t>
  </si>
  <si>
    <t>Бензин</t>
  </si>
  <si>
    <t>Вода</t>
  </si>
  <si>
    <t>Водоотведение</t>
  </si>
  <si>
    <t xml:space="preserve">Электроэнергия </t>
  </si>
  <si>
    <t>Специи</t>
  </si>
  <si>
    <t>Соль</t>
  </si>
  <si>
    <t>Уксус</t>
  </si>
  <si>
    <t>Оборудование</t>
  </si>
  <si>
    <t>Сыроварня</t>
  </si>
  <si>
    <t>Формы</t>
  </si>
  <si>
    <t>Форма-пресс</t>
  </si>
  <si>
    <t>Вино</t>
  </si>
  <si>
    <t>Камера вызревания сыров</t>
  </si>
  <si>
    <t>PH-метр</t>
  </si>
  <si>
    <t>Раздел</t>
  </si>
  <si>
    <t>Позиция</t>
  </si>
  <si>
    <t>Сорт сыра</t>
  </si>
  <si>
    <t>Халуми</t>
  </si>
  <si>
    <t>Качотта</t>
  </si>
  <si>
    <t>Пьяная корова</t>
  </si>
  <si>
    <t>Имеретинский</t>
  </si>
  <si>
    <t>Адыгейский</t>
  </si>
  <si>
    <t>Белпер кнолле</t>
  </si>
  <si>
    <t>Чеддер</t>
  </si>
  <si>
    <t>Кол-во</t>
  </si>
  <si>
    <t>Стоимость</t>
  </si>
  <si>
    <t>Цена за  единицу, руб.</t>
  </si>
  <si>
    <t>Расходники</t>
  </si>
  <si>
    <t>Транспорт</t>
  </si>
  <si>
    <t>Выход</t>
  </si>
  <si>
    <t>Себестоимость</t>
  </si>
  <si>
    <t>Рикотта</t>
  </si>
  <si>
    <t>Наша цена</t>
  </si>
  <si>
    <t>Для отдельных</t>
  </si>
  <si>
    <t>Для всех</t>
  </si>
  <si>
    <t>Для своих</t>
  </si>
  <si>
    <t>за 1 кг</t>
  </si>
  <si>
    <t>за 100 г</t>
  </si>
  <si>
    <t>Себестоимость 1 кг</t>
  </si>
  <si>
    <t xml:space="preserve">Объявление 1 </t>
  </si>
  <si>
    <t>Объявление 2</t>
  </si>
  <si>
    <t>Объявление 3</t>
  </si>
  <si>
    <t>Объявление 4</t>
  </si>
  <si>
    <t>Объявление 5</t>
  </si>
  <si>
    <t>Объявление 6</t>
  </si>
  <si>
    <t>Рыночная цена за 1 кг с Авито (средняя)</t>
  </si>
  <si>
    <t>Рынок с Авито</t>
  </si>
  <si>
    <t>цены подровнял</t>
  </si>
  <si>
    <t>Сыр</t>
  </si>
  <si>
    <t>Вес</t>
  </si>
  <si>
    <t>Сумма</t>
  </si>
  <si>
    <t>Дата</t>
  </si>
  <si>
    <t>Кому</t>
  </si>
  <si>
    <t>Халуми с мятой</t>
  </si>
  <si>
    <t>Качотта с паж</t>
  </si>
  <si>
    <t>Белпер</t>
  </si>
  <si>
    <t>Настя</t>
  </si>
  <si>
    <t>Георгий</t>
  </si>
  <si>
    <t>Халуми с томатами</t>
  </si>
  <si>
    <t>Белпер в масле</t>
  </si>
  <si>
    <t>Ромка</t>
  </si>
  <si>
    <t>Тоня Р.</t>
  </si>
  <si>
    <t>Софья</t>
  </si>
  <si>
    <t>Богдан</t>
  </si>
  <si>
    <t>Снежана</t>
  </si>
  <si>
    <t>Тоня Ж.</t>
  </si>
  <si>
    <t>Тип</t>
  </si>
  <si>
    <t>Топливо</t>
  </si>
  <si>
    <t>Фляги</t>
  </si>
  <si>
    <t>Вакуум</t>
  </si>
  <si>
    <t>Латекс</t>
  </si>
  <si>
    <t>Кальций</t>
  </si>
  <si>
    <t>Сычуг</t>
  </si>
  <si>
    <t>Пажитник</t>
  </si>
  <si>
    <t>Инвентарь</t>
  </si>
  <si>
    <t>Химозин</t>
  </si>
  <si>
    <t>Недостача</t>
  </si>
  <si>
    <t>Ксюша</t>
  </si>
  <si>
    <t>Получено</t>
  </si>
  <si>
    <t>Закваска MA 4001</t>
  </si>
  <si>
    <t>Закваска MM 101</t>
  </si>
  <si>
    <t>Закваска TA 40</t>
  </si>
  <si>
    <t>Наименование</t>
  </si>
  <si>
    <t>Закваска TA40</t>
  </si>
  <si>
    <t>Закваска MM101</t>
  </si>
  <si>
    <t>Закваска MA11</t>
  </si>
  <si>
    <t>Закваска MA4001</t>
  </si>
  <si>
    <t>Итог:</t>
  </si>
  <si>
    <t>Сумма:</t>
  </si>
  <si>
    <t>MA 4001</t>
  </si>
  <si>
    <t>MM 101</t>
  </si>
  <si>
    <t>TA 40/45</t>
  </si>
  <si>
    <t>MA 11</t>
  </si>
  <si>
    <t>Расходы на кг</t>
  </si>
  <si>
    <t>Расходы по литрам</t>
  </si>
  <si>
    <t>Молоко, л</t>
  </si>
  <si>
    <t>Средняя цена</t>
  </si>
  <si>
    <t>Ноябрь</t>
  </si>
  <si>
    <t>Декабрь</t>
  </si>
  <si>
    <t>Средняя закваска 250л</t>
  </si>
  <si>
    <t>2023 Ноябрь</t>
  </si>
  <si>
    <t>2023 Декабрь</t>
  </si>
  <si>
    <t>Остатки, гр</t>
  </si>
  <si>
    <t>Продано, гр</t>
  </si>
  <si>
    <t>Алина</t>
  </si>
  <si>
    <t>Январь</t>
  </si>
  <si>
    <t>Качотта с травами</t>
  </si>
  <si>
    <t>за кг сыра</t>
  </si>
  <si>
    <t>2024 Январь</t>
  </si>
  <si>
    <t>Потрачено за месяц</t>
  </si>
  <si>
    <t>Доходы за месяц</t>
  </si>
  <si>
    <t>Потрачено на сыр</t>
  </si>
  <si>
    <t>Доходы c сыра</t>
  </si>
  <si>
    <t>Канестрато</t>
  </si>
  <si>
    <t>2024 Февраль</t>
  </si>
  <si>
    <t>Февраль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</si>
</sst>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₽&quot;_-;\-* #,##0.00\ &quot;₽&quot;_-;_-* &quot;-&quot;??\ &quot;₽&quot;_-;_-@_-"/>
    <numFmt numFmtId="164" formatCode="0.0"/>
    <numFmt numFmtId="165" formatCode="_-* #,##0.0\ &quot;₽&quot;_-;\-* #,##0.0\ &quot;₽&quot;_-;_-* &quot;-&quot;??\ &quot;₽&quot;_-;_-@_-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8E7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9A4E4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Fill="1"/>
    <xf numFmtId="2" fontId="0" fillId="0" borderId="1" xfId="0" applyNumberFormat="1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9" fontId="0" fillId="0" borderId="1" xfId="1" applyFont="1" applyFill="1" applyBorder="1"/>
    <xf numFmtId="0" fontId="0" fillId="0" borderId="0" xfId="0" applyFill="1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164" fontId="0" fillId="0" borderId="0" xfId="0" applyNumberFormat="1"/>
    <xf numFmtId="0" fontId="3" fillId="0" borderId="0" xfId="0" applyFont="1"/>
    <xf numFmtId="164" fontId="0" fillId="3" borderId="1" xfId="0" applyNumberFormat="1" applyFill="1" applyBorder="1"/>
    <xf numFmtId="44" fontId="0" fillId="0" borderId="0" xfId="0" applyNumberFormat="1" applyBorder="1"/>
    <xf numFmtId="0" fontId="0" fillId="0" borderId="0" xfId="0" applyFill="1" applyBorder="1" applyAlignment="1">
      <alignment horizontal="center"/>
    </xf>
    <xf numFmtId="164" fontId="4" fillId="0" borderId="0" xfId="0" applyNumberFormat="1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64" fontId="0" fillId="4" borderId="4" xfId="0" applyNumberFormat="1" applyFill="1" applyBorder="1"/>
    <xf numFmtId="164" fontId="0" fillId="5" borderId="2" xfId="0" applyNumberFormat="1" applyFill="1" applyBorder="1"/>
    <xf numFmtId="164" fontId="0" fillId="5" borderId="4" xfId="0" applyNumberFormat="1" applyFill="1" applyBorder="1"/>
    <xf numFmtId="164" fontId="0" fillId="5" borderId="3" xfId="0" applyNumberFormat="1" applyFill="1" applyBorder="1"/>
    <xf numFmtId="164" fontId="0" fillId="4" borderId="2" xfId="0" applyNumberFormat="1" applyFill="1" applyBorder="1"/>
    <xf numFmtId="164" fontId="0" fillId="6" borderId="3" xfId="0" applyNumberFormat="1" applyFill="1" applyBorder="1"/>
    <xf numFmtId="164" fontId="0" fillId="5" borderId="9" xfId="0" applyNumberFormat="1" applyFill="1" applyBorder="1"/>
    <xf numFmtId="164" fontId="0" fillId="5" borderId="11" xfId="0" applyNumberFormat="1" applyFill="1" applyBorder="1"/>
    <xf numFmtId="164" fontId="0" fillId="4" borderId="3" xfId="0" applyNumberFormat="1" applyFill="1" applyBorder="1"/>
    <xf numFmtId="164" fontId="0" fillId="3" borderId="9" xfId="0" applyNumberFormat="1" applyFill="1" applyBorder="1"/>
    <xf numFmtId="164" fontId="0" fillId="3" borderId="4" xfId="0" applyNumberFormat="1" applyFill="1" applyBorder="1"/>
    <xf numFmtId="164" fontId="0" fillId="3" borderId="3" xfId="0" applyNumberFormat="1" applyFill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44" fontId="0" fillId="0" borderId="7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4" fillId="2" borderId="1" xfId="0" applyFont="1" applyFill="1" applyBorder="1"/>
    <xf numFmtId="44" fontId="0" fillId="0" borderId="0" xfId="2" applyFont="1"/>
    <xf numFmtId="44" fontId="0" fillId="0" borderId="0" xfId="1" applyNumberFormat="1" applyFont="1" applyBorder="1"/>
    <xf numFmtId="44" fontId="0" fillId="0" borderId="0" xfId="2" applyFont="1" applyBorder="1"/>
    <xf numFmtId="0" fontId="4" fillId="0" borderId="5" xfId="0" applyFont="1" applyBorder="1"/>
    <xf numFmtId="44" fontId="4" fillId="0" borderId="6" xfId="2" applyFont="1" applyBorder="1"/>
    <xf numFmtId="164" fontId="0" fillId="5" borderId="13" xfId="0" applyNumberFormat="1" applyFill="1" applyBorder="1"/>
    <xf numFmtId="164" fontId="0" fillId="6" borderId="12" xfId="0" applyNumberFormat="1" applyFill="1" applyBorder="1"/>
    <xf numFmtId="0" fontId="0" fillId="0" borderId="14" xfId="0" applyBorder="1"/>
    <xf numFmtId="0" fontId="0" fillId="0" borderId="22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3" borderId="31" xfId="0" applyFill="1" applyBorder="1"/>
    <xf numFmtId="164" fontId="0" fillId="3" borderId="32" xfId="0" applyNumberFormat="1" applyFill="1" applyBorder="1"/>
    <xf numFmtId="14" fontId="0" fillId="3" borderId="33" xfId="0" applyNumberFormat="1" applyFill="1" applyBorder="1"/>
    <xf numFmtId="0" fontId="2" fillId="5" borderId="18" xfId="0" applyFont="1" applyFill="1" applyBorder="1"/>
    <xf numFmtId="14" fontId="0" fillId="5" borderId="19" xfId="0" applyNumberFormat="1" applyFill="1" applyBorder="1"/>
    <xf numFmtId="0" fontId="2" fillId="5" borderId="20" xfId="0" applyFont="1" applyFill="1" applyBorder="1"/>
    <xf numFmtId="14" fontId="0" fillId="5" borderId="21" xfId="0" applyNumberFormat="1" applyFill="1" applyBorder="1"/>
    <xf numFmtId="0" fontId="2" fillId="5" borderId="24" xfId="0" applyFont="1" applyFill="1" applyBorder="1"/>
    <xf numFmtId="14" fontId="0" fillId="5" borderId="25" xfId="0" applyNumberFormat="1" applyFill="1" applyBorder="1"/>
    <xf numFmtId="0" fontId="0" fillId="4" borderId="24" xfId="0" applyFill="1" applyBorder="1"/>
    <xf numFmtId="14" fontId="0" fillId="4" borderId="34" xfId="0" applyNumberFormat="1" applyFill="1" applyBorder="1"/>
    <xf numFmtId="0" fontId="0" fillId="3" borderId="35" xfId="0" applyFill="1" applyBorder="1"/>
    <xf numFmtId="14" fontId="0" fillId="3" borderId="36" xfId="0" applyNumberFormat="1" applyFill="1" applyBorder="1"/>
    <xf numFmtId="0" fontId="0" fillId="4" borderId="35" xfId="0" applyFill="1" applyBorder="1"/>
    <xf numFmtId="14" fontId="0" fillId="4" borderId="36" xfId="0" applyNumberFormat="1" applyFill="1" applyBorder="1"/>
    <xf numFmtId="0" fontId="0" fillId="4" borderId="37" xfId="0" applyFill="1" applyBorder="1"/>
    <xf numFmtId="14" fontId="0" fillId="4" borderId="38" xfId="0" applyNumberFormat="1" applyFill="1" applyBorder="1"/>
    <xf numFmtId="0" fontId="0" fillId="3" borderId="39" xfId="0" applyFill="1" applyBorder="1"/>
    <xf numFmtId="14" fontId="0" fillId="3" borderId="40" xfId="0" applyNumberFormat="1" applyFill="1" applyBorder="1"/>
    <xf numFmtId="17" fontId="0" fillId="4" borderId="41" xfId="0" applyNumberFormat="1" applyFill="1" applyBorder="1"/>
    <xf numFmtId="0" fontId="2" fillId="5" borderId="41" xfId="0" applyFont="1" applyFill="1" applyBorder="1"/>
    <xf numFmtId="14" fontId="0" fillId="5" borderId="34" xfId="0" applyNumberFormat="1" applyFill="1" applyBorder="1"/>
    <xf numFmtId="0" fontId="2" fillId="5" borderId="42" xfId="0" applyFont="1" applyFill="1" applyBorder="1"/>
    <xf numFmtId="14" fontId="0" fillId="5" borderId="43" xfId="0" applyNumberFormat="1" applyFill="1" applyBorder="1"/>
    <xf numFmtId="0" fontId="2" fillId="5" borderId="31" xfId="0" applyFont="1" applyFill="1" applyBorder="1"/>
    <xf numFmtId="164" fontId="0" fillId="5" borderId="44" xfId="0" applyNumberFormat="1" applyFill="1" applyBorder="1"/>
    <xf numFmtId="14" fontId="0" fillId="5" borderId="33" xfId="0" applyNumberFormat="1" applyFill="1" applyBorder="1"/>
    <xf numFmtId="0" fontId="2" fillId="5" borderId="37" xfId="0" applyFont="1" applyFill="1" applyBorder="1"/>
    <xf numFmtId="14" fontId="0" fillId="5" borderId="38" xfId="0" applyNumberFormat="1" applyFill="1" applyBorder="1"/>
    <xf numFmtId="0" fontId="2" fillId="6" borderId="24" xfId="0" applyFont="1" applyFill="1" applyBorder="1"/>
    <xf numFmtId="14" fontId="0" fillId="6" borderId="36" xfId="0" applyNumberFormat="1" applyFill="1" applyBorder="1"/>
    <xf numFmtId="0" fontId="0" fillId="4" borderId="42" xfId="0" applyFill="1" applyBorder="1"/>
    <xf numFmtId="164" fontId="0" fillId="4" borderId="12" xfId="0" applyNumberFormat="1" applyFill="1" applyBorder="1"/>
    <xf numFmtId="14" fontId="0" fillId="4" borderId="43" xfId="0" applyNumberFormat="1" applyFill="1" applyBorder="1"/>
    <xf numFmtId="17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0" borderId="48" xfId="0" applyFill="1" applyBorder="1" applyAlignment="1">
      <alignment horizontal="center"/>
    </xf>
    <xf numFmtId="44" fontId="0" fillId="0" borderId="25" xfId="0" applyNumberFormat="1" applyBorder="1"/>
    <xf numFmtId="44" fontId="0" fillId="0" borderId="14" xfId="2" applyFont="1" applyBorder="1"/>
    <xf numFmtId="0" fontId="0" fillId="0" borderId="14" xfId="0" applyFill="1" applyBorder="1"/>
    <xf numFmtId="0" fontId="0" fillId="0" borderId="30" xfId="0" applyBorder="1"/>
    <xf numFmtId="0" fontId="0" fillId="0" borderId="26" xfId="0" applyBorder="1"/>
    <xf numFmtId="0" fontId="0" fillId="0" borderId="3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8" xfId="0" applyBorder="1"/>
    <xf numFmtId="0" fontId="0" fillId="0" borderId="0" xfId="0" applyNumberFormat="1" applyBorder="1"/>
    <xf numFmtId="44" fontId="0" fillId="0" borderId="30" xfId="0" applyNumberFormat="1" applyBorder="1"/>
    <xf numFmtId="0" fontId="0" fillId="0" borderId="37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9" xfId="0" applyBorder="1" applyAlignment="1">
      <alignment horizontal="left"/>
    </xf>
    <xf numFmtId="165" fontId="6" fillId="0" borderId="0" xfId="0" applyNumberFormat="1" applyFont="1" applyBorder="1" applyAlignment="1">
      <alignment horizontal="center"/>
    </xf>
    <xf numFmtId="0" fontId="0" fillId="0" borderId="0" xfId="0" applyNumberFormat="1" applyFill="1" applyBorder="1"/>
    <xf numFmtId="0" fontId="5" fillId="0" borderId="0" xfId="0" applyNumberFormat="1" applyFont="1" applyBorder="1" applyAlignment="1">
      <alignment horizontal="right"/>
    </xf>
    <xf numFmtId="14" fontId="0" fillId="0" borderId="26" xfId="0" applyNumberFormat="1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5" xfId="0" applyBorder="1"/>
    <xf numFmtId="14" fontId="0" fillId="0" borderId="20" xfId="0" applyNumberFormat="1" applyBorder="1"/>
    <xf numFmtId="0" fontId="0" fillId="0" borderId="21" xfId="0" applyBorder="1"/>
    <xf numFmtId="14" fontId="0" fillId="0" borderId="18" xfId="0" applyNumberFormat="1" applyBorder="1"/>
    <xf numFmtId="0" fontId="0" fillId="0" borderId="19" xfId="0" applyBorder="1"/>
    <xf numFmtId="14" fontId="0" fillId="0" borderId="29" xfId="0" applyNumberFormat="1" applyBorder="1"/>
    <xf numFmtId="0" fontId="3" fillId="0" borderId="1" xfId="0" applyFont="1" applyFill="1" applyBorder="1" applyAlignment="1">
      <alignment vertical="center" wrapText="1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44" fontId="0" fillId="0" borderId="1" xfId="2" applyFont="1" applyBorder="1"/>
    <xf numFmtId="0" fontId="0" fillId="0" borderId="26" xfId="0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14" fontId="0" fillId="0" borderId="27" xfId="0" applyNumberFormat="1" applyBorder="1"/>
    <xf numFmtId="0" fontId="0" fillId="4" borderId="21" xfId="0" applyFill="1" applyBorder="1" applyAlignment="1">
      <alignment horizontal="left"/>
    </xf>
    <xf numFmtId="0" fontId="0" fillId="8" borderId="21" xfId="0" applyFill="1" applyBorder="1" applyAlignment="1">
      <alignment horizontal="left"/>
    </xf>
    <xf numFmtId="0" fontId="0" fillId="10" borderId="19" xfId="0" applyFill="1" applyBorder="1" applyAlignment="1">
      <alignment horizontal="left"/>
    </xf>
    <xf numFmtId="0" fontId="0" fillId="10" borderId="21" xfId="0" applyFill="1" applyBorder="1" applyAlignment="1">
      <alignment horizontal="left"/>
    </xf>
    <xf numFmtId="0" fontId="0" fillId="7" borderId="19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8" borderId="25" xfId="0" applyFill="1" applyBorder="1" applyAlignment="1">
      <alignment horizontal="left"/>
    </xf>
    <xf numFmtId="0" fontId="0" fillId="11" borderId="19" xfId="0" applyFill="1" applyBorder="1" applyAlignment="1">
      <alignment horizontal="left"/>
    </xf>
    <xf numFmtId="0" fontId="0" fillId="11" borderId="25" xfId="0" applyFill="1" applyBorder="1" applyAlignment="1">
      <alignment horizontal="left"/>
    </xf>
    <xf numFmtId="0" fontId="0" fillId="11" borderId="21" xfId="0" applyFill="1" applyBorder="1" applyAlignment="1">
      <alignment horizontal="left"/>
    </xf>
    <xf numFmtId="0" fontId="0" fillId="11" borderId="26" xfId="0" applyFill="1" applyBorder="1" applyAlignment="1">
      <alignment horizontal="left"/>
    </xf>
    <xf numFmtId="0" fontId="0" fillId="11" borderId="27" xfId="0" applyFill="1" applyBorder="1" applyAlignment="1">
      <alignment horizontal="left"/>
    </xf>
    <xf numFmtId="44" fontId="0" fillId="11" borderId="27" xfId="0" applyNumberFormat="1" applyFill="1" applyBorder="1" applyAlignment="1">
      <alignment horizontal="left"/>
    </xf>
    <xf numFmtId="14" fontId="0" fillId="11" borderId="27" xfId="0" applyNumberFormat="1" applyFill="1" applyBorder="1" applyAlignment="1">
      <alignment horizontal="left"/>
    </xf>
    <xf numFmtId="0" fontId="0" fillId="11" borderId="28" xfId="0" applyFill="1" applyBorder="1" applyAlignment="1">
      <alignment horizontal="left"/>
    </xf>
    <xf numFmtId="0" fontId="0" fillId="11" borderId="20" xfId="0" applyFill="1" applyBorder="1" applyAlignment="1">
      <alignment horizontal="left"/>
    </xf>
    <xf numFmtId="0" fontId="0" fillId="11" borderId="10" xfId="0" applyFill="1" applyBorder="1" applyAlignment="1">
      <alignment horizontal="left"/>
    </xf>
    <xf numFmtId="44" fontId="0" fillId="11" borderId="10" xfId="0" applyNumberFormat="1" applyFill="1" applyBorder="1" applyAlignment="1">
      <alignment horizontal="left"/>
    </xf>
    <xf numFmtId="14" fontId="0" fillId="11" borderId="10" xfId="0" applyNumberFormat="1" applyFill="1" applyBorder="1" applyAlignment="1">
      <alignment horizontal="left"/>
    </xf>
    <xf numFmtId="0" fontId="0" fillId="11" borderId="18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44" fontId="0" fillId="11" borderId="8" xfId="0" applyNumberFormat="1" applyFill="1" applyBorder="1" applyAlignment="1">
      <alignment horizontal="left"/>
    </xf>
    <xf numFmtId="14" fontId="0" fillId="11" borderId="8" xfId="0" applyNumberFormat="1" applyFill="1" applyBorder="1" applyAlignment="1">
      <alignment horizontal="left"/>
    </xf>
    <xf numFmtId="0" fontId="0" fillId="11" borderId="24" xfId="0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44" fontId="0" fillId="11" borderId="0" xfId="0" applyNumberFormat="1" applyFill="1" applyBorder="1" applyAlignment="1">
      <alignment horizontal="left"/>
    </xf>
    <xf numFmtId="14" fontId="0" fillId="11" borderId="0" xfId="0" applyNumberFormat="1" applyFill="1" applyBorder="1" applyAlignment="1">
      <alignment horizontal="left"/>
    </xf>
    <xf numFmtId="0" fontId="0" fillId="11" borderId="29" xfId="0" applyFill="1" applyBorder="1" applyAlignment="1">
      <alignment horizontal="left"/>
    </xf>
    <xf numFmtId="0" fontId="0" fillId="11" borderId="14" xfId="0" applyFill="1" applyBorder="1" applyAlignment="1">
      <alignment horizontal="left"/>
    </xf>
    <xf numFmtId="44" fontId="0" fillId="11" borderId="14" xfId="0" applyNumberFormat="1" applyFill="1" applyBorder="1" applyAlignment="1">
      <alignment horizontal="left"/>
    </xf>
    <xf numFmtId="14" fontId="0" fillId="11" borderId="14" xfId="0" applyNumberFormat="1" applyFill="1" applyBorder="1" applyAlignment="1">
      <alignment horizontal="left"/>
    </xf>
    <xf numFmtId="0" fontId="0" fillId="11" borderId="30" xfId="0" applyFill="1" applyBorder="1" applyAlignment="1">
      <alignment horizontal="left"/>
    </xf>
    <xf numFmtId="0" fontId="0" fillId="10" borderId="18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44" fontId="0" fillId="10" borderId="8" xfId="0" applyNumberFormat="1" applyFill="1" applyBorder="1" applyAlignment="1">
      <alignment horizontal="left"/>
    </xf>
    <xf numFmtId="14" fontId="0" fillId="10" borderId="8" xfId="0" applyNumberFormat="1" applyFill="1" applyBorder="1" applyAlignment="1">
      <alignment horizontal="left"/>
    </xf>
    <xf numFmtId="0" fontId="0" fillId="10" borderId="20" xfId="0" applyFill="1" applyBorder="1" applyAlignment="1">
      <alignment horizontal="left"/>
    </xf>
    <xf numFmtId="0" fontId="0" fillId="10" borderId="10" xfId="0" applyFill="1" applyBorder="1" applyAlignment="1">
      <alignment horizontal="left"/>
    </xf>
    <xf numFmtId="44" fontId="0" fillId="10" borderId="10" xfId="0" applyNumberFormat="1" applyFill="1" applyBorder="1" applyAlignment="1">
      <alignment horizontal="left"/>
    </xf>
    <xf numFmtId="14" fontId="0" fillId="10" borderId="10" xfId="0" applyNumberFormat="1" applyFill="1" applyBorder="1" applyAlignment="1">
      <alignment horizontal="left"/>
    </xf>
    <xf numFmtId="0" fontId="0" fillId="8" borderId="24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44" fontId="0" fillId="8" borderId="0" xfId="0" applyNumberFormat="1" applyFill="1" applyBorder="1" applyAlignment="1">
      <alignment horizontal="left"/>
    </xf>
    <xf numFmtId="14" fontId="0" fillId="8" borderId="0" xfId="0" applyNumberFormat="1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44" fontId="0" fillId="8" borderId="10" xfId="0" applyNumberFormat="1" applyFill="1" applyBorder="1" applyAlignment="1">
      <alignment horizontal="left"/>
    </xf>
    <xf numFmtId="14" fontId="0" fillId="8" borderId="10" xfId="0" applyNumberFormat="1" applyFill="1" applyBorder="1" applyAlignment="1">
      <alignment horizontal="left"/>
    </xf>
    <xf numFmtId="0" fontId="0" fillId="8" borderId="22" xfId="0" applyFill="1" applyBorder="1" applyAlignment="1">
      <alignment horizontal="left"/>
    </xf>
    <xf numFmtId="0" fontId="0" fillId="8" borderId="7" xfId="0" applyFill="1" applyBorder="1" applyAlignment="1">
      <alignment horizontal="left"/>
    </xf>
    <xf numFmtId="44" fontId="0" fillId="8" borderId="7" xfId="0" applyNumberFormat="1" applyFill="1" applyBorder="1" applyAlignment="1">
      <alignment horizontal="left"/>
    </xf>
    <xf numFmtId="14" fontId="0" fillId="8" borderId="7" xfId="0" applyNumberFormat="1" applyFill="1" applyBorder="1" applyAlignment="1">
      <alignment horizontal="left"/>
    </xf>
    <xf numFmtId="0" fontId="0" fillId="8" borderId="23" xfId="0" applyFill="1" applyBorder="1" applyAlignment="1">
      <alignment horizontal="left"/>
    </xf>
    <xf numFmtId="0" fontId="0" fillId="7" borderId="18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44" fontId="0" fillId="7" borderId="8" xfId="0" applyNumberFormat="1" applyFill="1" applyBorder="1" applyAlignment="1">
      <alignment horizontal="left"/>
    </xf>
    <xf numFmtId="14" fontId="0" fillId="7" borderId="8" xfId="0" applyNumberFormat="1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44" fontId="0" fillId="4" borderId="8" xfId="0" applyNumberFormat="1" applyFill="1" applyBorder="1" applyAlignment="1">
      <alignment horizontal="left"/>
    </xf>
    <xf numFmtId="14" fontId="0" fillId="4" borderId="8" xfId="0" applyNumberFormat="1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44" fontId="0" fillId="4" borderId="0" xfId="0" applyNumberFormat="1" applyFill="1" applyBorder="1" applyAlignment="1">
      <alignment horizontal="left"/>
    </xf>
    <xf numFmtId="14" fontId="0" fillId="4" borderId="0" xfId="0" applyNumberFormat="1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44" fontId="0" fillId="4" borderId="10" xfId="0" applyNumberFormat="1" applyFill="1" applyBorder="1" applyAlignment="1">
      <alignment horizontal="left"/>
    </xf>
    <xf numFmtId="14" fontId="0" fillId="4" borderId="10" xfId="0" applyNumberFormat="1" applyFill="1" applyBorder="1" applyAlignment="1">
      <alignment horizontal="left"/>
    </xf>
    <xf numFmtId="0" fontId="0" fillId="0" borderId="31" xfId="0" applyFill="1" applyBorder="1" applyAlignment="1">
      <alignment horizontal="center"/>
    </xf>
    <xf numFmtId="165" fontId="4" fillId="0" borderId="34" xfId="0" applyNumberFormat="1" applyFont="1" applyBorder="1" applyAlignment="1">
      <alignment horizontal="center"/>
    </xf>
    <xf numFmtId="165" fontId="0" fillId="0" borderId="34" xfId="0" applyNumberFormat="1" applyBorder="1" applyAlignment="1">
      <alignment horizontal="center"/>
    </xf>
    <xf numFmtId="165" fontId="6" fillId="0" borderId="38" xfId="0" applyNumberFormat="1" applyFont="1" applyBorder="1" applyAlignment="1">
      <alignment horizontal="center"/>
    </xf>
    <xf numFmtId="165" fontId="0" fillId="0" borderId="34" xfId="2" applyNumberFormat="1" applyFont="1" applyBorder="1" applyAlignment="1">
      <alignment horizontal="center"/>
    </xf>
    <xf numFmtId="165" fontId="6" fillId="0" borderId="43" xfId="0" applyNumberFormat="1" applyFont="1" applyBorder="1" applyAlignment="1">
      <alignment horizontal="center"/>
    </xf>
    <xf numFmtId="2" fontId="0" fillId="2" borderId="1" xfId="0" applyNumberFormat="1" applyFill="1" applyBorder="1"/>
    <xf numFmtId="0" fontId="0" fillId="0" borderId="30" xfId="0" applyFill="1" applyBorder="1"/>
    <xf numFmtId="0" fontId="0" fillId="0" borderId="2" xfId="0" applyBorder="1"/>
    <xf numFmtId="0" fontId="0" fillId="3" borderId="45" xfId="0" applyFill="1" applyBorder="1"/>
    <xf numFmtId="164" fontId="0" fillId="3" borderId="47" xfId="0" applyNumberFormat="1" applyFill="1" applyBorder="1"/>
    <xf numFmtId="14" fontId="0" fillId="3" borderId="48" xfId="0" applyNumberFormat="1" applyFill="1" applyBorder="1"/>
    <xf numFmtId="0" fontId="0" fillId="4" borderId="41" xfId="0" applyFill="1" applyBorder="1"/>
    <xf numFmtId="14" fontId="0" fillId="4" borderId="19" xfId="0" applyNumberFormat="1" applyFill="1" applyBorder="1"/>
    <xf numFmtId="14" fontId="0" fillId="3" borderId="25" xfId="0" applyNumberFormat="1" applyFill="1" applyBorder="1"/>
    <xf numFmtId="0" fontId="0" fillId="3" borderId="37" xfId="0" applyFill="1" applyBorder="1"/>
    <xf numFmtId="14" fontId="0" fillId="3" borderId="21" xfId="0" applyNumberFormat="1" applyFill="1" applyBorder="1"/>
    <xf numFmtId="0" fontId="0" fillId="3" borderId="41" xfId="0" applyFill="1" applyBorder="1"/>
    <xf numFmtId="14" fontId="0" fillId="3" borderId="19" xfId="0" applyNumberFormat="1" applyFill="1" applyBorder="1"/>
    <xf numFmtId="164" fontId="0" fillId="4" borderId="24" xfId="0" applyNumberFormat="1" applyFill="1" applyBorder="1"/>
    <xf numFmtId="14" fontId="0" fillId="4" borderId="25" xfId="0" applyNumberFormat="1" applyFill="1" applyBorder="1"/>
    <xf numFmtId="0" fontId="0" fillId="6" borderId="42" xfId="0" applyFill="1" applyBorder="1"/>
    <xf numFmtId="14" fontId="0" fillId="6" borderId="43" xfId="0" applyNumberFormat="1" applyFill="1" applyBorder="1"/>
    <xf numFmtId="44" fontId="0" fillId="0" borderId="27" xfId="2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44" fontId="0" fillId="0" borderId="10" xfId="2" applyFont="1" applyFill="1" applyBorder="1" applyAlignment="1">
      <alignment horizontal="left"/>
    </xf>
    <xf numFmtId="14" fontId="0" fillId="0" borderId="10" xfId="0" applyNumberFormat="1" applyBorder="1"/>
    <xf numFmtId="0" fontId="0" fillId="0" borderId="20" xfId="0" applyFill="1" applyBorder="1" applyAlignment="1">
      <alignment horizontal="left"/>
    </xf>
    <xf numFmtId="0" fontId="0" fillId="0" borderId="21" xfId="0" applyBorder="1" applyAlignment="1">
      <alignment horizontal="left"/>
    </xf>
    <xf numFmtId="166" fontId="0" fillId="0" borderId="0" xfId="1" applyNumberFormat="1" applyFont="1"/>
    <xf numFmtId="0" fontId="0" fillId="7" borderId="22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44" fontId="0" fillId="7" borderId="7" xfId="0" applyNumberFormat="1" applyFill="1" applyBorder="1" applyAlignment="1">
      <alignment horizontal="left"/>
    </xf>
    <xf numFmtId="14" fontId="0" fillId="7" borderId="7" xfId="0" applyNumberFormat="1" applyFill="1" applyBorder="1" applyAlignment="1">
      <alignment horizontal="left"/>
    </xf>
    <xf numFmtId="0" fontId="0" fillId="7" borderId="23" xfId="0" applyFill="1" applyBorder="1" applyAlignment="1">
      <alignment horizontal="left"/>
    </xf>
    <xf numFmtId="0" fontId="0" fillId="4" borderId="22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44" fontId="0" fillId="4" borderId="7" xfId="0" applyNumberFormat="1" applyFill="1" applyBorder="1" applyAlignment="1">
      <alignment horizontal="left"/>
    </xf>
    <xf numFmtId="14" fontId="0" fillId="4" borderId="7" xfId="0" applyNumberFormat="1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44" fontId="0" fillId="2" borderId="7" xfId="0" applyNumberFormat="1" applyFill="1" applyBorder="1" applyAlignment="1">
      <alignment horizontal="left"/>
    </xf>
    <xf numFmtId="14" fontId="0" fillId="2" borderId="7" xfId="0" applyNumberForma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2" xfId="0" applyFill="1" applyBorder="1"/>
    <xf numFmtId="44" fontId="0" fillId="2" borderId="7" xfId="2" applyFont="1" applyFill="1" applyBorder="1"/>
    <xf numFmtId="14" fontId="0" fillId="2" borderId="7" xfId="0" applyNumberFormat="1" applyFill="1" applyBorder="1"/>
    <xf numFmtId="2" fontId="0" fillId="0" borderId="0" xfId="0" applyNumberFormat="1" applyBorder="1"/>
    <xf numFmtId="2" fontId="0" fillId="0" borderId="0" xfId="2" applyNumberFormat="1" applyFont="1" applyBorder="1"/>
    <xf numFmtId="0" fontId="0" fillId="9" borderId="20" xfId="0" applyFill="1" applyBorder="1" applyAlignment="1">
      <alignment horizontal="left"/>
    </xf>
    <xf numFmtId="0" fontId="0" fillId="9" borderId="10" xfId="0" applyFill="1" applyBorder="1" applyAlignment="1">
      <alignment horizontal="left"/>
    </xf>
    <xf numFmtId="44" fontId="0" fillId="9" borderId="10" xfId="0" applyNumberFormat="1" applyFill="1" applyBorder="1" applyAlignment="1">
      <alignment horizontal="left"/>
    </xf>
    <xf numFmtId="14" fontId="0" fillId="9" borderId="10" xfId="0" applyNumberFormat="1" applyFill="1" applyBorder="1" applyAlignment="1">
      <alignment horizontal="left"/>
    </xf>
    <xf numFmtId="0" fontId="0" fillId="9" borderId="21" xfId="0" applyFill="1" applyBorder="1" applyAlignment="1">
      <alignment horizontal="left"/>
    </xf>
    <xf numFmtId="0" fontId="0" fillId="9" borderId="18" xfId="0" applyFill="1" applyBorder="1" applyAlignment="1">
      <alignment horizontal="left"/>
    </xf>
    <xf numFmtId="0" fontId="0" fillId="11" borderId="15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44" fontId="0" fillId="9" borderId="8" xfId="0" applyNumberFormat="1" applyFill="1" applyBorder="1" applyAlignment="1">
      <alignment horizontal="left"/>
    </xf>
    <xf numFmtId="44" fontId="0" fillId="11" borderId="16" xfId="0" applyNumberFormat="1" applyFill="1" applyBorder="1" applyAlignment="1">
      <alignment horizontal="left"/>
    </xf>
    <xf numFmtId="14" fontId="0" fillId="9" borderId="8" xfId="0" applyNumberFormat="1" applyFill="1" applyBorder="1" applyAlignment="1">
      <alignment horizontal="left"/>
    </xf>
    <xf numFmtId="14" fontId="0" fillId="11" borderId="16" xfId="0" applyNumberFormat="1" applyFill="1" applyBorder="1" applyAlignment="1">
      <alignment horizontal="left"/>
    </xf>
    <xf numFmtId="0" fontId="0" fillId="9" borderId="19" xfId="0" applyFill="1" applyBorder="1" applyAlignment="1">
      <alignment horizontal="left"/>
    </xf>
    <xf numFmtId="0" fontId="0" fillId="11" borderId="17" xfId="0" applyFill="1" applyBorder="1" applyAlignment="1">
      <alignment horizontal="left"/>
    </xf>
    <xf numFmtId="0" fontId="0" fillId="0" borderId="14" xfId="0" applyNumberFormat="1" applyBorder="1"/>
    <xf numFmtId="0" fontId="0" fillId="0" borderId="47" xfId="0" applyNumberFormat="1" applyBorder="1" applyAlignment="1">
      <alignment horizontal="center"/>
    </xf>
    <xf numFmtId="0" fontId="0" fillId="12" borderId="18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44" fontId="0" fillId="12" borderId="8" xfId="0" applyNumberFormat="1" applyFill="1" applyBorder="1" applyAlignment="1">
      <alignment horizontal="left"/>
    </xf>
    <xf numFmtId="14" fontId="0" fillId="12" borderId="8" xfId="0" applyNumberFormat="1" applyFill="1" applyBorder="1" applyAlignment="1">
      <alignment horizontal="left"/>
    </xf>
    <xf numFmtId="0" fontId="0" fillId="12" borderId="19" xfId="0" applyFill="1" applyBorder="1" applyAlignment="1">
      <alignment horizontal="left"/>
    </xf>
    <xf numFmtId="0" fontId="0" fillId="7" borderId="24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44" fontId="0" fillId="7" borderId="0" xfId="0" applyNumberFormat="1" applyFill="1" applyBorder="1" applyAlignment="1">
      <alignment horizontal="left"/>
    </xf>
    <xf numFmtId="14" fontId="0" fillId="7" borderId="0" xfId="0" applyNumberFormat="1" applyFill="1" applyBorder="1" applyAlignment="1">
      <alignment horizontal="left"/>
    </xf>
    <xf numFmtId="0" fontId="0" fillId="7" borderId="25" xfId="0" applyFill="1" applyBorder="1" applyAlignment="1">
      <alignment horizontal="left"/>
    </xf>
    <xf numFmtId="0" fontId="0" fillId="12" borderId="53" xfId="0" applyFill="1" applyBorder="1" applyAlignment="1">
      <alignment horizontal="left"/>
    </xf>
    <xf numFmtId="0" fontId="0" fillId="12" borderId="54" xfId="0" applyFill="1" applyBorder="1" applyAlignment="1">
      <alignment horizontal="left"/>
    </xf>
    <xf numFmtId="44" fontId="0" fillId="12" borderId="54" xfId="0" applyNumberFormat="1" applyFill="1" applyBorder="1" applyAlignment="1">
      <alignment horizontal="left"/>
    </xf>
    <xf numFmtId="14" fontId="0" fillId="12" borderId="54" xfId="0" applyNumberFormat="1" applyFill="1" applyBorder="1" applyAlignment="1">
      <alignment horizontal="left"/>
    </xf>
    <xf numFmtId="0" fontId="0" fillId="12" borderId="55" xfId="0" applyFill="1" applyBorder="1" applyAlignment="1">
      <alignment horizontal="left"/>
    </xf>
    <xf numFmtId="1" fontId="0" fillId="0" borderId="0" xfId="2" applyNumberFormat="1" applyFont="1" applyBorder="1"/>
    <xf numFmtId="0" fontId="4" fillId="0" borderId="22" xfId="0" applyFont="1" applyBorder="1"/>
    <xf numFmtId="0" fontId="0" fillId="0" borderId="22" xfId="0" applyBorder="1"/>
    <xf numFmtId="0" fontId="4" fillId="0" borderId="53" xfId="0" applyFont="1" applyFill="1" applyBorder="1"/>
    <xf numFmtId="0" fontId="0" fillId="0" borderId="6" xfId="0" applyBorder="1"/>
    <xf numFmtId="165" fontId="4" fillId="0" borderId="11" xfId="0" applyNumberFormat="1" applyFont="1" applyBorder="1" applyAlignment="1">
      <alignment horizontal="center"/>
    </xf>
    <xf numFmtId="44" fontId="0" fillId="0" borderId="56" xfId="0" applyNumberFormat="1" applyBorder="1"/>
    <xf numFmtId="165" fontId="6" fillId="0" borderId="11" xfId="0" applyNumberFormat="1" applyFont="1" applyBorder="1" applyAlignment="1">
      <alignment horizontal="center"/>
    </xf>
    <xf numFmtId="165" fontId="6" fillId="0" borderId="13" xfId="0" applyNumberFormat="1" applyFont="1" applyBorder="1" applyAlignment="1">
      <alignment horizontal="center"/>
    </xf>
    <xf numFmtId="0" fontId="0" fillId="0" borderId="45" xfId="0" applyBorder="1"/>
    <xf numFmtId="165" fontId="4" fillId="0" borderId="22" xfId="0" applyNumberFormat="1" applyFon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6" fillId="0" borderId="20" xfId="0" applyNumberFormat="1" applyFont="1" applyBorder="1" applyAlignment="1">
      <alignment horizontal="center"/>
    </xf>
    <xf numFmtId="165" fontId="7" fillId="0" borderId="29" xfId="0" applyNumberFormat="1" applyFont="1" applyBorder="1" applyAlignment="1">
      <alignment horizontal="center"/>
    </xf>
    <xf numFmtId="0" fontId="2" fillId="5" borderId="35" xfId="0" applyFont="1" applyFill="1" applyBorder="1"/>
    <xf numFmtId="14" fontId="0" fillId="5" borderId="36" xfId="0" applyNumberFormat="1" applyFill="1" applyBorder="1"/>
    <xf numFmtId="14" fontId="0" fillId="0" borderId="0" xfId="0" applyNumberFormat="1"/>
    <xf numFmtId="0" fontId="0" fillId="0" borderId="25" xfId="0" applyFill="1" applyBorder="1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Денежный" xfId="2" builtinId="4"/>
    <cellStyle name="Обычный" xfId="0" builtinId="0"/>
    <cellStyle name="Процентный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9A4E4"/>
      <color rgb="FFFC8E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Y40"/>
  <sheetViews>
    <sheetView tabSelected="1" topLeftCell="C12" zoomScale="85" zoomScaleNormal="85" workbookViewId="0">
      <selection activeCell="S15" sqref="S15"/>
    </sheetView>
  </sheetViews>
  <sheetFormatPr defaultRowHeight="14.5" x14ac:dyDescent="0.35"/>
  <cols>
    <col min="5" max="5" width="14.54296875" customWidth="1"/>
    <col min="6" max="6" width="33.1796875" bestFit="1" customWidth="1"/>
    <col min="8" max="13" width="6.26953125" customWidth="1"/>
    <col min="14" max="17" width="6.26953125" hidden="1" customWidth="1"/>
    <col min="18" max="21" width="6.26953125" customWidth="1"/>
    <col min="22" max="23" width="5.7265625" hidden="1" customWidth="1"/>
    <col min="24" max="24" width="6.1796875" customWidth="1"/>
    <col min="25" max="25" width="6.90625" customWidth="1"/>
  </cols>
  <sheetData>
    <row r="3" spans="5:25" ht="30.75" customHeight="1" x14ac:dyDescent="0.35"/>
    <row r="4" spans="5:25" ht="15" customHeight="1" x14ac:dyDescent="0.35">
      <c r="E4" s="303" t="s">
        <v>23</v>
      </c>
      <c r="F4" s="303" t="s">
        <v>24</v>
      </c>
      <c r="G4" s="300" t="s">
        <v>35</v>
      </c>
      <c r="H4" s="299" t="s">
        <v>25</v>
      </c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299"/>
      <c r="U4" s="299"/>
      <c r="V4" s="309"/>
      <c r="W4" s="309"/>
    </row>
    <row r="5" spans="5:25" ht="30" customHeight="1" x14ac:dyDescent="0.35">
      <c r="E5" s="304"/>
      <c r="F5" s="304"/>
      <c r="G5" s="301"/>
      <c r="H5" s="297" t="s">
        <v>26</v>
      </c>
      <c r="I5" s="298"/>
      <c r="J5" s="297" t="s">
        <v>27</v>
      </c>
      <c r="K5" s="298"/>
      <c r="L5" s="297" t="s">
        <v>28</v>
      </c>
      <c r="M5" s="298"/>
      <c r="N5" s="297" t="s">
        <v>29</v>
      </c>
      <c r="O5" s="298"/>
      <c r="P5" s="297" t="s">
        <v>30</v>
      </c>
      <c r="Q5" s="298"/>
      <c r="R5" s="297" t="s">
        <v>31</v>
      </c>
      <c r="S5" s="298"/>
      <c r="T5" s="297" t="s">
        <v>32</v>
      </c>
      <c r="U5" s="298"/>
      <c r="V5" s="310" t="s">
        <v>40</v>
      </c>
      <c r="W5" s="311"/>
      <c r="X5" s="297" t="s">
        <v>122</v>
      </c>
      <c r="Y5" s="298"/>
    </row>
    <row r="6" spans="5:25" ht="43.5" x14ac:dyDescent="0.35">
      <c r="E6" s="305"/>
      <c r="F6" s="305"/>
      <c r="G6" s="302"/>
      <c r="H6" s="3" t="s">
        <v>33</v>
      </c>
      <c r="I6" s="5" t="s">
        <v>34</v>
      </c>
      <c r="J6" s="3" t="s">
        <v>33</v>
      </c>
      <c r="K6" s="5" t="s">
        <v>34</v>
      </c>
      <c r="L6" s="3" t="s">
        <v>33</v>
      </c>
      <c r="M6" s="5" t="s">
        <v>34</v>
      </c>
      <c r="N6" s="3" t="s">
        <v>33</v>
      </c>
      <c r="O6" s="5" t="s">
        <v>34</v>
      </c>
      <c r="P6" s="3" t="s">
        <v>33</v>
      </c>
      <c r="Q6" s="5" t="s">
        <v>34</v>
      </c>
      <c r="R6" s="3" t="s">
        <v>33</v>
      </c>
      <c r="S6" s="5" t="s">
        <v>34</v>
      </c>
      <c r="T6" s="3" t="s">
        <v>33</v>
      </c>
      <c r="U6" s="5" t="s">
        <v>34</v>
      </c>
      <c r="V6" s="3" t="s">
        <v>33</v>
      </c>
      <c r="W6" s="5" t="s">
        <v>34</v>
      </c>
      <c r="X6" s="3" t="s">
        <v>33</v>
      </c>
      <c r="Y6" s="5" t="s">
        <v>34</v>
      </c>
    </row>
    <row r="7" spans="5:25" x14ac:dyDescent="0.35">
      <c r="E7" s="303" t="s">
        <v>0</v>
      </c>
      <c r="F7" s="1" t="s">
        <v>2</v>
      </c>
      <c r="G7" s="1">
        <v>55</v>
      </c>
      <c r="H7" s="1">
        <v>10</v>
      </c>
      <c r="I7" s="6">
        <f>$G7*H7</f>
        <v>550</v>
      </c>
      <c r="J7" s="1">
        <v>10</v>
      </c>
      <c r="K7" s="6">
        <f>$G7*J7</f>
        <v>550</v>
      </c>
      <c r="L7" s="1">
        <v>10</v>
      </c>
      <c r="M7" s="6">
        <f>$G7*L7</f>
        <v>550</v>
      </c>
      <c r="N7" s="1">
        <v>10</v>
      </c>
      <c r="O7" s="6">
        <f>G7*N7</f>
        <v>550</v>
      </c>
      <c r="P7" s="1">
        <v>10</v>
      </c>
      <c r="Q7" s="6">
        <f>G7*P7</f>
        <v>550</v>
      </c>
      <c r="R7" s="1">
        <v>10</v>
      </c>
      <c r="S7" s="6">
        <f>$G7*R7</f>
        <v>550</v>
      </c>
      <c r="T7" s="1">
        <v>10</v>
      </c>
      <c r="U7" s="6">
        <f>$G7*T7</f>
        <v>550</v>
      </c>
      <c r="V7" s="1"/>
      <c r="W7" s="1">
        <f>I7*V7</f>
        <v>0</v>
      </c>
      <c r="X7" s="1">
        <v>10</v>
      </c>
      <c r="Y7" s="6">
        <f>$G7*X7</f>
        <v>550</v>
      </c>
    </row>
    <row r="8" spans="5:25" x14ac:dyDescent="0.35">
      <c r="E8" s="304"/>
      <c r="F8" s="1" t="s">
        <v>3</v>
      </c>
      <c r="G8" s="1">
        <f>Ингредиенты!B2/Ингредиенты!C2</f>
        <v>6.6265833333333326</v>
      </c>
      <c r="H8" s="1">
        <v>2.5</v>
      </c>
      <c r="I8" s="6">
        <f t="shared" ref="I8:I23" si="0">$G8*H8</f>
        <v>16.56645833333333</v>
      </c>
      <c r="J8" s="1">
        <v>2.5</v>
      </c>
      <c r="K8" s="6">
        <f>$G8*J8</f>
        <v>16.56645833333333</v>
      </c>
      <c r="L8" s="1">
        <v>2.5</v>
      </c>
      <c r="M8" s="6">
        <f t="shared" ref="M8:M17" si="1">$G8*L8</f>
        <v>16.56645833333333</v>
      </c>
      <c r="N8" s="1">
        <v>2.5</v>
      </c>
      <c r="O8" s="6">
        <f t="shared" ref="O8:O30" si="2">G8*N8</f>
        <v>16.56645833333333</v>
      </c>
      <c r="P8" s="1">
        <v>0</v>
      </c>
      <c r="Q8" s="6">
        <f t="shared" ref="Q8:Q30" si="3">G8*P8</f>
        <v>0</v>
      </c>
      <c r="R8" s="1">
        <v>0.1</v>
      </c>
      <c r="S8" s="6">
        <f t="shared" ref="S8:S23" si="4">$G8*R8</f>
        <v>0.66265833333333335</v>
      </c>
      <c r="T8" s="1">
        <v>2.5</v>
      </c>
      <c r="U8" s="6">
        <f t="shared" ref="U8:U23" si="5">$G8*T8</f>
        <v>16.56645833333333</v>
      </c>
      <c r="V8" s="1"/>
      <c r="W8" s="1">
        <f t="shared" ref="W8:W30" si="6">I8*V8</f>
        <v>0</v>
      </c>
      <c r="X8" s="1">
        <v>2.5</v>
      </c>
      <c r="Y8" s="203">
        <f t="shared" ref="Y8:Y30" si="7">$G8*X8</f>
        <v>16.56645833333333</v>
      </c>
    </row>
    <row r="9" spans="5:25" x14ac:dyDescent="0.35">
      <c r="E9" s="304"/>
      <c r="F9" s="1" t="s">
        <v>88</v>
      </c>
      <c r="G9" s="1">
        <f>Ингредиенты!B3/Ингредиенты!C3</f>
        <v>121.99451754385966</v>
      </c>
      <c r="H9" s="1">
        <v>0</v>
      </c>
      <c r="I9" s="6">
        <f t="shared" si="0"/>
        <v>0</v>
      </c>
      <c r="J9" s="1">
        <v>0</v>
      </c>
      <c r="K9" s="6">
        <f t="shared" ref="K9:K23" si="8">$G9*J9</f>
        <v>0</v>
      </c>
      <c r="L9" s="1">
        <v>0.8</v>
      </c>
      <c r="M9" s="6">
        <f t="shared" si="1"/>
        <v>97.595614035087735</v>
      </c>
      <c r="N9" s="1">
        <v>0</v>
      </c>
      <c r="O9" s="6">
        <f t="shared" ref="O9" si="9">G9*N9</f>
        <v>0</v>
      </c>
      <c r="P9" s="1">
        <v>0</v>
      </c>
      <c r="Q9" s="6">
        <f t="shared" ref="Q9" si="10">G9*P9</f>
        <v>0</v>
      </c>
      <c r="R9" s="1">
        <v>0</v>
      </c>
      <c r="S9" s="6">
        <f t="shared" si="4"/>
        <v>0</v>
      </c>
      <c r="T9" s="1">
        <v>0</v>
      </c>
      <c r="U9" s="6">
        <f t="shared" si="5"/>
        <v>0</v>
      </c>
      <c r="V9" s="1"/>
      <c r="W9" s="1">
        <f t="shared" ref="W9" si="11">I9*V9</f>
        <v>0</v>
      </c>
      <c r="X9" s="1">
        <v>0</v>
      </c>
      <c r="Y9" s="6">
        <f t="shared" si="7"/>
        <v>0</v>
      </c>
    </row>
    <row r="10" spans="5:25" x14ac:dyDescent="0.35">
      <c r="E10" s="304"/>
      <c r="F10" s="1" t="s">
        <v>89</v>
      </c>
      <c r="G10" s="1">
        <f>Ингредиенты!B4/Ингредиенты!C4</f>
        <v>108.20270270270271</v>
      </c>
      <c r="H10" s="1">
        <v>0</v>
      </c>
      <c r="I10" s="6">
        <f t="shared" si="0"/>
        <v>0</v>
      </c>
      <c r="J10" s="1">
        <v>0</v>
      </c>
      <c r="K10" s="6">
        <f t="shared" si="8"/>
        <v>0</v>
      </c>
      <c r="L10" s="1">
        <v>0</v>
      </c>
      <c r="M10" s="6">
        <f t="shared" si="1"/>
        <v>0</v>
      </c>
      <c r="N10" s="1">
        <v>1</v>
      </c>
      <c r="O10" s="6">
        <f t="shared" ref="O10:O11" si="12">G10*N10</f>
        <v>108.20270270270271</v>
      </c>
      <c r="P10" s="1">
        <v>1</v>
      </c>
      <c r="Q10" s="6">
        <f t="shared" ref="Q10:Q11" si="13">G10*P10</f>
        <v>108.20270270270271</v>
      </c>
      <c r="R10" s="1">
        <v>0.2</v>
      </c>
      <c r="S10" s="6">
        <f t="shared" si="4"/>
        <v>21.640540540540542</v>
      </c>
      <c r="T10" s="1">
        <v>0</v>
      </c>
      <c r="U10" s="6">
        <f t="shared" si="5"/>
        <v>0</v>
      </c>
      <c r="V10" s="1"/>
      <c r="W10" s="1"/>
      <c r="X10" s="1">
        <v>0</v>
      </c>
      <c r="Y10" s="6">
        <f t="shared" si="7"/>
        <v>0</v>
      </c>
    </row>
    <row r="11" spans="5:25" x14ac:dyDescent="0.35">
      <c r="E11" s="304"/>
      <c r="F11" s="1" t="s">
        <v>90</v>
      </c>
      <c r="G11" s="1">
        <f>Ингредиенты!B5/Ингредиенты!C5</f>
        <v>120.98863636363636</v>
      </c>
      <c r="H11" s="1">
        <v>0</v>
      </c>
      <c r="I11" s="6">
        <f t="shared" si="0"/>
        <v>0</v>
      </c>
      <c r="J11" s="1">
        <v>0.25</v>
      </c>
      <c r="K11" s="6">
        <f t="shared" si="8"/>
        <v>30.24715909090909</v>
      </c>
      <c r="L11" s="1">
        <v>0</v>
      </c>
      <c r="M11" s="6">
        <f t="shared" si="1"/>
        <v>0</v>
      </c>
      <c r="N11" s="1">
        <v>2</v>
      </c>
      <c r="O11" s="6">
        <f t="shared" si="12"/>
        <v>241.97727272727272</v>
      </c>
      <c r="P11" s="1">
        <v>2</v>
      </c>
      <c r="Q11" s="6">
        <f t="shared" si="13"/>
        <v>241.97727272727272</v>
      </c>
      <c r="R11" s="1">
        <v>0</v>
      </c>
      <c r="S11" s="6">
        <f t="shared" si="4"/>
        <v>0</v>
      </c>
      <c r="T11" s="1">
        <v>0</v>
      </c>
      <c r="U11" s="6">
        <f t="shared" si="5"/>
        <v>0</v>
      </c>
      <c r="V11" s="1"/>
      <c r="W11" s="1"/>
      <c r="X11" s="1">
        <v>0.17499999999999999</v>
      </c>
      <c r="Y11" s="203">
        <f t="shared" si="7"/>
        <v>21.173011363636363</v>
      </c>
    </row>
    <row r="12" spans="5:25" x14ac:dyDescent="0.35">
      <c r="E12" s="304"/>
      <c r="F12" t="s">
        <v>94</v>
      </c>
      <c r="G12" s="1">
        <f>Ингредиенты!B6/Ингредиенты!C6</f>
        <v>178.33333333333334</v>
      </c>
      <c r="H12" s="1">
        <v>0</v>
      </c>
      <c r="I12" s="6">
        <f t="shared" si="0"/>
        <v>0</v>
      </c>
      <c r="J12" s="1">
        <v>0</v>
      </c>
      <c r="K12" s="6">
        <f t="shared" si="8"/>
        <v>0</v>
      </c>
      <c r="L12" s="1"/>
      <c r="M12" s="6">
        <f t="shared" si="1"/>
        <v>0</v>
      </c>
      <c r="N12" s="1"/>
      <c r="O12" s="6"/>
      <c r="P12" s="1"/>
      <c r="Q12" s="6"/>
      <c r="R12" s="1"/>
      <c r="S12" s="6">
        <f t="shared" si="4"/>
        <v>0</v>
      </c>
      <c r="T12" s="1">
        <v>0.1</v>
      </c>
      <c r="U12" s="6">
        <f t="shared" si="5"/>
        <v>17.833333333333336</v>
      </c>
      <c r="V12" s="1"/>
      <c r="W12" s="1"/>
      <c r="X12" s="1">
        <v>0</v>
      </c>
      <c r="Y12" s="6">
        <f t="shared" si="7"/>
        <v>0</v>
      </c>
    </row>
    <row r="13" spans="5:25" ht="16" customHeight="1" x14ac:dyDescent="0.35">
      <c r="E13" s="304"/>
      <c r="F13" s="1" t="s">
        <v>4</v>
      </c>
      <c r="G13" s="1">
        <f>Ингредиенты!B7/Ингредиенты!C7</f>
        <v>2.9969999999999999</v>
      </c>
      <c r="H13" s="1">
        <v>0</v>
      </c>
      <c r="I13" s="6">
        <f t="shared" si="0"/>
        <v>0</v>
      </c>
      <c r="J13" s="1">
        <f>1.25/100</f>
        <v>1.2500000000000001E-2</v>
      </c>
      <c r="K13" s="6">
        <f t="shared" si="8"/>
        <v>3.7462500000000003E-2</v>
      </c>
      <c r="L13" s="1">
        <f>1.25/100</f>
        <v>1.2500000000000001E-2</v>
      </c>
      <c r="M13" s="6">
        <f t="shared" si="1"/>
        <v>3.7462500000000003E-2</v>
      </c>
      <c r="N13" s="1">
        <f>2.5/100</f>
        <v>2.5000000000000001E-2</v>
      </c>
      <c r="O13" s="6">
        <f t="shared" si="2"/>
        <v>7.4925000000000005E-2</v>
      </c>
      <c r="P13" s="1">
        <v>0</v>
      </c>
      <c r="Q13" s="6">
        <f t="shared" si="3"/>
        <v>0</v>
      </c>
      <c r="R13" s="1">
        <f>10/100</f>
        <v>0.1</v>
      </c>
      <c r="S13" s="6">
        <f t="shared" si="4"/>
        <v>0.29970000000000002</v>
      </c>
      <c r="T13" s="1">
        <f>2.5/100</f>
        <v>2.5000000000000001E-2</v>
      </c>
      <c r="U13" s="6">
        <f t="shared" si="5"/>
        <v>7.4925000000000005E-2</v>
      </c>
      <c r="V13" s="1"/>
      <c r="W13" s="1">
        <f t="shared" si="6"/>
        <v>0</v>
      </c>
      <c r="X13" s="1">
        <f>1.25/100</f>
        <v>1.2500000000000001E-2</v>
      </c>
      <c r="Y13" s="203">
        <f t="shared" si="7"/>
        <v>3.7462500000000003E-2</v>
      </c>
    </row>
    <row r="14" spans="5:25" x14ac:dyDescent="0.35">
      <c r="E14" s="304"/>
      <c r="F14" s="1" t="s">
        <v>5</v>
      </c>
      <c r="G14" s="1">
        <f>Ингредиенты!B8/Ингредиенты!C8</f>
        <v>9.3019230769230781</v>
      </c>
      <c r="H14" s="1"/>
      <c r="I14" s="6">
        <f t="shared" si="0"/>
        <v>0</v>
      </c>
      <c r="J14" s="1">
        <v>0.1</v>
      </c>
      <c r="K14" s="6">
        <f t="shared" si="8"/>
        <v>0.93019230769230787</v>
      </c>
      <c r="L14" s="1"/>
      <c r="M14" s="6">
        <f t="shared" si="1"/>
        <v>0</v>
      </c>
      <c r="N14" s="1"/>
      <c r="O14" s="6">
        <f t="shared" si="2"/>
        <v>0</v>
      </c>
      <c r="P14" s="1"/>
      <c r="Q14" s="6">
        <f t="shared" si="3"/>
        <v>0</v>
      </c>
      <c r="R14" s="1"/>
      <c r="S14" s="6">
        <f t="shared" si="4"/>
        <v>0</v>
      </c>
      <c r="T14" s="1">
        <v>0.1</v>
      </c>
      <c r="U14" s="6">
        <f t="shared" si="5"/>
        <v>0.93019230769230787</v>
      </c>
      <c r="V14" s="1"/>
      <c r="W14" s="1">
        <f t="shared" si="6"/>
        <v>0</v>
      </c>
      <c r="X14" s="1">
        <v>0.1</v>
      </c>
      <c r="Y14" s="203">
        <f t="shared" si="7"/>
        <v>0.93019230769230787</v>
      </c>
    </row>
    <row r="15" spans="5:25" x14ac:dyDescent="0.35">
      <c r="E15" s="304"/>
      <c r="F15" s="1" t="s">
        <v>13</v>
      </c>
      <c r="G15" s="1"/>
      <c r="H15" s="1"/>
      <c r="I15" s="6">
        <f t="shared" si="0"/>
        <v>0</v>
      </c>
      <c r="J15" s="1">
        <v>0</v>
      </c>
      <c r="K15" s="6">
        <f t="shared" si="8"/>
        <v>0</v>
      </c>
      <c r="L15" s="1"/>
      <c r="M15" s="6">
        <f t="shared" si="1"/>
        <v>0</v>
      </c>
      <c r="N15" s="1"/>
      <c r="O15" s="6">
        <f t="shared" si="2"/>
        <v>0</v>
      </c>
      <c r="P15" s="1"/>
      <c r="Q15" s="6">
        <f t="shared" si="3"/>
        <v>0</v>
      </c>
      <c r="R15" s="1"/>
      <c r="S15" s="6">
        <v>70</v>
      </c>
      <c r="T15" s="1"/>
      <c r="U15" s="6">
        <f t="shared" si="5"/>
        <v>0</v>
      </c>
      <c r="V15" s="1"/>
      <c r="W15" s="1">
        <f t="shared" si="6"/>
        <v>0</v>
      </c>
      <c r="X15" s="1">
        <v>0</v>
      </c>
      <c r="Y15" s="6">
        <f t="shared" si="7"/>
        <v>0</v>
      </c>
    </row>
    <row r="16" spans="5:25" x14ac:dyDescent="0.35">
      <c r="E16" s="304"/>
      <c r="F16" s="1" t="s">
        <v>14</v>
      </c>
      <c r="G16" s="1">
        <v>30</v>
      </c>
      <c r="H16" s="1">
        <f>0.05</f>
        <v>0.05</v>
      </c>
      <c r="I16" s="6">
        <f t="shared" si="0"/>
        <v>1.5</v>
      </c>
      <c r="J16" s="1">
        <f>0.5/4</f>
        <v>0.125</v>
      </c>
      <c r="K16" s="6">
        <f t="shared" si="8"/>
        <v>3.75</v>
      </c>
      <c r="L16" s="1">
        <f>0.5/4</f>
        <v>0.125</v>
      </c>
      <c r="M16" s="6">
        <f t="shared" si="1"/>
        <v>3.75</v>
      </c>
      <c r="N16" s="1">
        <f>0.5/4</f>
        <v>0.125</v>
      </c>
      <c r="O16" s="6">
        <f t="shared" si="2"/>
        <v>3.75</v>
      </c>
      <c r="P16" s="1">
        <f>0.05</f>
        <v>0.05</v>
      </c>
      <c r="Q16" s="6">
        <f t="shared" si="3"/>
        <v>1.5</v>
      </c>
      <c r="R16" s="1">
        <v>0.05</v>
      </c>
      <c r="S16" s="6">
        <f t="shared" si="4"/>
        <v>1.5</v>
      </c>
      <c r="T16" s="1">
        <f>0.5/4</f>
        <v>0.125</v>
      </c>
      <c r="U16" s="6">
        <f t="shared" si="5"/>
        <v>3.75</v>
      </c>
      <c r="V16" s="1"/>
      <c r="W16" s="1">
        <f t="shared" si="6"/>
        <v>0</v>
      </c>
      <c r="X16" s="1">
        <f>0.5/4</f>
        <v>0.125</v>
      </c>
      <c r="Y16" s="6">
        <f t="shared" si="7"/>
        <v>3.75</v>
      </c>
    </row>
    <row r="17" spans="5:25" x14ac:dyDescent="0.35">
      <c r="E17" s="304"/>
      <c r="F17" s="1" t="s">
        <v>15</v>
      </c>
      <c r="G17" s="1">
        <v>70</v>
      </c>
      <c r="H17" s="1">
        <f>0.01/7</f>
        <v>1.4285714285714286E-3</v>
      </c>
      <c r="I17" s="6">
        <f t="shared" si="0"/>
        <v>0.1</v>
      </c>
      <c r="J17" s="1">
        <f>0.01/7</f>
        <v>1.4285714285714286E-3</v>
      </c>
      <c r="K17" s="6">
        <f t="shared" si="8"/>
        <v>0.1</v>
      </c>
      <c r="L17" s="1">
        <f>0.01/7</f>
        <v>1.4285714285714286E-3</v>
      </c>
      <c r="M17" s="6">
        <f t="shared" si="1"/>
        <v>0.1</v>
      </c>
      <c r="N17" s="1">
        <f>0.01/7</f>
        <v>1.4285714285714286E-3</v>
      </c>
      <c r="O17" s="6">
        <f t="shared" si="2"/>
        <v>0.1</v>
      </c>
      <c r="P17" s="1">
        <f>0.01/7</f>
        <v>1.4285714285714286E-3</v>
      </c>
      <c r="Q17" s="6">
        <f t="shared" si="3"/>
        <v>0.1</v>
      </c>
      <c r="R17" s="1">
        <f>0.01/7</f>
        <v>1.4285714285714286E-3</v>
      </c>
      <c r="S17" s="6">
        <f t="shared" si="4"/>
        <v>0.1</v>
      </c>
      <c r="T17" s="1">
        <f>0.01/7</f>
        <v>1.4285714285714286E-3</v>
      </c>
      <c r="U17" s="6">
        <f t="shared" si="5"/>
        <v>0.1</v>
      </c>
      <c r="V17" s="1"/>
      <c r="W17" s="1">
        <f t="shared" si="6"/>
        <v>0</v>
      </c>
      <c r="X17" s="1">
        <f>0.01/7</f>
        <v>1.4285714285714286E-3</v>
      </c>
      <c r="Y17" s="6">
        <f t="shared" si="7"/>
        <v>0.1</v>
      </c>
    </row>
    <row r="18" spans="5:25" x14ac:dyDescent="0.35">
      <c r="E18" s="305"/>
      <c r="F18" s="1" t="s">
        <v>20</v>
      </c>
      <c r="G18" s="1"/>
      <c r="H18" s="1"/>
      <c r="I18" s="6">
        <f t="shared" si="0"/>
        <v>0</v>
      </c>
      <c r="J18" s="1"/>
      <c r="K18" s="6">
        <f t="shared" si="8"/>
        <v>0</v>
      </c>
      <c r="L18" s="1"/>
      <c r="M18" s="6">
        <v>150</v>
      </c>
      <c r="N18" s="1"/>
      <c r="O18" s="6">
        <f t="shared" si="2"/>
        <v>0</v>
      </c>
      <c r="P18" s="1"/>
      <c r="Q18" s="6">
        <f t="shared" si="3"/>
        <v>0</v>
      </c>
      <c r="R18" s="1"/>
      <c r="S18" s="6">
        <f t="shared" si="4"/>
        <v>0</v>
      </c>
      <c r="T18" s="1"/>
      <c r="U18" s="6">
        <f t="shared" si="5"/>
        <v>0</v>
      </c>
      <c r="V18" s="1"/>
      <c r="W18" s="1">
        <f t="shared" si="6"/>
        <v>0</v>
      </c>
      <c r="X18" s="1"/>
      <c r="Y18" s="6">
        <f t="shared" si="7"/>
        <v>0</v>
      </c>
    </row>
    <row r="19" spans="5:25" ht="14.5" hidden="1" customHeight="1" x14ac:dyDescent="0.35">
      <c r="E19" s="303" t="s">
        <v>1</v>
      </c>
      <c r="F19" s="1" t="s">
        <v>10</v>
      </c>
      <c r="G19" s="1"/>
      <c r="H19" s="1"/>
      <c r="I19" s="6">
        <f t="shared" si="0"/>
        <v>0</v>
      </c>
      <c r="J19" s="1"/>
      <c r="K19" s="6">
        <f t="shared" si="8"/>
        <v>0</v>
      </c>
      <c r="L19" s="1"/>
      <c r="M19" s="6">
        <f t="shared" ref="M19:M21" si="14">G19*L19</f>
        <v>0</v>
      </c>
      <c r="N19" s="1"/>
      <c r="O19" s="6">
        <f t="shared" si="2"/>
        <v>0</v>
      </c>
      <c r="P19" s="1"/>
      <c r="Q19" s="6">
        <f t="shared" si="3"/>
        <v>0</v>
      </c>
      <c r="R19" s="1"/>
      <c r="S19" s="6">
        <f t="shared" si="4"/>
        <v>0</v>
      </c>
      <c r="T19" s="1"/>
      <c r="U19" s="6">
        <f t="shared" si="5"/>
        <v>0</v>
      </c>
      <c r="V19" s="1"/>
      <c r="W19" s="1">
        <f t="shared" si="6"/>
        <v>0</v>
      </c>
      <c r="X19" s="1"/>
      <c r="Y19" s="6">
        <f t="shared" si="7"/>
        <v>0</v>
      </c>
    </row>
    <row r="20" spans="5:25" ht="14.5" hidden="1" customHeight="1" x14ac:dyDescent="0.35">
      <c r="E20" s="304"/>
      <c r="F20" s="1" t="s">
        <v>11</v>
      </c>
      <c r="G20" s="1"/>
      <c r="H20" s="1"/>
      <c r="I20" s="6">
        <f t="shared" si="0"/>
        <v>0</v>
      </c>
      <c r="J20" s="1"/>
      <c r="K20" s="6">
        <f t="shared" si="8"/>
        <v>0</v>
      </c>
      <c r="L20" s="1"/>
      <c r="M20" s="6">
        <f t="shared" si="14"/>
        <v>0</v>
      </c>
      <c r="N20" s="1"/>
      <c r="O20" s="6">
        <f t="shared" si="2"/>
        <v>0</v>
      </c>
      <c r="P20" s="1"/>
      <c r="Q20" s="6">
        <f t="shared" si="3"/>
        <v>0</v>
      </c>
      <c r="R20" s="1"/>
      <c r="S20" s="6">
        <f t="shared" si="4"/>
        <v>0</v>
      </c>
      <c r="T20" s="1"/>
      <c r="U20" s="6">
        <f t="shared" si="5"/>
        <v>0</v>
      </c>
      <c r="V20" s="1"/>
      <c r="W20" s="1">
        <f t="shared" si="6"/>
        <v>0</v>
      </c>
      <c r="X20" s="1"/>
      <c r="Y20" s="6">
        <f t="shared" si="7"/>
        <v>0</v>
      </c>
    </row>
    <row r="21" spans="5:25" ht="14.5" hidden="1" customHeight="1" x14ac:dyDescent="0.35">
      <c r="E21" s="304"/>
      <c r="F21" s="1" t="s">
        <v>12</v>
      </c>
      <c r="G21" s="1"/>
      <c r="H21" s="1"/>
      <c r="I21" s="6">
        <f t="shared" si="0"/>
        <v>0</v>
      </c>
      <c r="J21" s="1"/>
      <c r="K21" s="6">
        <f t="shared" si="8"/>
        <v>0</v>
      </c>
      <c r="L21" s="1"/>
      <c r="M21" s="6">
        <f t="shared" si="14"/>
        <v>0</v>
      </c>
      <c r="N21" s="1"/>
      <c r="O21" s="6">
        <f t="shared" si="2"/>
        <v>0</v>
      </c>
      <c r="P21" s="1"/>
      <c r="Q21" s="6">
        <f t="shared" si="3"/>
        <v>0</v>
      </c>
      <c r="R21" s="1"/>
      <c r="S21" s="6">
        <f t="shared" si="4"/>
        <v>0</v>
      </c>
      <c r="T21" s="1"/>
      <c r="U21" s="6">
        <f t="shared" si="5"/>
        <v>0</v>
      </c>
      <c r="V21" s="1"/>
      <c r="W21" s="1">
        <f t="shared" si="6"/>
        <v>0</v>
      </c>
      <c r="X21" s="1"/>
      <c r="Y21" s="6">
        <f t="shared" si="7"/>
        <v>0</v>
      </c>
    </row>
    <row r="22" spans="5:25" x14ac:dyDescent="0.35">
      <c r="E22" s="303" t="s">
        <v>6</v>
      </c>
      <c r="F22" s="1" t="s">
        <v>7</v>
      </c>
      <c r="G22" s="1">
        <f>300/25</f>
        <v>12</v>
      </c>
      <c r="H22" s="1">
        <v>2</v>
      </c>
      <c r="I22" s="6">
        <f t="shared" si="0"/>
        <v>24</v>
      </c>
      <c r="J22" s="1">
        <v>2</v>
      </c>
      <c r="K22" s="6">
        <f t="shared" si="8"/>
        <v>24</v>
      </c>
      <c r="L22" s="1">
        <v>2</v>
      </c>
      <c r="M22" s="6">
        <f t="shared" ref="M22:M23" si="15">$G22*L22</f>
        <v>24</v>
      </c>
      <c r="N22" s="1">
        <v>2</v>
      </c>
      <c r="O22" s="6">
        <f t="shared" si="2"/>
        <v>24</v>
      </c>
      <c r="P22" s="1">
        <v>2</v>
      </c>
      <c r="Q22" s="6">
        <f t="shared" si="3"/>
        <v>24</v>
      </c>
      <c r="R22" s="1">
        <v>3</v>
      </c>
      <c r="S22" s="6">
        <f t="shared" si="4"/>
        <v>36</v>
      </c>
      <c r="T22" s="1">
        <v>1</v>
      </c>
      <c r="U22" s="6">
        <f t="shared" si="5"/>
        <v>12</v>
      </c>
      <c r="V22" s="1"/>
      <c r="W22" s="1">
        <f t="shared" si="6"/>
        <v>0</v>
      </c>
      <c r="X22" s="1">
        <v>2</v>
      </c>
      <c r="Y22" s="6">
        <f t="shared" si="7"/>
        <v>24</v>
      </c>
    </row>
    <row r="23" spans="5:25" x14ac:dyDescent="0.35">
      <c r="E23" s="305"/>
      <c r="F23" s="1" t="s">
        <v>8</v>
      </c>
      <c r="G23" s="1">
        <v>4</v>
      </c>
      <c r="H23" s="1">
        <f>5/60</f>
        <v>8.3333333333333329E-2</v>
      </c>
      <c r="I23" s="6">
        <f t="shared" si="0"/>
        <v>0.33333333333333331</v>
      </c>
      <c r="J23" s="1">
        <v>8.3333333333333329E-2</v>
      </c>
      <c r="K23" s="6">
        <f t="shared" si="8"/>
        <v>0.33333333333333331</v>
      </c>
      <c r="L23" s="1">
        <v>8.3333333333333329E-2</v>
      </c>
      <c r="M23" s="6">
        <f t="shared" si="15"/>
        <v>0.33333333333333331</v>
      </c>
      <c r="N23" s="1">
        <v>8.3333333333333329E-2</v>
      </c>
      <c r="O23" s="6">
        <f t="shared" si="2"/>
        <v>0.33333333333333331</v>
      </c>
      <c r="P23" s="1">
        <v>8.3333333333333329E-2</v>
      </c>
      <c r="Q23" s="6">
        <f t="shared" si="3"/>
        <v>0.33333333333333331</v>
      </c>
      <c r="R23" s="1">
        <f>1/6</f>
        <v>0.16666666666666666</v>
      </c>
      <c r="S23" s="6">
        <f t="shared" si="4"/>
        <v>0.66666666666666663</v>
      </c>
      <c r="T23" s="1">
        <f>3/60</f>
        <v>0.05</v>
      </c>
      <c r="U23" s="6">
        <f t="shared" si="5"/>
        <v>0.2</v>
      </c>
      <c r="V23" s="1"/>
      <c r="W23" s="1">
        <f t="shared" si="6"/>
        <v>0</v>
      </c>
      <c r="X23" s="1">
        <v>8.3333333333333329E-2</v>
      </c>
      <c r="Y23" s="203">
        <f t="shared" si="7"/>
        <v>0.33333333333333331</v>
      </c>
    </row>
    <row r="24" spans="5:25" x14ac:dyDescent="0.35">
      <c r="E24" s="4" t="s">
        <v>37</v>
      </c>
      <c r="F24" s="7" t="s">
        <v>9</v>
      </c>
      <c r="G24" s="1">
        <v>52</v>
      </c>
      <c r="H24" s="1">
        <v>10</v>
      </c>
      <c r="I24" s="6">
        <f>G24*H24/8</f>
        <v>65</v>
      </c>
      <c r="J24" s="1">
        <v>10</v>
      </c>
      <c r="K24" s="6">
        <v>65</v>
      </c>
      <c r="L24" s="1">
        <v>10</v>
      </c>
      <c r="M24" s="6">
        <f>G24*L24/8</f>
        <v>65</v>
      </c>
      <c r="N24" s="1">
        <v>10</v>
      </c>
      <c r="O24" s="6">
        <f>G24*N24/8</f>
        <v>65</v>
      </c>
      <c r="P24" s="1">
        <v>10</v>
      </c>
      <c r="Q24" s="6">
        <f>G24*P24/8</f>
        <v>65</v>
      </c>
      <c r="R24" s="1">
        <v>10</v>
      </c>
      <c r="S24" s="6">
        <f>G24*R24/8</f>
        <v>65</v>
      </c>
      <c r="T24" s="1">
        <v>10</v>
      </c>
      <c r="U24" s="6">
        <f>G24*T24/8</f>
        <v>65</v>
      </c>
      <c r="V24" s="1"/>
      <c r="W24" s="1">
        <f>I24*V24/8</f>
        <v>0</v>
      </c>
      <c r="X24" s="1">
        <v>10</v>
      </c>
      <c r="Y24" s="6">
        <v>65</v>
      </c>
    </row>
    <row r="25" spans="5:25" x14ac:dyDescent="0.35">
      <c r="E25" s="303" t="s">
        <v>16</v>
      </c>
      <c r="F25" s="1" t="s">
        <v>17</v>
      </c>
      <c r="G25" s="1">
        <f>33000/326</f>
        <v>101.22699386503068</v>
      </c>
      <c r="H25" s="1">
        <v>0</v>
      </c>
      <c r="I25" s="6">
        <f t="shared" ref="I25:I30" si="16">$G25*H25</f>
        <v>0</v>
      </c>
      <c r="J25" s="1">
        <v>0</v>
      </c>
      <c r="K25" s="6">
        <f t="shared" ref="K25:K30" si="17">$G25*J25</f>
        <v>0</v>
      </c>
      <c r="L25" s="1">
        <v>0</v>
      </c>
      <c r="M25" s="6">
        <f t="shared" ref="M25:M30" si="18">$G25*L25</f>
        <v>0</v>
      </c>
      <c r="N25" s="1">
        <v>0</v>
      </c>
      <c r="O25" s="6">
        <f t="shared" si="2"/>
        <v>0</v>
      </c>
      <c r="P25" s="1">
        <v>0</v>
      </c>
      <c r="Q25" s="6">
        <f t="shared" si="3"/>
        <v>0</v>
      </c>
      <c r="R25" s="1">
        <v>0</v>
      </c>
      <c r="S25" s="6">
        <f t="shared" ref="S25:S30" si="19">$G25*R25</f>
        <v>0</v>
      </c>
      <c r="T25" s="1">
        <v>0</v>
      </c>
      <c r="U25" s="6">
        <f t="shared" ref="U25:U30" si="20">$G25*T25</f>
        <v>0</v>
      </c>
      <c r="V25" s="1"/>
      <c r="W25" s="1">
        <f t="shared" si="6"/>
        <v>0</v>
      </c>
      <c r="X25" s="1">
        <v>0</v>
      </c>
      <c r="Y25" s="6">
        <f t="shared" si="7"/>
        <v>0</v>
      </c>
    </row>
    <row r="26" spans="5:25" x14ac:dyDescent="0.35">
      <c r="E26" s="304"/>
      <c r="F26" s="1" t="s">
        <v>18</v>
      </c>
      <c r="G26" s="1">
        <f>410/326</f>
        <v>1.2576687116564418</v>
      </c>
      <c r="H26" s="1">
        <v>0</v>
      </c>
      <c r="I26" s="6">
        <f t="shared" si="16"/>
        <v>0</v>
      </c>
      <c r="J26" s="1">
        <v>0</v>
      </c>
      <c r="K26" s="6">
        <f t="shared" si="17"/>
        <v>0</v>
      </c>
      <c r="L26" s="1"/>
      <c r="M26" s="6">
        <f t="shared" si="18"/>
        <v>0</v>
      </c>
      <c r="N26" s="1">
        <v>0</v>
      </c>
      <c r="O26" s="6">
        <f t="shared" si="2"/>
        <v>0</v>
      </c>
      <c r="P26" s="1">
        <v>0</v>
      </c>
      <c r="Q26" s="6">
        <f t="shared" si="3"/>
        <v>0</v>
      </c>
      <c r="R26" s="1"/>
      <c r="S26" s="6">
        <f t="shared" si="19"/>
        <v>0</v>
      </c>
      <c r="T26" s="1"/>
      <c r="U26" s="6">
        <f t="shared" si="20"/>
        <v>0</v>
      </c>
      <c r="V26" s="1"/>
      <c r="W26" s="1">
        <f t="shared" si="6"/>
        <v>0</v>
      </c>
      <c r="X26" s="1">
        <v>0</v>
      </c>
      <c r="Y26" s="6">
        <f t="shared" si="7"/>
        <v>0</v>
      </c>
    </row>
    <row r="27" spans="5:25" ht="14.25" customHeight="1" x14ac:dyDescent="0.35">
      <c r="E27" s="304"/>
      <c r="F27" s="1" t="s">
        <v>19</v>
      </c>
      <c r="G27" s="1">
        <f>1190/326</f>
        <v>3.6503067484662575</v>
      </c>
      <c r="H27" s="1"/>
      <c r="I27" s="6">
        <f t="shared" si="16"/>
        <v>0</v>
      </c>
      <c r="J27" s="1"/>
      <c r="K27" s="6">
        <f t="shared" si="17"/>
        <v>0</v>
      </c>
      <c r="L27" s="1">
        <v>0</v>
      </c>
      <c r="M27" s="6">
        <f t="shared" si="18"/>
        <v>0</v>
      </c>
      <c r="N27" s="1"/>
      <c r="O27" s="6">
        <f t="shared" si="2"/>
        <v>0</v>
      </c>
      <c r="P27" s="1"/>
      <c r="Q27" s="6">
        <f t="shared" si="3"/>
        <v>0</v>
      </c>
      <c r="R27" s="1"/>
      <c r="S27" s="6">
        <f t="shared" si="19"/>
        <v>0</v>
      </c>
      <c r="T27" s="1">
        <v>0</v>
      </c>
      <c r="U27" s="6">
        <f t="shared" si="20"/>
        <v>0</v>
      </c>
      <c r="V27" s="1"/>
      <c r="W27" s="1">
        <f t="shared" si="6"/>
        <v>0</v>
      </c>
      <c r="X27" s="1"/>
      <c r="Y27" s="6">
        <f t="shared" si="7"/>
        <v>0</v>
      </c>
    </row>
    <row r="28" spans="5:25" x14ac:dyDescent="0.35">
      <c r="E28" s="304"/>
      <c r="F28" s="2" t="s">
        <v>21</v>
      </c>
      <c r="G28" s="1">
        <f>17000/1095</f>
        <v>15.525114155251142</v>
      </c>
      <c r="H28" s="1">
        <v>0</v>
      </c>
      <c r="I28" s="6">
        <f t="shared" si="16"/>
        <v>0</v>
      </c>
      <c r="J28" s="1">
        <v>0</v>
      </c>
      <c r="K28" s="6">
        <f t="shared" si="17"/>
        <v>0</v>
      </c>
      <c r="L28" s="1">
        <v>0</v>
      </c>
      <c r="M28" s="6">
        <f t="shared" si="18"/>
        <v>0</v>
      </c>
      <c r="N28" s="1">
        <v>0</v>
      </c>
      <c r="O28" s="6">
        <f t="shared" si="2"/>
        <v>0</v>
      </c>
      <c r="P28" s="1">
        <v>0</v>
      </c>
      <c r="Q28" s="6">
        <f t="shared" si="3"/>
        <v>0</v>
      </c>
      <c r="R28" s="1">
        <v>0</v>
      </c>
      <c r="S28" s="6">
        <f t="shared" si="19"/>
        <v>0</v>
      </c>
      <c r="T28" s="1">
        <v>0</v>
      </c>
      <c r="U28" s="6">
        <f t="shared" si="20"/>
        <v>0</v>
      </c>
      <c r="V28" s="1"/>
      <c r="W28" s="1">
        <f t="shared" si="6"/>
        <v>0</v>
      </c>
      <c r="X28" s="1">
        <v>0</v>
      </c>
      <c r="Y28" s="6">
        <f t="shared" si="7"/>
        <v>0</v>
      </c>
    </row>
    <row r="29" spans="5:25" x14ac:dyDescent="0.35">
      <c r="E29" s="304"/>
      <c r="F29" s="2" t="s">
        <v>36</v>
      </c>
      <c r="G29" s="1"/>
      <c r="H29" s="1"/>
      <c r="I29" s="6">
        <f t="shared" si="16"/>
        <v>0</v>
      </c>
      <c r="J29" s="1"/>
      <c r="K29" s="6">
        <f t="shared" si="17"/>
        <v>0</v>
      </c>
      <c r="L29" s="1"/>
      <c r="M29" s="6">
        <f t="shared" si="18"/>
        <v>0</v>
      </c>
      <c r="N29" s="1"/>
      <c r="O29" s="6">
        <f t="shared" ref="O29" si="21">G29*N29</f>
        <v>0</v>
      </c>
      <c r="P29" s="1"/>
      <c r="Q29" s="6">
        <f t="shared" ref="Q29" si="22">G29*P29</f>
        <v>0</v>
      </c>
      <c r="R29" s="1">
        <v>0</v>
      </c>
      <c r="S29" s="6">
        <f t="shared" si="19"/>
        <v>0</v>
      </c>
      <c r="T29" s="1"/>
      <c r="U29" s="6">
        <f t="shared" si="20"/>
        <v>0</v>
      </c>
      <c r="V29" s="1"/>
      <c r="W29" s="1">
        <f t="shared" ref="W29" si="23">I29*V29</f>
        <v>0</v>
      </c>
      <c r="X29" s="1"/>
      <c r="Y29" s="6">
        <f t="shared" si="7"/>
        <v>0</v>
      </c>
    </row>
    <row r="30" spans="5:25" x14ac:dyDescent="0.35">
      <c r="E30" s="305"/>
      <c r="F30" s="2" t="s">
        <v>22</v>
      </c>
      <c r="G30" s="1">
        <f>5000/326</f>
        <v>15.337423312883436</v>
      </c>
      <c r="H30" s="1">
        <v>0</v>
      </c>
      <c r="I30" s="6">
        <f t="shared" si="16"/>
        <v>0</v>
      </c>
      <c r="J30" s="1">
        <v>0</v>
      </c>
      <c r="K30" s="6">
        <f t="shared" si="17"/>
        <v>0</v>
      </c>
      <c r="L30" s="1">
        <v>0</v>
      </c>
      <c r="M30" s="6">
        <f t="shared" si="18"/>
        <v>0</v>
      </c>
      <c r="N30" s="1">
        <v>0</v>
      </c>
      <c r="O30" s="6">
        <f t="shared" si="2"/>
        <v>0</v>
      </c>
      <c r="P30" s="1">
        <v>0</v>
      </c>
      <c r="Q30" s="6">
        <f t="shared" si="3"/>
        <v>0</v>
      </c>
      <c r="R30" s="1">
        <v>0</v>
      </c>
      <c r="S30" s="6">
        <f t="shared" si="19"/>
        <v>0</v>
      </c>
      <c r="T30" s="1">
        <v>0</v>
      </c>
      <c r="U30" s="6">
        <f t="shared" si="20"/>
        <v>0</v>
      </c>
      <c r="V30" s="1"/>
      <c r="W30" s="1">
        <f t="shared" si="6"/>
        <v>0</v>
      </c>
      <c r="X30" s="1">
        <v>0</v>
      </c>
      <c r="Y30" s="6">
        <f t="shared" si="7"/>
        <v>0</v>
      </c>
    </row>
    <row r="31" spans="5:25" x14ac:dyDescent="0.35">
      <c r="E31" s="306" t="s">
        <v>38</v>
      </c>
      <c r="F31" s="307"/>
      <c r="G31" s="308"/>
      <c r="H31" s="1">
        <f>1.2</f>
        <v>1.2</v>
      </c>
      <c r="I31" s="6">
        <f>SUM(I7:I30)</f>
        <v>657.49979166666674</v>
      </c>
      <c r="J31" s="1">
        <f>1.1503</f>
        <v>1.1503000000000001</v>
      </c>
      <c r="K31" s="6">
        <f>SUM(K7:K30)</f>
        <v>690.96460556526813</v>
      </c>
      <c r="L31" s="1">
        <v>1.1000000000000001</v>
      </c>
      <c r="M31" s="6">
        <f>SUM(M7:M30)</f>
        <v>907.38286820175438</v>
      </c>
      <c r="N31" s="1">
        <f>1.1</f>
        <v>1.1000000000000001</v>
      </c>
      <c r="O31" s="6">
        <f>SUM(O7:O30)</f>
        <v>1010.0046920966422</v>
      </c>
      <c r="P31" s="1">
        <f>1.2</f>
        <v>1.2</v>
      </c>
      <c r="Q31" s="6">
        <f>SUM(Q7:Q30)</f>
        <v>991.11330876330885</v>
      </c>
      <c r="R31" s="1">
        <v>1.1000000000000001</v>
      </c>
      <c r="S31" s="6">
        <f>SUM(S7:S30)</f>
        <v>745.86956554054052</v>
      </c>
      <c r="T31" s="1">
        <v>1</v>
      </c>
      <c r="U31" s="6">
        <f>SUM(U7:U30)</f>
        <v>666.45490897435911</v>
      </c>
      <c r="V31" s="1"/>
      <c r="W31" s="1">
        <f>SUM(W7:W30)</f>
        <v>0</v>
      </c>
      <c r="X31" s="1">
        <f>1.1</f>
        <v>1.1000000000000001</v>
      </c>
      <c r="Y31" s="6">
        <f>SUM(Y7:Y30)</f>
        <v>681.89045783799543</v>
      </c>
    </row>
    <row r="32" spans="5:25" x14ac:dyDescent="0.35">
      <c r="E32" s="306" t="s">
        <v>47</v>
      </c>
      <c r="F32" s="307"/>
      <c r="G32" s="308"/>
      <c r="H32" s="1">
        <v>1</v>
      </c>
      <c r="I32" s="41">
        <f>I31/H31</f>
        <v>547.91649305555563</v>
      </c>
      <c r="J32" s="1">
        <v>1</v>
      </c>
      <c r="K32" s="41">
        <f>K31/J31</f>
        <v>600.68208777298798</v>
      </c>
      <c r="L32" s="2">
        <v>1</v>
      </c>
      <c r="M32" s="41">
        <f>M31/L31</f>
        <v>824.89351654704933</v>
      </c>
      <c r="N32" s="1">
        <v>1</v>
      </c>
      <c r="O32" s="6">
        <f>O31/N31</f>
        <v>918.18608372422011</v>
      </c>
      <c r="P32" s="1">
        <v>1</v>
      </c>
      <c r="Q32" s="6">
        <f>Q31/P31</f>
        <v>825.92775730275741</v>
      </c>
      <c r="R32" s="2">
        <v>1</v>
      </c>
      <c r="S32" s="41">
        <f>S31/R31</f>
        <v>678.06324140049128</v>
      </c>
      <c r="T32" s="2">
        <v>1</v>
      </c>
      <c r="U32" s="41">
        <f>U31/T31</f>
        <v>666.45490897435911</v>
      </c>
      <c r="V32" s="1"/>
      <c r="W32" s="1" t="e">
        <f>W31/V31</f>
        <v>#DIV/0!</v>
      </c>
      <c r="X32" s="1">
        <v>1</v>
      </c>
      <c r="Y32" s="41">
        <f>Y31/X31</f>
        <v>619.90041621635942</v>
      </c>
    </row>
    <row r="33" spans="5:25" x14ac:dyDescent="0.35">
      <c r="F33" s="13" t="s">
        <v>46</v>
      </c>
      <c r="I33">
        <f>I32/10</f>
        <v>54.791649305555566</v>
      </c>
      <c r="K33">
        <f>K32/10</f>
        <v>60.0682087772988</v>
      </c>
      <c r="M33">
        <f>M32/10</f>
        <v>82.489351654704933</v>
      </c>
      <c r="O33">
        <f>O32/10</f>
        <v>91.818608372422005</v>
      </c>
      <c r="Q33">
        <f>Q32/10</f>
        <v>82.592775730275747</v>
      </c>
      <c r="S33">
        <f>S32/10</f>
        <v>67.806324140049128</v>
      </c>
      <c r="U33">
        <f>U32/10</f>
        <v>66.645490897435906</v>
      </c>
      <c r="Y33">
        <f>Y32/10</f>
        <v>61.990041621635939</v>
      </c>
    </row>
    <row r="34" spans="5:25" x14ac:dyDescent="0.35">
      <c r="E34" s="1"/>
      <c r="F34" s="1" t="s">
        <v>54</v>
      </c>
      <c r="G34" s="1"/>
      <c r="H34" s="1"/>
      <c r="I34" s="1">
        <f>AVERAGE(I35:I40)</f>
        <v>1298.3333333333333</v>
      </c>
      <c r="J34" s="1"/>
      <c r="K34" s="1">
        <f>AVERAGE(K35:K40)</f>
        <v>1565</v>
      </c>
      <c r="L34" s="1"/>
      <c r="M34" s="1">
        <f>AVERAGE(M35:M40)</f>
        <v>1975</v>
      </c>
      <c r="N34" s="1"/>
      <c r="O34" s="1">
        <f>AVERAGE(O35:O40)</f>
        <v>950</v>
      </c>
      <c r="P34" s="1"/>
      <c r="Q34" s="1">
        <f>AVERAGE(Q35:Q40)</f>
        <v>800</v>
      </c>
      <c r="R34" s="1"/>
      <c r="S34" s="1">
        <f>AVERAGE(S35:S40)</f>
        <v>1525</v>
      </c>
      <c r="T34" s="1"/>
      <c r="U34" s="1">
        <f>AVERAGE(U35:U40)</f>
        <v>2137.5</v>
      </c>
      <c r="V34" s="1"/>
      <c r="W34" s="1">
        <f>AVERAGE(W35:W40)</f>
        <v>400</v>
      </c>
      <c r="X34" s="1"/>
      <c r="Y34" s="1" t="e">
        <f>AVERAGE(Y35:Y40)</f>
        <v>#DIV/0!</v>
      </c>
    </row>
    <row r="35" spans="5:25" x14ac:dyDescent="0.35">
      <c r="F35" s="13" t="s">
        <v>48</v>
      </c>
      <c r="I35">
        <v>990</v>
      </c>
      <c r="K35">
        <v>1200</v>
      </c>
      <c r="M35">
        <v>1800</v>
      </c>
      <c r="O35">
        <v>800</v>
      </c>
      <c r="Q35">
        <v>800</v>
      </c>
      <c r="S35">
        <v>1000</v>
      </c>
      <c r="U35">
        <v>2000</v>
      </c>
      <c r="W35">
        <v>400</v>
      </c>
    </row>
    <row r="36" spans="5:25" x14ac:dyDescent="0.35">
      <c r="F36" s="13" t="s">
        <v>49</v>
      </c>
      <c r="I36">
        <v>2000</v>
      </c>
      <c r="K36">
        <v>1300</v>
      </c>
      <c r="M36">
        <v>2300</v>
      </c>
      <c r="O36">
        <v>1100</v>
      </c>
      <c r="Q36">
        <v>800</v>
      </c>
      <c r="S36">
        <v>1500</v>
      </c>
      <c r="U36">
        <v>1500</v>
      </c>
    </row>
    <row r="37" spans="5:25" x14ac:dyDescent="0.35">
      <c r="F37" s="13" t="s">
        <v>50</v>
      </c>
      <c r="I37">
        <v>1000</v>
      </c>
      <c r="K37">
        <v>2640</v>
      </c>
      <c r="M37">
        <v>1800</v>
      </c>
      <c r="S37">
        <v>1600</v>
      </c>
      <c r="U37">
        <v>2250</v>
      </c>
    </row>
    <row r="38" spans="5:25" x14ac:dyDescent="0.35">
      <c r="F38" s="13" t="s">
        <v>51</v>
      </c>
      <c r="I38">
        <v>1000</v>
      </c>
      <c r="K38">
        <v>1600</v>
      </c>
      <c r="M38">
        <v>2000</v>
      </c>
      <c r="S38">
        <v>2000</v>
      </c>
      <c r="U38">
        <v>2800</v>
      </c>
    </row>
    <row r="39" spans="5:25" x14ac:dyDescent="0.35">
      <c r="F39" s="13" t="s">
        <v>52</v>
      </c>
      <c r="I39">
        <v>1300</v>
      </c>
      <c r="K39">
        <v>1900</v>
      </c>
    </row>
    <row r="40" spans="5:25" x14ac:dyDescent="0.35">
      <c r="F40" s="13" t="s">
        <v>53</v>
      </c>
      <c r="I40">
        <v>1500</v>
      </c>
      <c r="K40">
        <v>750</v>
      </c>
    </row>
  </sheetData>
  <mergeCells count="20">
    <mergeCell ref="X5:Y5"/>
    <mergeCell ref="P5:Q5"/>
    <mergeCell ref="E32:G32"/>
    <mergeCell ref="E31:G31"/>
    <mergeCell ref="V4:W4"/>
    <mergeCell ref="V5:W5"/>
    <mergeCell ref="E7:E18"/>
    <mergeCell ref="E19:E21"/>
    <mergeCell ref="E25:E30"/>
    <mergeCell ref="E22:E23"/>
    <mergeCell ref="E4:E6"/>
    <mergeCell ref="H5:I5"/>
    <mergeCell ref="J5:K5"/>
    <mergeCell ref="L5:M5"/>
    <mergeCell ref="N5:O5"/>
    <mergeCell ref="R5:S5"/>
    <mergeCell ref="T5:U5"/>
    <mergeCell ref="H4:U4"/>
    <mergeCell ref="G4:G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P18"/>
  <sheetViews>
    <sheetView topLeftCell="F5" workbookViewId="0">
      <selection activeCell="M18" sqref="M18"/>
    </sheetView>
  </sheetViews>
  <sheetFormatPr defaultRowHeight="14.5" x14ac:dyDescent="0.35"/>
  <cols>
    <col min="7" max="7" width="15.1796875" bestFit="1" customWidth="1"/>
    <col min="8" max="9" width="13.7265625" style="8" bestFit="1" customWidth="1"/>
    <col min="10" max="10" width="14.54296875" style="8" bestFit="1" customWidth="1"/>
    <col min="11" max="11" width="14.81640625" style="8" hidden="1" customWidth="1"/>
    <col min="12" max="12" width="12.54296875" style="8" hidden="1" customWidth="1"/>
    <col min="13" max="13" width="15.26953125" style="8" bestFit="1" customWidth="1"/>
    <col min="14" max="14" width="13.7265625" style="8" bestFit="1" customWidth="1"/>
    <col min="15" max="15" width="12.54296875" style="8" hidden="1" customWidth="1"/>
  </cols>
  <sheetData>
    <row r="12" spans="7:16" ht="15" customHeight="1" x14ac:dyDescent="0.35">
      <c r="G12" s="1"/>
      <c r="H12" s="10" t="s">
        <v>26</v>
      </c>
      <c r="I12" s="10" t="s">
        <v>27</v>
      </c>
      <c r="J12" s="10" t="s">
        <v>28</v>
      </c>
      <c r="K12" s="10" t="s">
        <v>29</v>
      </c>
      <c r="L12" s="10" t="s">
        <v>30</v>
      </c>
      <c r="M12" s="10" t="s">
        <v>31</v>
      </c>
      <c r="N12" s="10" t="s">
        <v>32</v>
      </c>
      <c r="O12" s="11" t="s">
        <v>40</v>
      </c>
    </row>
    <row r="13" spans="7:16" x14ac:dyDescent="0.35">
      <c r="G13" s="1" t="s">
        <v>39</v>
      </c>
      <c r="H13" s="9">
        <f>Себестоимость!I32</f>
        <v>547.91649305555563</v>
      </c>
      <c r="I13" s="9">
        <f>Себестоимость!K32</f>
        <v>600.68208777298798</v>
      </c>
      <c r="J13" s="9">
        <f>Себестоимость!M32</f>
        <v>824.89351654704933</v>
      </c>
      <c r="K13" s="9">
        <v>724</v>
      </c>
      <c r="L13" s="9">
        <v>562</v>
      </c>
      <c r="M13" s="9">
        <f>Себестоимость!S32</f>
        <v>678.06324140049128</v>
      </c>
      <c r="N13" s="9">
        <f>Себестоимость!U32</f>
        <v>666.45490897435911</v>
      </c>
      <c r="O13" s="9">
        <v>200</v>
      </c>
      <c r="P13" t="s">
        <v>56</v>
      </c>
    </row>
    <row r="14" spans="7:16" x14ac:dyDescent="0.35">
      <c r="G14" s="1" t="s">
        <v>55</v>
      </c>
      <c r="H14" s="9">
        <v>1300</v>
      </c>
      <c r="I14" s="9">
        <v>1500</v>
      </c>
      <c r="J14" s="9">
        <v>2000</v>
      </c>
      <c r="K14" s="9">
        <v>950</v>
      </c>
      <c r="L14" s="9">
        <v>800</v>
      </c>
      <c r="M14" s="9">
        <v>1500</v>
      </c>
      <c r="N14" s="9">
        <v>2000</v>
      </c>
      <c r="O14" s="9">
        <v>400</v>
      </c>
    </row>
    <row r="15" spans="7:16" x14ac:dyDescent="0.35">
      <c r="G15" s="1"/>
      <c r="H15" s="9">
        <f>H17-H13</f>
        <v>752.08350694444437</v>
      </c>
      <c r="I15" s="9">
        <f t="shared" ref="I15:O15" si="0">I17-I13</f>
        <v>899.31791222701202</v>
      </c>
      <c r="J15" s="9">
        <f t="shared" si="0"/>
        <v>1175.1064834529507</v>
      </c>
      <c r="K15" s="9">
        <f t="shared" si="0"/>
        <v>226</v>
      </c>
      <c r="L15" s="9">
        <f t="shared" si="0"/>
        <v>238</v>
      </c>
      <c r="M15" s="9">
        <f t="shared" si="0"/>
        <v>921.93675859950872</v>
      </c>
      <c r="N15" s="9">
        <f t="shared" si="0"/>
        <v>1333.5450910256409</v>
      </c>
      <c r="O15" s="9">
        <f t="shared" si="0"/>
        <v>200</v>
      </c>
    </row>
    <row r="16" spans="7:16" x14ac:dyDescent="0.35">
      <c r="G16" s="1"/>
      <c r="H16" s="12">
        <f>H17/H13</f>
        <v>2.372624325926592</v>
      </c>
      <c r="I16" s="12">
        <f t="shared" ref="I16:N16" si="1">I17/I13</f>
        <v>2.4971611948030747</v>
      </c>
      <c r="J16" s="12">
        <f t="shared" si="1"/>
        <v>2.4245553636690831</v>
      </c>
      <c r="K16" s="12">
        <f t="shared" si="1"/>
        <v>1.3121546961325967</v>
      </c>
      <c r="L16" s="12">
        <f t="shared" si="1"/>
        <v>1.4234875444839858</v>
      </c>
      <c r="M16" s="12">
        <f t="shared" si="1"/>
        <v>2.3596619051274836</v>
      </c>
      <c r="N16" s="12">
        <f t="shared" si="1"/>
        <v>3.0009532123904683</v>
      </c>
      <c r="O16" s="12">
        <f t="shared" ref="O16" si="2">O14/O13</f>
        <v>2</v>
      </c>
    </row>
    <row r="17" spans="7:15" x14ac:dyDescent="0.35">
      <c r="G17" t="s">
        <v>41</v>
      </c>
      <c r="H17" s="8">
        <v>1300</v>
      </c>
      <c r="I17" s="8">
        <v>1500</v>
      </c>
      <c r="J17" s="8">
        <v>2000</v>
      </c>
      <c r="K17" s="8">
        <v>950</v>
      </c>
      <c r="L17" s="8">
        <v>800</v>
      </c>
      <c r="M17" s="8">
        <v>1600</v>
      </c>
      <c r="N17" s="8">
        <v>2000</v>
      </c>
      <c r="O17" s="8">
        <v>400</v>
      </c>
    </row>
    <row r="18" spans="7:15" x14ac:dyDescent="0.35">
      <c r="G18" t="s">
        <v>42</v>
      </c>
      <c r="H18" s="8">
        <f>1000</f>
        <v>1000</v>
      </c>
      <c r="I18" s="8">
        <v>1300</v>
      </c>
      <c r="K18" s="8">
        <v>950</v>
      </c>
      <c r="L18" s="8">
        <v>800</v>
      </c>
      <c r="M18" s="8">
        <v>1300</v>
      </c>
      <c r="N18" s="8">
        <v>2000</v>
      </c>
      <c r="O18" s="8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H26"/>
  <sheetViews>
    <sheetView topLeftCell="A10" workbookViewId="0">
      <selection activeCell="G31" sqref="G31"/>
    </sheetView>
  </sheetViews>
  <sheetFormatPr defaultRowHeight="14.5" x14ac:dyDescent="0.35"/>
  <cols>
    <col min="5" max="5" width="9.453125" bestFit="1" customWidth="1"/>
    <col min="6" max="6" width="20.26953125" bestFit="1" customWidth="1"/>
  </cols>
  <sheetData>
    <row r="13" spans="6:8" x14ac:dyDescent="0.35">
      <c r="F13" t="s">
        <v>45</v>
      </c>
      <c r="G13" t="s">
        <v>43</v>
      </c>
      <c r="H13" t="s">
        <v>44</v>
      </c>
    </row>
    <row r="14" spans="6:8" x14ac:dyDescent="0.35">
      <c r="F14" s="10" t="s">
        <v>26</v>
      </c>
      <c r="G14" s="2">
        <v>1300</v>
      </c>
      <c r="H14" s="2">
        <f>1000</f>
        <v>1000</v>
      </c>
    </row>
    <row r="15" spans="6:8" x14ac:dyDescent="0.35">
      <c r="F15" s="10" t="s">
        <v>27</v>
      </c>
      <c r="G15" s="2">
        <v>1500</v>
      </c>
      <c r="H15" s="2">
        <v>1300</v>
      </c>
    </row>
    <row r="16" spans="6:8" x14ac:dyDescent="0.35">
      <c r="F16" s="10" t="s">
        <v>28</v>
      </c>
      <c r="G16" s="2">
        <v>2000</v>
      </c>
      <c r="H16" s="2">
        <v>1500</v>
      </c>
    </row>
    <row r="17" spans="5:8" x14ac:dyDescent="0.35">
      <c r="F17" s="10" t="s">
        <v>29</v>
      </c>
      <c r="G17" s="2">
        <v>950</v>
      </c>
      <c r="H17" s="2">
        <v>950</v>
      </c>
    </row>
    <row r="18" spans="5:8" x14ac:dyDescent="0.35">
      <c r="F18" s="10" t="s">
        <v>30</v>
      </c>
      <c r="G18" s="2">
        <v>800</v>
      </c>
      <c r="H18" s="2">
        <v>800</v>
      </c>
    </row>
    <row r="19" spans="5:8" x14ac:dyDescent="0.35">
      <c r="F19" s="10" t="s">
        <v>64</v>
      </c>
      <c r="G19" s="2">
        <v>1600</v>
      </c>
      <c r="H19" s="2">
        <v>1300</v>
      </c>
    </row>
    <row r="20" spans="5:8" x14ac:dyDescent="0.35">
      <c r="F20" s="10" t="s">
        <v>32</v>
      </c>
      <c r="G20" s="2">
        <v>2000</v>
      </c>
      <c r="H20" s="2">
        <v>2000</v>
      </c>
    </row>
    <row r="21" spans="5:8" x14ac:dyDescent="0.35">
      <c r="F21" s="11" t="s">
        <v>40</v>
      </c>
      <c r="G21" s="2">
        <v>400</v>
      </c>
      <c r="H21" s="1">
        <v>400</v>
      </c>
    </row>
    <row r="22" spans="5:8" x14ac:dyDescent="0.35">
      <c r="F22" s="10" t="s">
        <v>63</v>
      </c>
      <c r="G22" s="2">
        <v>1550</v>
      </c>
    </row>
    <row r="23" spans="5:8" x14ac:dyDescent="0.35">
      <c r="F23" s="10" t="s">
        <v>115</v>
      </c>
      <c r="G23" s="2">
        <v>1550</v>
      </c>
    </row>
    <row r="24" spans="5:8" x14ac:dyDescent="0.35">
      <c r="E24" s="18" t="s">
        <v>116</v>
      </c>
      <c r="F24" s="119" t="s">
        <v>68</v>
      </c>
      <c r="G24" s="2">
        <f>350/0.14</f>
        <v>2499.9999999999995</v>
      </c>
    </row>
    <row r="25" spans="5:8" x14ac:dyDescent="0.35">
      <c r="F25" s="10" t="s">
        <v>67</v>
      </c>
      <c r="G25" s="2">
        <v>1300</v>
      </c>
    </row>
    <row r="26" spans="5:8" x14ac:dyDescent="0.35">
      <c r="F26" s="10" t="s">
        <v>62</v>
      </c>
      <c r="G26" s="2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8E7C"/>
  </sheetPr>
  <dimension ref="A1:U54"/>
  <sheetViews>
    <sheetView topLeftCell="A43" zoomScaleNormal="100" workbookViewId="0">
      <selection activeCell="C53" sqref="C53"/>
    </sheetView>
  </sheetViews>
  <sheetFormatPr defaultRowHeight="14.5" x14ac:dyDescent="0.35"/>
  <cols>
    <col min="1" max="1" width="17.6328125" bestFit="1" customWidth="1"/>
    <col min="2" max="2" width="6.81640625" bestFit="1" customWidth="1"/>
    <col min="3" max="3" width="10.54296875" bestFit="1" customWidth="1"/>
    <col min="4" max="4" width="9.90625" bestFit="1" customWidth="1"/>
    <col min="5" max="5" width="8.453125" bestFit="1" customWidth="1"/>
    <col min="6" max="6" width="6.453125" bestFit="1" customWidth="1"/>
    <col min="11" max="11" width="18.26953125" bestFit="1" customWidth="1"/>
    <col min="12" max="13" width="10.6328125" bestFit="1" customWidth="1"/>
    <col min="14" max="14" width="11.81640625" bestFit="1" customWidth="1"/>
    <col min="15" max="15" width="11.81640625" customWidth="1"/>
    <col min="16" max="16" width="12.6328125" bestFit="1" customWidth="1"/>
    <col min="17" max="17" width="12.7265625" bestFit="1" customWidth="1"/>
    <col min="18" max="18" width="17.6328125" bestFit="1" customWidth="1"/>
    <col min="19" max="19" width="10.54296875" bestFit="1" customWidth="1"/>
    <col min="20" max="20" width="12.6328125" bestFit="1" customWidth="1"/>
    <col min="21" max="21" width="11.54296875" bestFit="1" customWidth="1"/>
  </cols>
  <sheetData>
    <row r="1" spans="1:21" ht="15" thickBot="1" x14ac:dyDescent="0.4">
      <c r="A1" s="52" t="s">
        <v>57</v>
      </c>
      <c r="B1" s="52" t="s">
        <v>58</v>
      </c>
      <c r="C1" s="52" t="s">
        <v>59</v>
      </c>
      <c r="D1" s="52" t="s">
        <v>60</v>
      </c>
      <c r="E1" s="52" t="s">
        <v>61</v>
      </c>
    </row>
    <row r="2" spans="1:21" ht="14.5" customHeight="1" x14ac:dyDescent="0.35">
      <c r="A2" s="138" t="s">
        <v>63</v>
      </c>
      <c r="B2" s="139">
        <f>471+480</f>
        <v>951</v>
      </c>
      <c r="C2" s="140">
        <v>951</v>
      </c>
      <c r="D2" s="141">
        <v>45237.11</v>
      </c>
      <c r="E2" s="142" t="s">
        <v>70</v>
      </c>
      <c r="F2" s="226">
        <f>IF(A2="","",IFERROR(C2/(VLOOKUP(A2,'Итого цены'!$F$14:$G$26,2,)*B2/1000)-1,"Нет продукта в списке цен"))</f>
        <v>-0.35483870967741937</v>
      </c>
      <c r="H2" s="37"/>
    </row>
    <row r="3" spans="1:21" ht="14.5" customHeight="1" x14ac:dyDescent="0.35">
      <c r="A3" s="143" t="s">
        <v>26</v>
      </c>
      <c r="B3" s="144">
        <f>372</f>
        <v>372</v>
      </c>
      <c r="C3" s="145">
        <f>372*0.9</f>
        <v>334.8</v>
      </c>
      <c r="D3" s="146">
        <v>45237.11</v>
      </c>
      <c r="E3" s="137" t="s">
        <v>70</v>
      </c>
      <c r="F3" s="226">
        <f>IF(A3="","",IFERROR(C3/(VLOOKUP(A3,'Итого цены'!$F$14:$G$26,2,)*B3/1000)-1,"Нет продукта в списке цен"))</f>
        <v>-0.30769230769230771</v>
      </c>
      <c r="H3" s="37"/>
    </row>
    <row r="4" spans="1:21" ht="14.5" customHeight="1" x14ac:dyDescent="0.35">
      <c r="A4" s="160" t="s">
        <v>27</v>
      </c>
      <c r="B4" s="161">
        <v>525</v>
      </c>
      <c r="C4" s="162">
        <v>624</v>
      </c>
      <c r="D4" s="163">
        <v>45242.11</v>
      </c>
      <c r="E4" s="129" t="s">
        <v>71</v>
      </c>
      <c r="F4" s="226">
        <f>IF(A4="","",IFERROR(C4/(VLOOKUP(A4,'Итого цены'!$F$14:$G$26,2,)*B4/1000)-1,"Нет продукта в списке цен"))</f>
        <v>-0.20761904761904759</v>
      </c>
      <c r="H4" s="37"/>
      <c r="J4" s="15"/>
    </row>
    <row r="5" spans="1:21" ht="14.5" customHeight="1" x14ac:dyDescent="0.35">
      <c r="A5" s="164" t="s">
        <v>26</v>
      </c>
      <c r="B5" s="165">
        <v>374</v>
      </c>
      <c r="C5" s="166">
        <v>411</v>
      </c>
      <c r="D5" s="167">
        <v>45242.11</v>
      </c>
      <c r="E5" s="130" t="s">
        <v>71</v>
      </c>
      <c r="F5" s="226">
        <f>IF(A5="","",IFERROR(C5/(VLOOKUP(A5,'Итого цены'!$F$14:$G$26,2,)*B5/1000)-1,"Нет продукта в списке цен"))</f>
        <v>-0.15466886055121343</v>
      </c>
      <c r="H5" s="37"/>
    </row>
    <row r="6" spans="1:21" x14ac:dyDescent="0.35">
      <c r="A6" s="147" t="s">
        <v>64</v>
      </c>
      <c r="B6" s="148">
        <v>245</v>
      </c>
      <c r="C6" s="149">
        <v>392</v>
      </c>
      <c r="D6" s="150">
        <v>45242.11</v>
      </c>
      <c r="E6" s="135" t="s">
        <v>70</v>
      </c>
      <c r="F6" s="226">
        <f>IF(A6="","",IFERROR(C6/(VLOOKUP(A6,'Итого цены'!$F$14:$G$26,2,)*B6/1000)-1,"Нет продукта в списке цен"))</f>
        <v>0</v>
      </c>
      <c r="H6" s="37"/>
      <c r="J6" s="15"/>
      <c r="T6" s="21"/>
    </row>
    <row r="7" spans="1:21" ht="14.5" customHeight="1" x14ac:dyDescent="0.35">
      <c r="A7" s="151" t="s">
        <v>26</v>
      </c>
      <c r="B7" s="152">
        <v>352</v>
      </c>
      <c r="C7" s="153">
        <v>316.8</v>
      </c>
      <c r="D7" s="154">
        <v>45242.11</v>
      </c>
      <c r="E7" s="136" t="s">
        <v>70</v>
      </c>
      <c r="F7" s="226">
        <f>IF(A7="","",IFERROR(C7/(VLOOKUP(A7,'Итого цены'!$F$14:$G$26,2,)*B7/1000)-1,"Нет продукта в списке цен"))</f>
        <v>-0.30769230769230771</v>
      </c>
      <c r="H7" s="37"/>
      <c r="J7" s="15"/>
      <c r="T7" s="20"/>
    </row>
    <row r="8" spans="1:21" ht="14.5" customHeight="1" x14ac:dyDescent="0.35">
      <c r="A8" s="143" t="s">
        <v>67</v>
      </c>
      <c r="B8" s="144">
        <v>339</v>
      </c>
      <c r="C8" s="145">
        <v>305.10000000000002</v>
      </c>
      <c r="D8" s="146">
        <v>45242.11</v>
      </c>
      <c r="E8" s="137" t="s">
        <v>70</v>
      </c>
      <c r="F8" s="226">
        <f>IF(A8="","",IFERROR(C8/(VLOOKUP(A8,'Итого цены'!$F$14:$G$26,2,)*B8/1000)-1,"Нет продукта в списке цен"))</f>
        <v>-0.3076923076923076</v>
      </c>
      <c r="H8" s="37"/>
      <c r="J8" s="15"/>
      <c r="T8" s="20"/>
      <c r="U8" s="42"/>
    </row>
    <row r="9" spans="1:21" ht="14.5" customHeight="1" x14ac:dyDescent="0.35">
      <c r="A9" s="185" t="s">
        <v>62</v>
      </c>
      <c r="B9" s="186">
        <v>362</v>
      </c>
      <c r="C9" s="187">
        <v>470.6</v>
      </c>
      <c r="D9" s="188">
        <v>45249.11</v>
      </c>
      <c r="E9" s="132" t="s">
        <v>65</v>
      </c>
      <c r="F9" s="226">
        <f>IF(A9="","",IFERROR(C9/(VLOOKUP(A9,'Итого цены'!$F$14:$G$26,2,)*B9/1000)-1,"Нет продукта в списке цен"))</f>
        <v>0</v>
      </c>
      <c r="H9" s="37"/>
      <c r="J9" s="15"/>
      <c r="T9" s="20"/>
      <c r="U9" s="42"/>
    </row>
    <row r="10" spans="1:21" ht="14.5" customHeight="1" x14ac:dyDescent="0.35">
      <c r="A10" s="189" t="s">
        <v>63</v>
      </c>
      <c r="B10" s="190">
        <v>613</v>
      </c>
      <c r="C10" s="191">
        <v>950.15</v>
      </c>
      <c r="D10" s="192">
        <v>45249.11</v>
      </c>
      <c r="E10" s="133" t="s">
        <v>65</v>
      </c>
      <c r="F10" s="226">
        <f>IF(A10="","",IFERROR(C10/(VLOOKUP(A10,'Итого цены'!$F$14:$G$26,2,)*B10/1000)-1,"Нет продукта в списке цен"))</f>
        <v>0</v>
      </c>
      <c r="H10" s="37"/>
      <c r="J10" s="15"/>
      <c r="T10" s="20"/>
      <c r="U10" s="42"/>
    </row>
    <row r="11" spans="1:21" x14ac:dyDescent="0.35">
      <c r="A11" s="193" t="s">
        <v>64</v>
      </c>
      <c r="B11" s="194">
        <v>112</v>
      </c>
      <c r="C11" s="195">
        <v>179.2</v>
      </c>
      <c r="D11" s="196">
        <v>45249.11</v>
      </c>
      <c r="E11" s="127" t="s">
        <v>65</v>
      </c>
      <c r="F11" s="226">
        <f>IF(A11="","",IFERROR(C11/(VLOOKUP(A11,'Итого цены'!$F$14:$G$26,2,)*B11/1000)-1,"Нет продукта в списке цен"))</f>
        <v>0</v>
      </c>
      <c r="H11" s="37"/>
      <c r="J11" s="15"/>
      <c r="T11" s="20"/>
      <c r="U11" s="42"/>
    </row>
    <row r="12" spans="1:21" ht="14.5" customHeight="1" x14ac:dyDescent="0.35">
      <c r="A12" s="147" t="s">
        <v>26</v>
      </c>
      <c r="B12" s="148">
        <v>985</v>
      </c>
      <c r="C12" s="149">
        <v>886.5</v>
      </c>
      <c r="D12" s="150">
        <v>45249.11</v>
      </c>
      <c r="E12" s="135" t="s">
        <v>70</v>
      </c>
      <c r="F12" s="226">
        <f>IF(A12="","",IFERROR(C12/(VLOOKUP(A12,'Итого цены'!$F$14:$G$26,2,)*B12/1000)-1,"Нет продукта в списке цен"))</f>
        <v>-0.30769230769230771</v>
      </c>
      <c r="H12" s="37"/>
      <c r="T12" s="20"/>
      <c r="U12" s="42"/>
    </row>
    <row r="13" spans="1:21" x14ac:dyDescent="0.35">
      <c r="A13" s="151" t="s">
        <v>64</v>
      </c>
      <c r="B13" s="152">
        <v>190</v>
      </c>
      <c r="C13" s="153">
        <v>304</v>
      </c>
      <c r="D13" s="154">
        <v>45249.11</v>
      </c>
      <c r="E13" s="136" t="s">
        <v>70</v>
      </c>
      <c r="F13" s="226">
        <f>IF(A13="","",IFERROR(C13/(VLOOKUP(A13,'Итого цены'!$F$14:$G$26,2,)*B13/1000)-1,"Нет продукта в списке цен"))</f>
        <v>0</v>
      </c>
      <c r="H13" s="37"/>
      <c r="T13" s="20"/>
      <c r="U13" s="42"/>
    </row>
    <row r="14" spans="1:21" ht="14.5" customHeight="1" x14ac:dyDescent="0.35">
      <c r="A14" s="143" t="s">
        <v>63</v>
      </c>
      <c r="B14" s="144">
        <v>682</v>
      </c>
      <c r="C14" s="145">
        <v>682</v>
      </c>
      <c r="D14" s="146">
        <v>45249.11</v>
      </c>
      <c r="E14" s="137" t="s">
        <v>70</v>
      </c>
      <c r="F14" s="226">
        <f>IF(A14="","",IFERROR(C14/(VLOOKUP(A14,'Итого цены'!$F$14:$G$26,2,)*B14/1000)-1,"Нет продукта в списке цен"))</f>
        <v>-0.35483870967741926</v>
      </c>
      <c r="H14" s="37"/>
      <c r="T14" s="20"/>
      <c r="U14" s="42"/>
    </row>
    <row r="15" spans="1:21" x14ac:dyDescent="0.35">
      <c r="A15" s="237" t="s">
        <v>64</v>
      </c>
      <c r="B15" s="238">
        <v>270</v>
      </c>
      <c r="C15" s="239">
        <v>432</v>
      </c>
      <c r="D15" s="240">
        <v>45249.11</v>
      </c>
      <c r="E15" s="241" t="s">
        <v>72</v>
      </c>
      <c r="F15" s="226">
        <f>IF(A15="","",IFERROR(C15/(VLOOKUP(A15,'Итого цены'!$F$14:$G$26,2,)*B15/1000)-1,"Нет продукта в списке цен"))</f>
        <v>0</v>
      </c>
      <c r="H15" s="37"/>
      <c r="T15" s="20"/>
      <c r="U15" s="42"/>
    </row>
    <row r="16" spans="1:21" ht="14.5" customHeight="1" x14ac:dyDescent="0.35">
      <c r="A16" s="50" t="s">
        <v>27</v>
      </c>
      <c r="B16" s="38">
        <v>1000</v>
      </c>
      <c r="C16" s="39">
        <v>1300</v>
      </c>
      <c r="D16" s="40">
        <v>45251</v>
      </c>
      <c r="E16" s="51" t="s">
        <v>86</v>
      </c>
      <c r="F16" s="226">
        <f>IF(A16="","",IFERROR(C16/(VLOOKUP(A16,'Итого цены'!$F$14:$G$26,2,)*B16/1000)-1,"Нет продукта в списке цен"))</f>
        <v>-0.1333333333333333</v>
      </c>
      <c r="H16" s="37"/>
      <c r="J16" s="15"/>
      <c r="T16" s="20"/>
      <c r="U16" s="42"/>
    </row>
    <row r="17" spans="1:21" ht="14.5" customHeight="1" x14ac:dyDescent="0.35">
      <c r="A17" s="185" t="s">
        <v>27</v>
      </c>
      <c r="B17" s="186">
        <v>1950</v>
      </c>
      <c r="C17" s="187">
        <v>2500</v>
      </c>
      <c r="D17" s="188">
        <v>45254.11</v>
      </c>
      <c r="E17" s="132" t="s">
        <v>65</v>
      </c>
      <c r="F17" s="226">
        <f>IF(A17="","",IFERROR(C17/(VLOOKUP(A17,'Итого цены'!$F$14:$G$26,2,)*B17/1000)-1,"Нет продукта в списке цен"))</f>
        <v>-0.14529914529914534</v>
      </c>
      <c r="H17" s="37"/>
      <c r="T17" s="20"/>
      <c r="U17" s="42"/>
    </row>
    <row r="18" spans="1:21" x14ac:dyDescent="0.35">
      <c r="A18" s="193" t="s">
        <v>64</v>
      </c>
      <c r="B18" s="194">
        <v>250</v>
      </c>
      <c r="C18" s="195">
        <v>400</v>
      </c>
      <c r="D18" s="196">
        <v>45254.11</v>
      </c>
      <c r="E18" s="127" t="s">
        <v>65</v>
      </c>
      <c r="F18" s="226">
        <f>SUM(Заказы!S20)</f>
        <v>0</v>
      </c>
      <c r="H18" s="37"/>
      <c r="T18" s="20"/>
    </row>
    <row r="19" spans="1:21" ht="14.5" customHeight="1" x14ac:dyDescent="0.35">
      <c r="A19" s="160" t="s">
        <v>26</v>
      </c>
      <c r="B19" s="161">
        <v>318.5</v>
      </c>
      <c r="C19" s="162">
        <v>350</v>
      </c>
      <c r="D19" s="163">
        <v>45256.11</v>
      </c>
      <c r="E19" s="129" t="s">
        <v>71</v>
      </c>
      <c r="F19" s="226">
        <f>IF(A19="","",IFERROR(C19/(VLOOKUP(A19,'Итого цены'!$F$14:$G$26,2,)*B19/1000)-1,"Нет продукта в списке цен"))</f>
        <v>-0.15469146238377007</v>
      </c>
      <c r="H19" s="37"/>
    </row>
    <row r="20" spans="1:21" ht="14.5" customHeight="1" thickBot="1" x14ac:dyDescent="0.4">
      <c r="A20" s="155" t="s">
        <v>115</v>
      </c>
      <c r="B20" s="156">
        <v>612</v>
      </c>
      <c r="C20" s="157">
        <v>612</v>
      </c>
      <c r="D20" s="158">
        <v>45258.11</v>
      </c>
      <c r="E20" s="159" t="s">
        <v>70</v>
      </c>
      <c r="F20" s="226">
        <f>IF(A20="","",IFERROR(C20/(VLOOKUP(A20,'Итого цены'!$F$14:$G$26,2,)*B20/1000)-1,"Нет продукта в списке цен"))</f>
        <v>-0.35483870967741937</v>
      </c>
      <c r="H20" s="37"/>
    </row>
    <row r="21" spans="1:21" ht="14.5" customHeight="1" x14ac:dyDescent="0.35">
      <c r="A21" s="253" t="s">
        <v>62</v>
      </c>
      <c r="B21" s="255">
        <v>330</v>
      </c>
      <c r="C21" s="257">
        <v>297</v>
      </c>
      <c r="D21" s="259">
        <v>45258.11</v>
      </c>
      <c r="E21" s="261" t="s">
        <v>70</v>
      </c>
      <c r="F21" s="226">
        <f>IF(A21="","",IFERROR(C21/(VLOOKUP(A21,'Итого цены'!$F$14:$G$26,2,)*B21/1000)-1,"Нет продукта в списке цен"))</f>
        <v>-0.30769230769230771</v>
      </c>
      <c r="H21" s="37"/>
    </row>
    <row r="22" spans="1:21" ht="14.5" customHeight="1" x14ac:dyDescent="0.35">
      <c r="A22" s="264" t="s">
        <v>64</v>
      </c>
      <c r="B22" s="265">
        <v>168.75</v>
      </c>
      <c r="C22" s="266">
        <v>270</v>
      </c>
      <c r="D22" s="267">
        <v>45268.11</v>
      </c>
      <c r="E22" s="268" t="s">
        <v>73</v>
      </c>
      <c r="F22" s="226">
        <f>IF(A22="","",IFERROR(C22/(VLOOKUP(A22,'Итого цены'!$F$14:$G$26,2,)*B22/1000)-1,"Нет продукта в списке цен"))</f>
        <v>0</v>
      </c>
      <c r="H22" s="37"/>
    </row>
    <row r="23" spans="1:21" ht="14.5" customHeight="1" x14ac:dyDescent="0.35">
      <c r="A23" s="143" t="s">
        <v>26</v>
      </c>
      <c r="B23" s="144">
        <v>610</v>
      </c>
      <c r="C23" s="145">
        <v>549</v>
      </c>
      <c r="D23" s="146">
        <v>45271.11</v>
      </c>
      <c r="E23" s="137" t="s">
        <v>70</v>
      </c>
      <c r="F23" s="226">
        <f>IF(A23="","",IFERROR(C23/(VLOOKUP(A23,'Итого цены'!$F$14:$G$26,2,)*B23/1000)-1,"Нет продукта в списке цен"))</f>
        <v>-0.30769230769230771</v>
      </c>
      <c r="H23" s="37"/>
    </row>
    <row r="24" spans="1:21" ht="14.5" customHeight="1" x14ac:dyDescent="0.35">
      <c r="A24" s="147" t="s">
        <v>64</v>
      </c>
      <c r="B24" s="148">
        <v>92</v>
      </c>
      <c r="C24" s="149">
        <v>147.19999999999999</v>
      </c>
      <c r="D24" s="150">
        <v>45271.11</v>
      </c>
      <c r="E24" s="135" t="s">
        <v>70</v>
      </c>
      <c r="F24" s="226">
        <f>IF(A24="","",IFERROR(C24/(VLOOKUP(A24,'Итого цены'!$F$14:$G$26,2,)*B24/1000)-1,"Нет продукта в списке цен"))</f>
        <v>0</v>
      </c>
      <c r="H24" s="37"/>
    </row>
    <row r="25" spans="1:21" ht="14.5" customHeight="1" x14ac:dyDescent="0.35">
      <c r="A25" s="247" t="s">
        <v>64</v>
      </c>
      <c r="B25" s="248">
        <f>395</f>
        <v>395</v>
      </c>
      <c r="C25" s="249">
        <v>650</v>
      </c>
      <c r="D25" s="250">
        <v>45272</v>
      </c>
      <c r="E25" s="251" t="s">
        <v>74</v>
      </c>
      <c r="F25" s="226">
        <f>IF(A25="","",IFERROR(C25/(VLOOKUP(A25,'Итого цены'!$F$14:$G$26,2,)*B25/1000)-1,"Нет продукта в списке цен"))</f>
        <v>2.8481012658227778E-2</v>
      </c>
      <c r="H25" s="37"/>
    </row>
    <row r="26" spans="1:21" ht="14.5" customHeight="1" x14ac:dyDescent="0.35">
      <c r="A26" s="227" t="s">
        <v>27</v>
      </c>
      <c r="B26" s="228">
        <v>522</v>
      </c>
      <c r="C26" s="229">
        <v>783</v>
      </c>
      <c r="D26" s="230">
        <v>45274.11</v>
      </c>
      <c r="E26" s="231" t="s">
        <v>66</v>
      </c>
      <c r="F26" s="226">
        <f>IF(A26="","",IFERROR(C26/(VLOOKUP(A26,'Итого цены'!$F$14:$G$26,2,)*B26/1000)-1,"Нет продукта в списке цен"))</f>
        <v>0</v>
      </c>
      <c r="H26" s="37"/>
    </row>
    <row r="27" spans="1:21" ht="14.5" customHeight="1" x14ac:dyDescent="0.35">
      <c r="A27" s="227" t="s">
        <v>64</v>
      </c>
      <c r="B27" s="228">
        <v>326</v>
      </c>
      <c r="C27" s="229">
        <v>522</v>
      </c>
      <c r="D27" s="230">
        <v>45274.11</v>
      </c>
      <c r="E27" s="231" t="s">
        <v>66</v>
      </c>
      <c r="F27" s="226">
        <f>IF(A27="","",IFERROR(C27/(VLOOKUP(A27,'Итого цены'!$F$14:$G$26,2,)*B27/1000)-1,"Нет продукта в списке цен"))</f>
        <v>7.6687116564411184E-4</v>
      </c>
      <c r="H27" s="37"/>
    </row>
    <row r="28" spans="1:21" ht="14.5" customHeight="1" x14ac:dyDescent="0.35">
      <c r="A28" s="252" t="s">
        <v>28</v>
      </c>
      <c r="B28" s="254">
        <v>540</v>
      </c>
      <c r="C28" s="256">
        <v>1060</v>
      </c>
      <c r="D28" s="258">
        <v>45277.11</v>
      </c>
      <c r="E28" s="260" t="s">
        <v>74</v>
      </c>
      <c r="F28" s="226">
        <f>IF(A28="","",IFERROR(C28/(VLOOKUP(A28,'Итого цены'!$F$14:$G$26,2,)*B28/1000)-1,"Нет продукта в списке цен"))</f>
        <v>-1.851851851851849E-2</v>
      </c>
      <c r="H28" s="37"/>
    </row>
    <row r="29" spans="1:21" ht="14.5" customHeight="1" x14ac:dyDescent="0.35">
      <c r="A29" s="168" t="s">
        <v>27</v>
      </c>
      <c r="B29" s="169">
        <v>1172</v>
      </c>
      <c r="C29" s="170">
        <v>1760</v>
      </c>
      <c r="D29" s="171">
        <v>45280.11</v>
      </c>
      <c r="E29" s="134" t="s">
        <v>69</v>
      </c>
      <c r="F29" s="226">
        <f>IF(A29="","",IFERROR(C29/(VLOOKUP(A29,'Итого цены'!$F$14:$G$26,2,)*B29/1000)-1,"Нет продукта в списке цен"))</f>
        <v>1.1376564277587597E-3</v>
      </c>
      <c r="H29" s="37"/>
    </row>
    <row r="30" spans="1:21" ht="14.5" customHeight="1" x14ac:dyDescent="0.35">
      <c r="A30" s="151" t="s">
        <v>64</v>
      </c>
      <c r="B30" s="152">
        <v>798</v>
      </c>
      <c r="C30" s="153">
        <v>1276.8</v>
      </c>
      <c r="D30" s="154">
        <v>45283.11</v>
      </c>
      <c r="E30" s="136" t="s">
        <v>70</v>
      </c>
      <c r="F30" s="226">
        <f>IF(A30="","",IFERROR(C30/(VLOOKUP(A30,'Итого цены'!$F$14:$G$26,2,)*B30/1000)-1,"Нет продукта в списке цен"))</f>
        <v>0</v>
      </c>
      <c r="H30" s="37"/>
    </row>
    <row r="31" spans="1:21" ht="14.5" customHeight="1" x14ac:dyDescent="0.35">
      <c r="A31" s="151" t="s">
        <v>26</v>
      </c>
      <c r="B31" s="152">
        <v>1086</v>
      </c>
      <c r="C31" s="153">
        <v>977.4</v>
      </c>
      <c r="D31" s="154">
        <v>45283.11</v>
      </c>
      <c r="E31" s="136" t="s">
        <v>70</v>
      </c>
      <c r="F31" s="226">
        <f>IF(A31="","",IFERROR(C31/(VLOOKUP(A31,'Итого цены'!$F$14:$G$26,2,)*B31/1000)-1,"Нет продукта в списке цен"))</f>
        <v>-0.30769230769230771</v>
      </c>
      <c r="H31" s="37"/>
    </row>
    <row r="32" spans="1:21" ht="14.5" customHeight="1" x14ac:dyDescent="0.35">
      <c r="A32" s="143" t="s">
        <v>27</v>
      </c>
      <c r="B32" s="144">
        <v>1191</v>
      </c>
      <c r="C32" s="145">
        <v>1191</v>
      </c>
      <c r="D32" s="146">
        <v>45283.11</v>
      </c>
      <c r="E32" s="137" t="s">
        <v>70</v>
      </c>
      <c r="F32" s="226">
        <f>IF(A32="","",IFERROR(C32/(VLOOKUP(A32,'Итого цены'!$F$14:$G$26,2,)*B32/1000)-1,"Нет продукта в списке цен"))</f>
        <v>-0.33333333333333337</v>
      </c>
      <c r="H32" s="37"/>
    </row>
    <row r="33" spans="1:8" ht="14.5" customHeight="1" x14ac:dyDescent="0.35">
      <c r="A33" s="147" t="s">
        <v>28</v>
      </c>
      <c r="B33" s="148">
        <v>578</v>
      </c>
      <c r="C33" s="149">
        <v>1156</v>
      </c>
      <c r="D33" s="150">
        <v>45283.11</v>
      </c>
      <c r="E33" s="135" t="s">
        <v>70</v>
      </c>
      <c r="F33" s="226">
        <f>IF(A33="","",IFERROR(C33/(VLOOKUP(A33,'Итого цены'!$F$14:$G$26,2,)*B33/1000)-1,"Нет продукта в списке цен"))</f>
        <v>0</v>
      </c>
      <c r="H33" s="37"/>
    </row>
    <row r="34" spans="1:8" ht="14.5" customHeight="1" x14ac:dyDescent="0.35">
      <c r="A34" s="151" t="s">
        <v>68</v>
      </c>
      <c r="B34" s="152">
        <v>140</v>
      </c>
      <c r="C34" s="153">
        <v>350</v>
      </c>
      <c r="D34" s="154">
        <v>45283.11</v>
      </c>
      <c r="E34" s="136" t="s">
        <v>70</v>
      </c>
      <c r="F34" s="226">
        <f>IF(A34="","",IFERROR(C34/(VLOOKUP(A34,'Итого цены'!$F$14:$G$26,2,)*B34/1000)-1,"Нет продукта в списке цен"))</f>
        <v>2.2204460492503131E-16</v>
      </c>
      <c r="H34" s="37"/>
    </row>
    <row r="35" spans="1:8" ht="14.5" customHeight="1" x14ac:dyDescent="0.35">
      <c r="A35" s="189" t="s">
        <v>28</v>
      </c>
      <c r="B35" s="190">
        <v>968</v>
      </c>
      <c r="C35" s="191">
        <f>1936*0.9</f>
        <v>1742.4</v>
      </c>
      <c r="D35" s="192">
        <v>45283.11</v>
      </c>
      <c r="E35" s="133" t="s">
        <v>65</v>
      </c>
      <c r="F35" s="226">
        <f>IF(A35="","",IFERROR(C35/(VLOOKUP(A35,'Итого цены'!$F$14:$G$26,2,)*B35/1000)-1,"Нет продукта в списке цен"))</f>
        <v>-9.9999999999999978E-2</v>
      </c>
      <c r="H35" s="37"/>
    </row>
    <row r="36" spans="1:8" ht="14.5" customHeight="1" x14ac:dyDescent="0.35">
      <c r="A36" s="193" t="s">
        <v>64</v>
      </c>
      <c r="B36" s="194">
        <v>286</v>
      </c>
      <c r="C36" s="195">
        <f>457.6*0.9</f>
        <v>411.84000000000003</v>
      </c>
      <c r="D36" s="196">
        <v>45283.11</v>
      </c>
      <c r="E36" s="127" t="s">
        <v>65</v>
      </c>
      <c r="F36" s="226">
        <f>IF(A36="","",IFERROR(C36/(VLOOKUP(A36,'Итого цены'!$F$14:$G$26,2,)*B36/1000)-1,"Нет продукта в списке цен"))</f>
        <v>-9.9999999999999978E-2</v>
      </c>
      <c r="H36" s="37"/>
    </row>
    <row r="37" spans="1:8" ht="14.5" customHeight="1" x14ac:dyDescent="0.35">
      <c r="A37" s="232" t="s">
        <v>26</v>
      </c>
      <c r="B37" s="233">
        <v>257</v>
      </c>
      <c r="C37" s="234">
        <f>334.1*0.9</f>
        <v>300.69000000000005</v>
      </c>
      <c r="D37" s="235">
        <v>45283.11</v>
      </c>
      <c r="E37" s="236" t="s">
        <v>65</v>
      </c>
      <c r="F37" s="226">
        <f>IF(A37="","",IFERROR(C37/(VLOOKUP(A37,'Итого цены'!$F$14:$G$26,2,)*B37/1000)-1,"Нет продукта в списке цен"))</f>
        <v>-9.9999999999999867E-2</v>
      </c>
      <c r="H37" s="37"/>
    </row>
    <row r="38" spans="1:8" ht="14.5" customHeight="1" x14ac:dyDescent="0.35">
      <c r="A38" s="232" t="s">
        <v>27</v>
      </c>
      <c r="B38" s="233">
        <v>1175</v>
      </c>
      <c r="C38" s="234">
        <f>1789.45*0.9</f>
        <v>1610.5050000000001</v>
      </c>
      <c r="D38" s="235">
        <v>45283.11</v>
      </c>
      <c r="E38" s="236" t="s">
        <v>65</v>
      </c>
      <c r="F38" s="226">
        <f>IF(A38="","",IFERROR(C38/(VLOOKUP(A38,'Итого цены'!$F$14:$G$26,2,)*B38/1000)-1,"Нет продукта в списке цен"))</f>
        <v>-8.6238297872340386E-2</v>
      </c>
      <c r="H38" s="37"/>
    </row>
    <row r="39" spans="1:8" ht="14.5" customHeight="1" x14ac:dyDescent="0.35">
      <c r="A39" s="181" t="s">
        <v>68</v>
      </c>
      <c r="B39" s="182">
        <v>140</v>
      </c>
      <c r="C39" s="183">
        <v>350</v>
      </c>
      <c r="D39" s="184">
        <v>45288</v>
      </c>
      <c r="E39" s="131" t="s">
        <v>66</v>
      </c>
      <c r="F39" s="226">
        <f>IF(A39="","",IFERROR(C39/(VLOOKUP(A39,'Итого цены'!$F$14:$G$26,2,)*B39/1000)-1,"Нет продукта в списке цен"))</f>
        <v>2.2204460492503131E-16</v>
      </c>
      <c r="H39" s="37"/>
    </row>
    <row r="40" spans="1:8" ht="12.5" customHeight="1" x14ac:dyDescent="0.35">
      <c r="A40" s="168" t="s">
        <v>28</v>
      </c>
      <c r="B40" s="169">
        <v>475</v>
      </c>
      <c r="C40" s="170">
        <v>950</v>
      </c>
      <c r="D40" s="171">
        <v>45289</v>
      </c>
      <c r="E40" s="134" t="s">
        <v>69</v>
      </c>
      <c r="F40" s="226">
        <f>IF(A40="","",IFERROR(C40/(VLOOKUP(A40,'Итого цены'!$F$14:$G$26,2,)*B40/1000)-1,"Нет продукта в списке цен"))</f>
        <v>0</v>
      </c>
      <c r="H40" s="37"/>
    </row>
    <row r="41" spans="1:8" x14ac:dyDescent="0.35">
      <c r="A41" s="172" t="s">
        <v>64</v>
      </c>
      <c r="B41" s="173">
        <v>215</v>
      </c>
      <c r="C41" s="174">
        <v>344</v>
      </c>
      <c r="D41" s="175">
        <v>45289</v>
      </c>
      <c r="E41" s="128" t="s">
        <v>69</v>
      </c>
      <c r="F41" s="226">
        <f>IF(A41="","",IFERROR(C41/(VLOOKUP(A41,'Итого цены'!$F$14:$G$26,2,)*B41/1000)-1,"Нет продукта в списке цен"))</f>
        <v>0</v>
      </c>
      <c r="H41" s="37"/>
    </row>
    <row r="42" spans="1:8" x14ac:dyDescent="0.35">
      <c r="A42" s="176" t="s">
        <v>67</v>
      </c>
      <c r="B42" s="177">
        <v>320</v>
      </c>
      <c r="C42" s="178">
        <v>416</v>
      </c>
      <c r="D42" s="179">
        <v>45289</v>
      </c>
      <c r="E42" s="180" t="s">
        <v>69</v>
      </c>
      <c r="F42" s="226">
        <f>IF(A42="","",IFERROR(C42/(VLOOKUP(A42,'Итого цены'!$F$14:$G$26,2,)*B42/1000)-1,"Нет продукта в списке цен"))</f>
        <v>0</v>
      </c>
      <c r="H42" s="37"/>
    </row>
    <row r="43" spans="1:8" ht="15" thickBot="1" x14ac:dyDescent="0.4">
      <c r="A43" s="252" t="s">
        <v>64</v>
      </c>
      <c r="B43" s="254">
        <v>540</v>
      </c>
      <c r="C43" s="256">
        <v>1000</v>
      </c>
      <c r="D43" s="258">
        <v>45291</v>
      </c>
      <c r="E43" s="260" t="s">
        <v>74</v>
      </c>
      <c r="F43" s="226">
        <f>IF(A43="","",IFERROR(C43/(VLOOKUP(A43,'Итого цены'!$F$14:$G$26,2,)*B43/1000)-1,"Нет продукта в списке цен"))</f>
        <v>0.15740740740740744</v>
      </c>
      <c r="H43" s="37"/>
    </row>
    <row r="44" spans="1:8" x14ac:dyDescent="0.35">
      <c r="A44" s="124" t="s">
        <v>63</v>
      </c>
      <c r="B44" s="125">
        <v>664</v>
      </c>
      <c r="C44" s="220">
        <v>925</v>
      </c>
      <c r="D44" s="126">
        <v>45297</v>
      </c>
      <c r="E44" s="53" t="s">
        <v>113</v>
      </c>
      <c r="F44" s="226">
        <f>IF(A44="","",IFERROR(C44/(VLOOKUP(A44,'Итого цены'!$F$14:$G$26,2,)*B44/1000)-1,"Нет продукта в списке цен"))</f>
        <v>-0.10124368441507969</v>
      </c>
      <c r="H44" s="37"/>
    </row>
    <row r="45" spans="1:8" x14ac:dyDescent="0.35">
      <c r="A45" s="224" t="s">
        <v>64</v>
      </c>
      <c r="B45" s="221">
        <v>226</v>
      </c>
      <c r="C45" s="222">
        <v>325</v>
      </c>
      <c r="D45" s="223">
        <v>45297</v>
      </c>
      <c r="E45" s="225" t="s">
        <v>113</v>
      </c>
      <c r="F45" s="226">
        <f>IF(A45="","",IFERROR(C45/(VLOOKUP(A45,'Итого цены'!$F$14:$G$26,2,)*B45/1000)-1,"Нет продукта в списке цен"))</f>
        <v>-0.10121681415929207</v>
      </c>
      <c r="H45" s="37"/>
    </row>
    <row r="46" spans="1:8" x14ac:dyDescent="0.35">
      <c r="A46" s="242" t="s">
        <v>64</v>
      </c>
      <c r="B46" s="238">
        <v>487</v>
      </c>
      <c r="C46" s="243">
        <v>700</v>
      </c>
      <c r="D46" s="244">
        <v>45302</v>
      </c>
      <c r="E46" s="241" t="s">
        <v>72</v>
      </c>
      <c r="F46" s="226">
        <f>IF(A46="","",IFERROR(C46/(VLOOKUP(A46,'Итого цены'!$F$14:$G$26,2,)*B46/1000)-1,"Нет продукта в списке цен"))</f>
        <v>-0.10164271047227935</v>
      </c>
    </row>
    <row r="47" spans="1:8" x14ac:dyDescent="0.35">
      <c r="A47" s="160" t="s">
        <v>26</v>
      </c>
      <c r="B47" s="161">
        <v>455</v>
      </c>
      <c r="C47" s="162">
        <v>500</v>
      </c>
      <c r="D47" s="163">
        <v>45302</v>
      </c>
      <c r="E47" s="129" t="s">
        <v>71</v>
      </c>
      <c r="F47" s="226">
        <f>IF(A47="","",IFERROR(C47/(VLOOKUP(A47,'Итого цены'!$F$14:$G$26,2,)*B47/1000)-1,"Нет продукта в списке цен"))</f>
        <v>-0.15469146238377007</v>
      </c>
    </row>
    <row r="48" spans="1:8" x14ac:dyDescent="0.35">
      <c r="A48" s="147" t="s">
        <v>26</v>
      </c>
      <c r="B48" s="148">
        <v>342</v>
      </c>
      <c r="C48" s="149">
        <v>307.8</v>
      </c>
      <c r="D48" s="150">
        <v>45303</v>
      </c>
      <c r="E48" s="135" t="s">
        <v>70</v>
      </c>
      <c r="F48" s="226">
        <f>IF(A48="","",IFERROR(C48/(VLOOKUP(A48,'Итого цены'!$F$14:$G$26,2,)*B48/1000)-1,"Нет продукта в списке цен"))</f>
        <v>-0.30769230769230771</v>
      </c>
    </row>
    <row r="49" spans="1:6" x14ac:dyDescent="0.35">
      <c r="A49" s="147" t="s">
        <v>64</v>
      </c>
      <c r="B49" s="148">
        <v>190</v>
      </c>
      <c r="C49" s="149">
        <v>304</v>
      </c>
      <c r="D49" s="150">
        <v>45303</v>
      </c>
      <c r="E49" s="135" t="s">
        <v>70</v>
      </c>
      <c r="F49" s="226">
        <f>IF(A49="","",IFERROR(C49/(VLOOKUP(A49,'Итого цены'!$F$14:$G$26,2,)*B49/1000)-1,"Нет продукта в списке цен"))</f>
        <v>0</v>
      </c>
    </row>
    <row r="50" spans="1:6" x14ac:dyDescent="0.35">
      <c r="A50" s="147" t="s">
        <v>63</v>
      </c>
      <c r="B50" s="148">
        <v>560</v>
      </c>
      <c r="C50" s="149">
        <v>560</v>
      </c>
      <c r="D50" s="150">
        <v>45303</v>
      </c>
      <c r="E50" s="135" t="s">
        <v>70</v>
      </c>
      <c r="F50" s="226">
        <f>IF(A50="","",IFERROR(C50/(VLOOKUP(A50,'Итого цены'!$F$14:$G$26,2,)*B50/1000)-1,"Нет продукта в списке цен"))</f>
        <v>-0.35483870967741937</v>
      </c>
    </row>
    <row r="51" spans="1:6" x14ac:dyDescent="0.35">
      <c r="A51" s="264" t="s">
        <v>64</v>
      </c>
      <c r="B51" s="265">
        <v>76</v>
      </c>
      <c r="C51" s="266">
        <v>116.19</v>
      </c>
      <c r="D51" s="267">
        <v>45307</v>
      </c>
      <c r="E51" s="268" t="s">
        <v>73</v>
      </c>
      <c r="F51" s="226">
        <f>IF(A51="","",IFERROR(C51/(VLOOKUP(A51,'Итого цены'!$F$14:$G$26,2,)*B51/1000)-1,"Нет продукта в списке цен"))</f>
        <v>-4.4490131578947323E-2</v>
      </c>
    </row>
    <row r="52" spans="1:6" ht="15" thickBot="1" x14ac:dyDescent="0.4">
      <c r="A52" s="274" t="s">
        <v>26</v>
      </c>
      <c r="B52" s="275">
        <v>309</v>
      </c>
      <c r="C52" s="276">
        <v>383.81</v>
      </c>
      <c r="D52" s="277">
        <v>45307</v>
      </c>
      <c r="E52" s="278" t="s">
        <v>73</v>
      </c>
      <c r="F52" s="226">
        <f>IF(A52="","",IFERROR(C52/(VLOOKUP(A52,'Итого цены'!$F$14:$G$26,2,)*B52/1000)-1,"Нет продукта в списке цен"))</f>
        <v>-4.4535723176499897E-2</v>
      </c>
    </row>
    <row r="53" spans="1:6" x14ac:dyDescent="0.35">
      <c r="A53" s="269" t="s">
        <v>27</v>
      </c>
      <c r="B53" s="270">
        <v>900</v>
      </c>
      <c r="C53" s="271">
        <v>1350</v>
      </c>
      <c r="D53" s="272">
        <v>45328</v>
      </c>
      <c r="E53" s="273" t="s">
        <v>66</v>
      </c>
      <c r="F53" s="226">
        <f>IF(A53="","",IFERROR(C53/(VLOOKUP(A53,'Итого цены'!$F$14:$G$26,2,)*B53/1000)-1,"Нет продукта в списке цен"))</f>
        <v>0</v>
      </c>
    </row>
    <row r="54" spans="1:6" x14ac:dyDescent="0.35">
      <c r="A54" s="181" t="s">
        <v>68</v>
      </c>
      <c r="B54" s="182">
        <v>140</v>
      </c>
      <c r="C54" s="183">
        <v>350</v>
      </c>
      <c r="D54" s="184">
        <v>45328</v>
      </c>
      <c r="E54" s="131" t="s">
        <v>66</v>
      </c>
      <c r="F54" s="226">
        <f>IF(A54="","",IFERROR(C54/(VLOOKUP(A54,'Итого цены'!$F$14:$G$26,2,)*B54/1000)-1,"Нет продукта в списке цен"))</f>
        <v>2.2204460492503131E-16</v>
      </c>
    </row>
  </sheetData>
  <autoFilter ref="A1:E50"/>
  <sortState ref="A2:E50">
    <sortCondition ref="D2:D50"/>
  </sortState>
  <conditionalFormatting sqref="F2:F5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:F5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54">
    <cfRule type="colorScale" priority="8">
      <colorScale>
        <cfvo type="min"/>
        <cfvo type="num" val="0"/>
        <cfvo type="max"/>
        <color rgb="FF63BE7B"/>
        <color theme="0"/>
        <color rgb="FFF8696B"/>
      </colorScale>
    </cfRule>
  </conditionalFormatting>
  <conditionalFormatting sqref="E2:E45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E47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E48:E50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E51:E5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E53:E5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M34"/>
  <sheetViews>
    <sheetView topLeftCell="A19" workbookViewId="0">
      <selection activeCell="K2" sqref="K2"/>
    </sheetView>
  </sheetViews>
  <sheetFormatPr defaultRowHeight="14.5" x14ac:dyDescent="0.35"/>
  <cols>
    <col min="5" max="5" width="18.26953125" bestFit="1" customWidth="1"/>
    <col min="6" max="7" width="10.6328125" bestFit="1" customWidth="1"/>
    <col min="8" max="8" width="11.26953125" bestFit="1" customWidth="1"/>
    <col min="9" max="9" width="10.36328125" bestFit="1" customWidth="1"/>
    <col min="10" max="10" width="12.6328125" bestFit="1" customWidth="1"/>
    <col min="11" max="11" width="12.7265625" bestFit="1" customWidth="1"/>
    <col min="12" max="12" width="17.6328125" bestFit="1" customWidth="1"/>
    <col min="13" max="13" width="10.54296875" bestFit="1" customWidth="1"/>
  </cols>
  <sheetData>
    <row r="4" spans="5:13" ht="15" thickBot="1" x14ac:dyDescent="0.4"/>
    <row r="5" spans="5:13" x14ac:dyDescent="0.35">
      <c r="E5" s="97"/>
      <c r="F5" s="288" t="s">
        <v>106</v>
      </c>
      <c r="G5" s="100" t="s">
        <v>107</v>
      </c>
      <c r="H5" s="283" t="s">
        <v>114</v>
      </c>
      <c r="I5" s="2" t="s">
        <v>124</v>
      </c>
    </row>
    <row r="6" spans="5:13" x14ac:dyDescent="0.35">
      <c r="E6" s="280" t="s">
        <v>87</v>
      </c>
      <c r="F6" s="289">
        <f>SUM(F12:F16)</f>
        <v>12698.15</v>
      </c>
      <c r="G6" s="198">
        <f>SUM(F18:F22)</f>
        <v>17817.834999999999</v>
      </c>
      <c r="H6" s="284">
        <f>SUM(F24:F28)</f>
        <v>4121.7999999999993</v>
      </c>
      <c r="I6" s="284">
        <f>SUM(F30:F34)</f>
        <v>1700</v>
      </c>
    </row>
    <row r="7" spans="5:13" x14ac:dyDescent="0.35">
      <c r="E7" s="281" t="s">
        <v>120</v>
      </c>
      <c r="F7" s="290">
        <f>SUM(K12:K14)</f>
        <v>6408.3365028538519</v>
      </c>
      <c r="G7" s="199">
        <f>SUM(K18:K21)</f>
        <v>7899.2403567231759</v>
      </c>
      <c r="H7" s="285">
        <f>SUM(K24:K28)</f>
        <v>2005.0544300846627</v>
      </c>
      <c r="I7" s="285">
        <f>SUM(K30:K34)</f>
        <v>635.542732791758</v>
      </c>
    </row>
    <row r="8" spans="5:13" x14ac:dyDescent="0.35">
      <c r="E8" s="280" t="s">
        <v>121</v>
      </c>
      <c r="F8" s="291">
        <f>F6-F7</f>
        <v>6289.8134971461477</v>
      </c>
      <c r="G8" s="200">
        <f>G6-G7</f>
        <v>9918.5946432768233</v>
      </c>
      <c r="H8" s="286">
        <f>H6-H7</f>
        <v>2116.7455699153365</v>
      </c>
      <c r="I8" s="286">
        <f>I6-I7</f>
        <v>1064.457267208242</v>
      </c>
    </row>
    <row r="9" spans="5:13" x14ac:dyDescent="0.35">
      <c r="E9" s="281" t="s">
        <v>118</v>
      </c>
      <c r="F9" s="290">
        <f>SUM(L12:L16)</f>
        <v>18359.4828295404</v>
      </c>
      <c r="G9" s="201">
        <f>SUM(L18:L22)</f>
        <v>15968.277499818088</v>
      </c>
      <c r="H9" s="285">
        <f>SUM(L24:L28)</f>
        <v>0</v>
      </c>
      <c r="I9" s="285">
        <f>SUM(L30:L34)</f>
        <v>4188.6679255449508</v>
      </c>
    </row>
    <row r="10" spans="5:13" ht="15" thickBot="1" x14ac:dyDescent="0.4">
      <c r="E10" s="282" t="s">
        <v>119</v>
      </c>
      <c r="F10" s="292">
        <f>F6-F9</f>
        <v>-5661.3328295404008</v>
      </c>
      <c r="G10" s="202">
        <f>G6-G9</f>
        <v>1849.5575001819107</v>
      </c>
      <c r="H10" s="287">
        <f>H6-H9</f>
        <v>4121.7999999999993</v>
      </c>
      <c r="I10" s="287">
        <f>I6-I9</f>
        <v>-2488.6679255449508</v>
      </c>
    </row>
    <row r="11" spans="5:13" x14ac:dyDescent="0.35">
      <c r="E11" s="98" t="s">
        <v>109</v>
      </c>
      <c r="F11" s="99" t="s">
        <v>59</v>
      </c>
      <c r="G11" s="99" t="s">
        <v>104</v>
      </c>
      <c r="H11" s="90" t="s">
        <v>112</v>
      </c>
      <c r="I11" s="90" t="s">
        <v>111</v>
      </c>
      <c r="J11" s="91" t="s">
        <v>105</v>
      </c>
      <c r="K11" s="91" t="s">
        <v>102</v>
      </c>
      <c r="L11" s="91" t="s">
        <v>103</v>
      </c>
      <c r="M11" s="92" t="s">
        <v>85</v>
      </c>
    </row>
    <row r="12" spans="5:13" x14ac:dyDescent="0.35">
      <c r="E12" s="103" t="s">
        <v>27</v>
      </c>
      <c r="F12" s="20">
        <f>SUM(Заказы!C2,Заказы!C4,Заказы!C10,Заказы!C14,Заказы!C16,Заказы!C17,Заказы!C20)</f>
        <v>7619.15</v>
      </c>
      <c r="G12" s="15">
        <v>90</v>
      </c>
      <c r="H12" s="101">
        <f>SUM(Заказы!B2,Заказы!B4,Заказы!B10,Заказы!B14,Заказы!B16,Заказы!B17,Заказы!B20)</f>
        <v>6333</v>
      </c>
      <c r="I12" s="15">
        <v>4060</v>
      </c>
      <c r="J12" s="20">
        <f>F12/H12*1000</f>
        <v>1203.0870045791885</v>
      </c>
      <c r="K12" s="43">
        <f>H12/1000*Себестоимость!$K$32</f>
        <v>3804.119661866333</v>
      </c>
      <c r="L12" s="44">
        <f>G12/10*Себестоимость!$K$31</f>
        <v>6218.6814500874134</v>
      </c>
      <c r="M12" s="93">
        <f>L12-K12</f>
        <v>2414.5617882210804</v>
      </c>
    </row>
    <row r="13" spans="5:13" x14ac:dyDescent="0.35">
      <c r="E13" s="104" t="s">
        <v>26</v>
      </c>
      <c r="F13" s="20">
        <f>SUM(Заказы!C3,Заказы!C5,Заказы!C7,Заказы!C8,Заказы!C9,Заказы!C12,Заказы!C19,Заказы!C21)</f>
        <v>3371.7999999999997</v>
      </c>
      <c r="G13" s="15">
        <v>50</v>
      </c>
      <c r="H13" s="101">
        <f>SUM(Заказы!B3,Заказы!B5,Заказы!B7,Заказы!B8,Заказы!B9,Заказы!B12,Заказы!B19,Заказы!B21)</f>
        <v>3432.5</v>
      </c>
      <c r="I13" s="108">
        <v>2500</v>
      </c>
      <c r="J13" s="20">
        <f>F13/H13*1000</f>
        <v>982.31609613983971</v>
      </c>
      <c r="K13" s="43">
        <f>H13/1000*Себестоимость!$I$32</f>
        <v>1880.7233624131948</v>
      </c>
      <c r="L13" s="44">
        <f>G13/10*Себестоимость!$I$31</f>
        <v>3287.4989583333336</v>
      </c>
      <c r="M13" s="93">
        <f>L13-K13</f>
        <v>1406.7755959201388</v>
      </c>
    </row>
    <row r="14" spans="5:13" x14ac:dyDescent="0.35">
      <c r="E14" s="104" t="s">
        <v>64</v>
      </c>
      <c r="F14" s="20">
        <f>SUM(Заказы!C6,Заказы!C11,Заказы!C13,Заказы!C15,Заказы!C18)</f>
        <v>1707.2</v>
      </c>
      <c r="G14" s="15">
        <v>40</v>
      </c>
      <c r="H14" s="101">
        <f>SUM(Заказы!B6,Заказы!B11,Заказы!B13,Заказы!B15,Заказы!B18)</f>
        <v>1067</v>
      </c>
      <c r="I14" s="108">
        <v>3300</v>
      </c>
      <c r="J14" s="20">
        <f>F14/H14*1000</f>
        <v>1600</v>
      </c>
      <c r="K14" s="43">
        <f>H14/1000*Себестоимость!$S$32</f>
        <v>723.49347857432417</v>
      </c>
      <c r="L14" s="44">
        <f>G14/10*Себестоимость!$S$31</f>
        <v>2983.4782621621621</v>
      </c>
      <c r="M14" s="93">
        <f>L14-K14</f>
        <v>2259.9847835878381</v>
      </c>
    </row>
    <row r="15" spans="5:13" x14ac:dyDescent="0.35">
      <c r="E15" s="104" t="s">
        <v>28</v>
      </c>
      <c r="F15" s="20">
        <v>0</v>
      </c>
      <c r="G15" s="15">
        <v>50</v>
      </c>
      <c r="H15" s="101">
        <v>0</v>
      </c>
      <c r="I15" s="107">
        <v>5000</v>
      </c>
      <c r="J15" s="20">
        <v>0</v>
      </c>
      <c r="K15" s="43">
        <f>H15/1000*Себестоимость!$M$32</f>
        <v>0</v>
      </c>
      <c r="L15" s="44">
        <f>G15/10*Себестоимость!$M$31</f>
        <v>4536.9143410087718</v>
      </c>
      <c r="M15" s="93">
        <f>L15-K15</f>
        <v>4536.9143410087718</v>
      </c>
    </row>
    <row r="16" spans="5:13" ht="15" thickBot="1" x14ac:dyDescent="0.4">
      <c r="E16" s="105" t="s">
        <v>32</v>
      </c>
      <c r="F16" s="94">
        <v>0</v>
      </c>
      <c r="G16" s="95">
        <v>20</v>
      </c>
      <c r="H16" s="262">
        <v>0</v>
      </c>
      <c r="I16" s="49">
        <v>2000</v>
      </c>
      <c r="J16" s="94">
        <v>0</v>
      </c>
      <c r="K16" s="94">
        <v>0</v>
      </c>
      <c r="L16" s="94">
        <f>G16/10*Себестоимость!$U$31</f>
        <v>1332.9098179487182</v>
      </c>
      <c r="M16" s="102">
        <f>L16-K16</f>
        <v>1332.9098179487182</v>
      </c>
    </row>
    <row r="17" spans="5:13" x14ac:dyDescent="0.35">
      <c r="E17" s="88" t="s">
        <v>110</v>
      </c>
      <c r="F17" s="89" t="s">
        <v>59</v>
      </c>
      <c r="G17" s="90" t="s">
        <v>104</v>
      </c>
      <c r="H17" s="263" t="s">
        <v>112</v>
      </c>
      <c r="I17" s="90" t="s">
        <v>111</v>
      </c>
      <c r="J17" s="91" t="s">
        <v>105</v>
      </c>
      <c r="K17" s="91" t="s">
        <v>102</v>
      </c>
      <c r="L17" s="91" t="s">
        <v>103</v>
      </c>
      <c r="M17" s="92" t="s">
        <v>85</v>
      </c>
    </row>
    <row r="18" spans="5:13" x14ac:dyDescent="0.35">
      <c r="E18" s="104" t="s">
        <v>27</v>
      </c>
      <c r="F18" s="20">
        <f>SUM(Заказы!C26,Заказы!C29,Заказы!C32,Заказы!C38)</f>
        <v>5344.5050000000001</v>
      </c>
      <c r="G18" s="15">
        <v>110</v>
      </c>
      <c r="H18" s="101">
        <f>SUM(Заказы!B26,Заказы!B29,Заказы!B32,Заказы!B38)</f>
        <v>4060</v>
      </c>
      <c r="I18" s="101">
        <f>11503+664</f>
        <v>12167</v>
      </c>
      <c r="J18" s="20">
        <f>F18/H18*1000</f>
        <v>1316.3805418719212</v>
      </c>
      <c r="K18" s="43">
        <f>H18/1000*Себестоимость!$K$32</f>
        <v>2438.7692763583309</v>
      </c>
      <c r="L18" s="44">
        <f>G18/10*Себестоимость!$K$31</f>
        <v>7600.6106612179492</v>
      </c>
      <c r="M18" s="93">
        <f>L18-K18</f>
        <v>5161.8413848596183</v>
      </c>
    </row>
    <row r="19" spans="5:13" x14ac:dyDescent="0.35">
      <c r="E19" s="104" t="s">
        <v>26</v>
      </c>
      <c r="F19" s="20">
        <f>SUM(Заказы!C23,Заказы!C31,Заказы!C37,Заказы!C42)</f>
        <v>2243.09</v>
      </c>
      <c r="G19" s="15">
        <v>30</v>
      </c>
      <c r="H19" s="101">
        <f>SUM(Заказы!B23,Заказы!B31,Заказы!B37,Заказы!B42)</f>
        <v>2273</v>
      </c>
      <c r="I19" s="101">
        <v>1843</v>
      </c>
      <c r="J19" s="20">
        <f>F19/H19*1000</f>
        <v>986.84117905851315</v>
      </c>
      <c r="K19" s="43">
        <f>H19/1000*Себестоимость!$I$32</f>
        <v>1245.414188715278</v>
      </c>
      <c r="L19" s="44">
        <f>G19/10*Себестоимость!$I$31</f>
        <v>1972.4993750000003</v>
      </c>
      <c r="M19" s="93">
        <f>L19-K19</f>
        <v>727.08518628472234</v>
      </c>
    </row>
    <row r="20" spans="5:13" x14ac:dyDescent="0.35">
      <c r="E20" s="104" t="s">
        <v>64</v>
      </c>
      <c r="F20" s="20">
        <f>SUM(Заказы!C22,Заказы!C24,Заказы!C25,Заказы!C27,Заказы!C30,Заказы!C34,Заказы!C36,Заказы!C39,Заказы!C41,Заказы!C43)</f>
        <v>5321.84</v>
      </c>
      <c r="G20" s="15">
        <v>50</v>
      </c>
      <c r="H20" s="101">
        <f>SUM(Заказы!B22,Заказы!B24,Заказы!B25,Заказы!B27,Заказы!B30,Заказы!B34,Заказы!B36,Заказы!B39,Заказы!B41,Заказы!B43)</f>
        <v>3100.75</v>
      </c>
      <c r="I20" s="101">
        <f>45*(30+4+26)</f>
        <v>2700</v>
      </c>
      <c r="J20" s="20">
        <f>F20/H20*1000</f>
        <v>1716.3073449971782</v>
      </c>
      <c r="K20" s="43">
        <f>H20/1000*Себестоимость!$S$32</f>
        <v>2102.5045957725733</v>
      </c>
      <c r="L20" s="44">
        <f>G20/10*Себестоимость!$S$31</f>
        <v>3729.3478277027025</v>
      </c>
      <c r="M20" s="93">
        <f>L20-K20</f>
        <v>1626.8432319301291</v>
      </c>
    </row>
    <row r="21" spans="5:13" x14ac:dyDescent="0.35">
      <c r="E21" s="104" t="s">
        <v>28</v>
      </c>
      <c r="F21" s="20">
        <f>SUM(Заказы!C28,Заказы!C33,Заказы!C35,Заказы!C40)</f>
        <v>4908.3999999999996</v>
      </c>
      <c r="G21" s="15">
        <v>0</v>
      </c>
      <c r="H21" s="101">
        <f>SUM(Заказы!B28,Заказы!B33,Заказы!B35,Заказы!B40)</f>
        <v>2561</v>
      </c>
      <c r="I21" s="101">
        <v>1183</v>
      </c>
      <c r="J21" s="20">
        <f>F21/H21*1000</f>
        <v>1916.5950800468565</v>
      </c>
      <c r="K21" s="43">
        <f>H21/1000*Себестоимость!$M$32</f>
        <v>2112.5522958769934</v>
      </c>
      <c r="L21" s="44">
        <f>G21/10*Себестоимость!$M$31</f>
        <v>0</v>
      </c>
      <c r="M21" s="93">
        <f>L21-K21</f>
        <v>-2112.5522958769934</v>
      </c>
    </row>
    <row r="22" spans="5:13" ht="15" thickBot="1" x14ac:dyDescent="0.4">
      <c r="E22" s="105" t="s">
        <v>32</v>
      </c>
      <c r="F22" s="94">
        <v>0</v>
      </c>
      <c r="G22" s="95">
        <v>40</v>
      </c>
      <c r="H22" s="49">
        <v>0</v>
      </c>
      <c r="I22" s="49">
        <v>6140</v>
      </c>
      <c r="J22" s="94">
        <v>0</v>
      </c>
      <c r="K22" s="94">
        <v>0</v>
      </c>
      <c r="L22" s="94">
        <f>G22/10*Себестоимость!$U$31</f>
        <v>2665.8196358974365</v>
      </c>
      <c r="M22" s="96"/>
    </row>
    <row r="23" spans="5:13" x14ac:dyDescent="0.35">
      <c r="E23" s="197" t="s">
        <v>117</v>
      </c>
      <c r="F23" s="89" t="s">
        <v>59</v>
      </c>
      <c r="G23" s="90" t="s">
        <v>104</v>
      </c>
      <c r="H23" s="90" t="s">
        <v>112</v>
      </c>
      <c r="I23" s="90" t="s">
        <v>111</v>
      </c>
      <c r="J23" s="91" t="s">
        <v>105</v>
      </c>
      <c r="K23" s="91" t="s">
        <v>102</v>
      </c>
      <c r="L23" s="91" t="s">
        <v>103</v>
      </c>
      <c r="M23" s="92" t="s">
        <v>85</v>
      </c>
    </row>
    <row r="24" spans="5:13" x14ac:dyDescent="0.35">
      <c r="E24" s="104" t="s">
        <v>27</v>
      </c>
      <c r="F24" s="20">
        <f>SUM(Заказы!C44,Заказы!C50)</f>
        <v>1485</v>
      </c>
      <c r="G24" s="13">
        <v>0</v>
      </c>
      <c r="H24" s="245">
        <f>SUM(Заказы!B44,Заказы!B50)</f>
        <v>1224</v>
      </c>
      <c r="I24" s="15"/>
      <c r="J24" s="20">
        <f>F24/H24*1000</f>
        <v>1213.2352941176471</v>
      </c>
      <c r="K24" s="43">
        <f>H24/1000*Себестоимость!$K$32</f>
        <v>735.23487543413728</v>
      </c>
      <c r="L24" s="44">
        <f>G24/10*Себестоимость!$K$31</f>
        <v>0</v>
      </c>
      <c r="M24" s="93">
        <f>L24-K24</f>
        <v>-735.23487543413728</v>
      </c>
    </row>
    <row r="25" spans="5:13" x14ac:dyDescent="0.35">
      <c r="E25" s="104" t="s">
        <v>26</v>
      </c>
      <c r="F25" s="44">
        <f>SUM(Заказы!C47,Заказы!C48,Заказы!C52)</f>
        <v>1191.6099999999999</v>
      </c>
      <c r="G25" s="13">
        <v>0</v>
      </c>
      <c r="H25" s="246">
        <f>SUM(Заказы!B47,Заказы!B48,Заказы!B52)</f>
        <v>1106</v>
      </c>
      <c r="I25" s="15"/>
      <c r="J25" s="20">
        <f>F25/H25*1000</f>
        <v>1077.4050632911392</v>
      </c>
      <c r="K25" s="43">
        <f>H25/1000*Себестоимость!$I$32</f>
        <v>605.99564131944453</v>
      </c>
      <c r="L25" s="44">
        <f>G25/10*Себестоимость!$I$31</f>
        <v>0</v>
      </c>
      <c r="M25" s="93">
        <f>L25-K25</f>
        <v>-605.99564131944453</v>
      </c>
    </row>
    <row r="26" spans="5:13" x14ac:dyDescent="0.35">
      <c r="E26" s="104" t="s">
        <v>64</v>
      </c>
      <c r="F26" s="44">
        <f>SUM(Заказы!C45,Заказы!C46,Заказы!C49,Заказы!C51)</f>
        <v>1445.19</v>
      </c>
      <c r="G26" s="13">
        <v>0</v>
      </c>
      <c r="H26" s="246">
        <f>SUM(Заказы!B45,Заказы!B46,Заказы!B49,Заказы!B51)</f>
        <v>979</v>
      </c>
      <c r="I26" s="15"/>
      <c r="J26" s="20">
        <f>F26/H26*1000</f>
        <v>1476.1899897854955</v>
      </c>
      <c r="K26" s="43">
        <f>H26/1000*Себестоимость!$S$32</f>
        <v>663.82391333108092</v>
      </c>
      <c r="L26" s="44">
        <f>G26/10*Себестоимость!$S$31</f>
        <v>0</v>
      </c>
      <c r="M26" s="93">
        <f>L26-K26</f>
        <v>-663.82391333108092</v>
      </c>
    </row>
    <row r="27" spans="5:13" x14ac:dyDescent="0.35">
      <c r="E27" s="104" t="s">
        <v>28</v>
      </c>
      <c r="F27" s="44">
        <v>0</v>
      </c>
      <c r="G27" s="15">
        <v>0</v>
      </c>
      <c r="H27" s="15">
        <v>0</v>
      </c>
      <c r="I27" s="106"/>
      <c r="J27" s="20" t="e">
        <f>F27/H27*1000</f>
        <v>#DIV/0!</v>
      </c>
      <c r="K27" s="43">
        <f>H27/1000*Себестоимость!$M$32</f>
        <v>0</v>
      </c>
      <c r="L27" s="44">
        <f>G27/10*Себестоимость!$M$31</f>
        <v>0</v>
      </c>
      <c r="M27" s="93">
        <f>L27-K27</f>
        <v>0</v>
      </c>
    </row>
    <row r="28" spans="5:13" ht="15" thickBot="1" x14ac:dyDescent="0.4">
      <c r="E28" s="105" t="s">
        <v>32</v>
      </c>
      <c r="F28" s="94">
        <v>0</v>
      </c>
      <c r="G28" s="95">
        <v>0</v>
      </c>
      <c r="H28" s="49">
        <v>0</v>
      </c>
      <c r="I28" s="49"/>
      <c r="J28" s="94">
        <v>0</v>
      </c>
      <c r="K28" s="94">
        <v>0</v>
      </c>
      <c r="L28" s="94">
        <f>G28/10*Себестоимость!$U$31</f>
        <v>0</v>
      </c>
      <c r="M28" s="96"/>
    </row>
    <row r="29" spans="5:13" x14ac:dyDescent="0.35">
      <c r="E29" s="197" t="s">
        <v>123</v>
      </c>
      <c r="F29" s="89" t="s">
        <v>59</v>
      </c>
      <c r="G29" s="90" t="s">
        <v>104</v>
      </c>
      <c r="H29" s="90" t="s">
        <v>112</v>
      </c>
      <c r="I29" s="90" t="s">
        <v>111</v>
      </c>
      <c r="J29" s="91" t="s">
        <v>105</v>
      </c>
      <c r="K29" s="91" t="s">
        <v>102</v>
      </c>
      <c r="L29" s="91" t="s">
        <v>103</v>
      </c>
      <c r="M29" s="92" t="s">
        <v>85</v>
      </c>
    </row>
    <row r="30" spans="5:13" x14ac:dyDescent="0.35">
      <c r="E30" s="104" t="s">
        <v>27</v>
      </c>
      <c r="F30" s="20">
        <f>SUM(Заказы!C53)</f>
        <v>1350</v>
      </c>
      <c r="G30" s="13">
        <v>20</v>
      </c>
      <c r="H30" s="245">
        <f>SUM(Заказы!B53)</f>
        <v>900</v>
      </c>
      <c r="I30" s="15"/>
      <c r="J30" s="20">
        <f>F30/H30*1000</f>
        <v>1500</v>
      </c>
      <c r="K30" s="43">
        <f>H30/1000*Себестоимость!$K$32</f>
        <v>540.61387899568922</v>
      </c>
      <c r="L30" s="44">
        <f>G30/10*Себестоимость!$K$31</f>
        <v>1381.9292111305363</v>
      </c>
      <c r="M30" s="93">
        <f>L30-K30</f>
        <v>841.31533213484704</v>
      </c>
    </row>
    <row r="31" spans="5:13" x14ac:dyDescent="0.35">
      <c r="E31" s="104" t="s">
        <v>26</v>
      </c>
      <c r="F31" s="44">
        <v>0</v>
      </c>
      <c r="G31" s="13">
        <v>20</v>
      </c>
      <c r="H31" s="279">
        <v>0</v>
      </c>
      <c r="I31" s="15"/>
      <c r="J31" s="20" t="e">
        <f>F31/H31*1000</f>
        <v>#DIV/0!</v>
      </c>
      <c r="K31" s="43">
        <f>H31/1000*Себестоимость!$I$32</f>
        <v>0</v>
      </c>
      <c r="L31" s="44">
        <f>G31/10*Себестоимость!$I$31</f>
        <v>1314.9995833333335</v>
      </c>
      <c r="M31" s="93">
        <f>L31-K31</f>
        <v>1314.9995833333335</v>
      </c>
    </row>
    <row r="32" spans="5:13" x14ac:dyDescent="0.35">
      <c r="E32" s="104" t="s">
        <v>64</v>
      </c>
      <c r="F32" s="44">
        <f>SUM(Заказы!C54)</f>
        <v>350</v>
      </c>
      <c r="G32" s="13">
        <v>20</v>
      </c>
      <c r="H32" s="246">
        <f>SUM(Заказы!B54)</f>
        <v>140</v>
      </c>
      <c r="I32" s="15"/>
      <c r="J32" s="20">
        <f>F32/H32*1000</f>
        <v>2500</v>
      </c>
      <c r="K32" s="43">
        <f>H32/1000*Себестоимость!$S$32</f>
        <v>94.928853796068793</v>
      </c>
      <c r="L32" s="44">
        <f>G32/10*Себестоимость!$S$31</f>
        <v>1491.739131081081</v>
      </c>
      <c r="M32" s="93">
        <f>L32-K32</f>
        <v>1396.8102772850123</v>
      </c>
    </row>
    <row r="33" spans="5:13" x14ac:dyDescent="0.35">
      <c r="E33" s="104" t="s">
        <v>28</v>
      </c>
      <c r="F33" s="44">
        <v>0</v>
      </c>
      <c r="G33" s="15">
        <v>0</v>
      </c>
      <c r="H33" s="15">
        <v>0</v>
      </c>
      <c r="I33" s="106"/>
      <c r="J33" s="20" t="e">
        <f>F33/H33*1000</f>
        <v>#DIV/0!</v>
      </c>
      <c r="K33" s="43">
        <f>H33/1000*Себестоимость!$M$32</f>
        <v>0</v>
      </c>
      <c r="L33" s="44">
        <f>G33/10*Себестоимость!$M$31</f>
        <v>0</v>
      </c>
      <c r="M33" s="93">
        <f>L33-K33</f>
        <v>0</v>
      </c>
    </row>
    <row r="34" spans="5:13" ht="15" thickBot="1" x14ac:dyDescent="0.4">
      <c r="E34" s="105" t="s">
        <v>32</v>
      </c>
      <c r="F34" s="94">
        <v>0</v>
      </c>
      <c r="G34" s="95">
        <v>0</v>
      </c>
      <c r="H34" s="49">
        <v>0</v>
      </c>
      <c r="I34" s="49"/>
      <c r="J34" s="94">
        <v>0</v>
      </c>
      <c r="K34" s="94">
        <v>0</v>
      </c>
      <c r="L34" s="94">
        <f>G34/10*Себестоимость!$U$31</f>
        <v>0</v>
      </c>
      <c r="M34" s="96"/>
    </row>
  </sheetData>
  <conditionalFormatting sqref="F10:K10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9" workbookViewId="0">
      <selection activeCell="B31" sqref="B31"/>
    </sheetView>
  </sheetViews>
  <sheetFormatPr defaultRowHeight="14.5" x14ac:dyDescent="0.35"/>
  <cols>
    <col min="1" max="1" width="10.08984375" bestFit="1" customWidth="1"/>
    <col min="2" max="2" width="10.36328125" bestFit="1" customWidth="1"/>
    <col min="3" max="3" width="9.90625" bestFit="1" customWidth="1"/>
    <col min="9" max="9" width="14" bestFit="1" customWidth="1"/>
  </cols>
  <sheetData>
    <row r="1" spans="1:6" ht="15" thickBot="1" x14ac:dyDescent="0.4">
      <c r="A1" s="205" t="s">
        <v>75</v>
      </c>
      <c r="B1" s="205" t="s">
        <v>59</v>
      </c>
      <c r="C1" s="205" t="s">
        <v>60</v>
      </c>
    </row>
    <row r="2" spans="1:6" x14ac:dyDescent="0.35">
      <c r="A2" s="206" t="s">
        <v>18</v>
      </c>
      <c r="B2" s="207">
        <f>520+208/7</f>
        <v>549.71428571428567</v>
      </c>
      <c r="C2" s="208">
        <v>44890</v>
      </c>
      <c r="E2" s="24" t="s">
        <v>96</v>
      </c>
      <c r="F2" s="22">
        <f>SUM($B2:$B102)+33000+4140+14500</f>
        <v>101380.37582417582</v>
      </c>
    </row>
    <row r="3" spans="1:6" x14ac:dyDescent="0.35">
      <c r="A3" s="209" t="s">
        <v>5</v>
      </c>
      <c r="B3" s="29">
        <f>115+235/13</f>
        <v>133.07692307692307</v>
      </c>
      <c r="C3" s="210">
        <v>44965</v>
      </c>
    </row>
    <row r="4" spans="1:6" x14ac:dyDescent="0.35">
      <c r="A4" s="65" t="s">
        <v>18</v>
      </c>
      <c r="B4" s="36">
        <f>150+235/13*2+1490</f>
        <v>1676.1538461538462</v>
      </c>
      <c r="C4" s="211">
        <v>44965</v>
      </c>
      <c r="E4" s="23" t="s">
        <v>97</v>
      </c>
      <c r="F4" s="17">
        <f>SUM($B2:$B102)</f>
        <v>49740.375824175819</v>
      </c>
    </row>
    <row r="5" spans="1:6" x14ac:dyDescent="0.35">
      <c r="A5" s="212" t="s">
        <v>83</v>
      </c>
      <c r="B5" s="35">
        <f>115+95+80+235/13*3</f>
        <v>344.23076923076923</v>
      </c>
      <c r="C5" s="213">
        <v>44965</v>
      </c>
    </row>
    <row r="6" spans="1:6" x14ac:dyDescent="0.35">
      <c r="A6" s="214" t="s">
        <v>18</v>
      </c>
      <c r="B6" s="34">
        <f>208+240+208/5</f>
        <v>489.6</v>
      </c>
      <c r="C6" s="215">
        <v>45112</v>
      </c>
    </row>
    <row r="7" spans="1:6" x14ac:dyDescent="0.35">
      <c r="A7" s="216" t="s">
        <v>79</v>
      </c>
      <c r="B7" s="33">
        <f>340+197/10</f>
        <v>359.7</v>
      </c>
      <c r="C7" s="217">
        <v>45112</v>
      </c>
    </row>
    <row r="8" spans="1:6" x14ac:dyDescent="0.35">
      <c r="A8" s="63" t="s">
        <v>80</v>
      </c>
      <c r="B8" s="33">
        <f>280+197/10</f>
        <v>299.7</v>
      </c>
      <c r="C8" s="217">
        <v>45112</v>
      </c>
    </row>
    <row r="9" spans="1:6" x14ac:dyDescent="0.35">
      <c r="A9" s="63" t="s">
        <v>81</v>
      </c>
      <c r="B9" s="33">
        <f>670+197/10</f>
        <v>689.7</v>
      </c>
      <c r="C9" s="217">
        <v>45112</v>
      </c>
    </row>
    <row r="10" spans="1:6" x14ac:dyDescent="0.35">
      <c r="A10" s="63" t="s">
        <v>98</v>
      </c>
      <c r="B10" s="33">
        <f>919+197/10</f>
        <v>938.7</v>
      </c>
      <c r="C10" s="217">
        <v>45112</v>
      </c>
    </row>
    <row r="11" spans="1:6" x14ac:dyDescent="0.35">
      <c r="A11" s="63" t="s">
        <v>99</v>
      </c>
      <c r="B11" s="33">
        <f>781+197/10</f>
        <v>800.7</v>
      </c>
      <c r="C11" s="217">
        <v>45112</v>
      </c>
    </row>
    <row r="12" spans="1:6" x14ac:dyDescent="0.35">
      <c r="A12" s="63" t="s">
        <v>100</v>
      </c>
      <c r="B12" s="33">
        <f>1045+197/10</f>
        <v>1064.7</v>
      </c>
      <c r="C12" s="217">
        <v>45112</v>
      </c>
    </row>
    <row r="13" spans="1:6" ht="15" thickBot="1" x14ac:dyDescent="0.4">
      <c r="A13" s="218" t="s">
        <v>82</v>
      </c>
      <c r="B13" s="48">
        <f>90+20.8</f>
        <v>110.8</v>
      </c>
      <c r="C13" s="219">
        <v>45112</v>
      </c>
    </row>
    <row r="14" spans="1:6" x14ac:dyDescent="0.35">
      <c r="A14" s="54" t="s">
        <v>77</v>
      </c>
      <c r="B14" s="55">
        <v>2000</v>
      </c>
      <c r="C14" s="56">
        <v>45232</v>
      </c>
    </row>
    <row r="15" spans="1:6" x14ac:dyDescent="0.35">
      <c r="A15" s="57" t="s">
        <v>2</v>
      </c>
      <c r="B15" s="26">
        <v>4400</v>
      </c>
      <c r="C15" s="58">
        <v>45233</v>
      </c>
    </row>
    <row r="16" spans="1:6" x14ac:dyDescent="0.35">
      <c r="A16" s="59" t="s">
        <v>76</v>
      </c>
      <c r="B16" s="27">
        <v>500</v>
      </c>
      <c r="C16" s="60">
        <v>45233</v>
      </c>
    </row>
    <row r="17" spans="1:3" x14ac:dyDescent="0.35">
      <c r="A17" s="61" t="s">
        <v>2</v>
      </c>
      <c r="B17" s="28">
        <v>6050</v>
      </c>
      <c r="C17" s="62">
        <v>45241</v>
      </c>
    </row>
    <row r="18" spans="1:3" x14ac:dyDescent="0.35">
      <c r="A18" s="59" t="s">
        <v>76</v>
      </c>
      <c r="B18" s="27">
        <v>500</v>
      </c>
      <c r="C18" s="60">
        <v>45241</v>
      </c>
    </row>
    <row r="19" spans="1:3" x14ac:dyDescent="0.35">
      <c r="A19" s="63" t="s">
        <v>98</v>
      </c>
      <c r="B19" s="29">
        <f>830+256.85/3</f>
        <v>915.61666666666667</v>
      </c>
      <c r="C19" s="64">
        <v>45250</v>
      </c>
    </row>
    <row r="20" spans="1:3" x14ac:dyDescent="0.35">
      <c r="A20" s="65" t="s">
        <v>78</v>
      </c>
      <c r="B20" s="36">
        <f>135+171.75+240</f>
        <v>546.75</v>
      </c>
      <c r="C20" s="66">
        <v>45250</v>
      </c>
    </row>
    <row r="21" spans="1:3" x14ac:dyDescent="0.35">
      <c r="A21" s="67" t="s">
        <v>84</v>
      </c>
      <c r="B21" s="33">
        <f>390+256.85/3</f>
        <v>475.61666666666667</v>
      </c>
      <c r="C21" s="68">
        <v>45250</v>
      </c>
    </row>
    <row r="22" spans="1:3" x14ac:dyDescent="0.35">
      <c r="A22" s="69" t="s">
        <v>81</v>
      </c>
      <c r="B22" s="25">
        <f>550+256.85/3</f>
        <v>635.61666666666667</v>
      </c>
      <c r="C22" s="70">
        <v>45250</v>
      </c>
    </row>
    <row r="23" spans="1:3" x14ac:dyDescent="0.35">
      <c r="A23" s="71" t="s">
        <v>18</v>
      </c>
      <c r="B23" s="19">
        <v>2798</v>
      </c>
      <c r="C23" s="72">
        <v>45251</v>
      </c>
    </row>
    <row r="24" spans="1:3" x14ac:dyDescent="0.35">
      <c r="A24" s="73" t="s">
        <v>101</v>
      </c>
      <c r="B24" s="29">
        <v>856</v>
      </c>
      <c r="C24" s="64">
        <v>45253</v>
      </c>
    </row>
    <row r="25" spans="1:3" x14ac:dyDescent="0.35">
      <c r="A25" s="74" t="s">
        <v>2</v>
      </c>
      <c r="B25" s="31">
        <v>3300</v>
      </c>
      <c r="C25" s="75">
        <v>45255</v>
      </c>
    </row>
    <row r="26" spans="1:3" ht="15" thickBot="1" x14ac:dyDescent="0.4">
      <c r="A26" s="76" t="s">
        <v>76</v>
      </c>
      <c r="B26" s="47">
        <v>500</v>
      </c>
      <c r="C26" s="77">
        <v>45255</v>
      </c>
    </row>
    <row r="27" spans="1:3" x14ac:dyDescent="0.35">
      <c r="A27" s="78" t="s">
        <v>2</v>
      </c>
      <c r="B27" s="79">
        <v>3300</v>
      </c>
      <c r="C27" s="80">
        <v>45269</v>
      </c>
    </row>
    <row r="28" spans="1:3" x14ac:dyDescent="0.35">
      <c r="A28" s="81" t="s">
        <v>76</v>
      </c>
      <c r="B28" s="32">
        <v>500</v>
      </c>
      <c r="C28" s="82">
        <v>45269</v>
      </c>
    </row>
    <row r="29" spans="1:3" x14ac:dyDescent="0.35">
      <c r="A29" s="74" t="s">
        <v>2</v>
      </c>
      <c r="B29" s="31">
        <v>3300</v>
      </c>
      <c r="C29" s="75">
        <v>45283</v>
      </c>
    </row>
    <row r="30" spans="1:3" x14ac:dyDescent="0.35">
      <c r="A30" s="81" t="s">
        <v>76</v>
      </c>
      <c r="B30" s="32">
        <v>500</v>
      </c>
      <c r="C30" s="82">
        <v>45283</v>
      </c>
    </row>
    <row r="31" spans="1:3" x14ac:dyDescent="0.35">
      <c r="A31" s="83" t="s">
        <v>13</v>
      </c>
      <c r="B31" s="30">
        <v>260</v>
      </c>
      <c r="C31" s="84">
        <v>45284</v>
      </c>
    </row>
    <row r="32" spans="1:3" x14ac:dyDescent="0.35">
      <c r="A32" s="74" t="s">
        <v>2</v>
      </c>
      <c r="B32" s="31">
        <v>6050</v>
      </c>
      <c r="C32" s="75">
        <v>45289</v>
      </c>
    </row>
    <row r="33" spans="1:3" x14ac:dyDescent="0.35">
      <c r="A33" s="81" t="s">
        <v>76</v>
      </c>
      <c r="B33" s="32">
        <v>500</v>
      </c>
      <c r="C33" s="82">
        <v>45289</v>
      </c>
    </row>
    <row r="34" spans="1:3" ht="15" thickBot="1" x14ac:dyDescent="0.4">
      <c r="A34" s="85" t="s">
        <v>5</v>
      </c>
      <c r="B34" s="86">
        <v>239</v>
      </c>
      <c r="C34" s="87">
        <v>45289</v>
      </c>
    </row>
    <row r="35" spans="1:3" ht="15" thickBot="1" x14ac:dyDescent="0.4">
      <c r="A35" s="65" t="s">
        <v>78</v>
      </c>
      <c r="B35" s="36">
        <v>237</v>
      </c>
      <c r="C35" s="66">
        <v>45296</v>
      </c>
    </row>
    <row r="36" spans="1:3" x14ac:dyDescent="0.35">
      <c r="A36" s="78" t="s">
        <v>2</v>
      </c>
      <c r="B36" s="79">
        <v>3420</v>
      </c>
      <c r="C36" s="80">
        <v>45340</v>
      </c>
    </row>
    <row r="37" spans="1:3" x14ac:dyDescent="0.35">
      <c r="A37" s="293" t="s">
        <v>76</v>
      </c>
      <c r="B37" s="28">
        <v>500</v>
      </c>
      <c r="C37" s="294">
        <v>45340</v>
      </c>
    </row>
  </sheetData>
  <autoFilter ref="A1:C34"/>
  <sortState ref="A2:C28">
    <sortCondition ref="C2:C28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102"/>
  <sheetViews>
    <sheetView topLeftCell="A16" workbookViewId="0">
      <selection activeCell="L22" sqref="L22"/>
    </sheetView>
  </sheetViews>
  <sheetFormatPr defaultRowHeight="14.5" x14ac:dyDescent="0.35"/>
  <cols>
    <col min="1" max="1" width="9.90625" bestFit="1" customWidth="1"/>
    <col min="2" max="2" width="9.6328125" bestFit="1" customWidth="1"/>
    <col min="3" max="3" width="13.6328125" bestFit="1" customWidth="1"/>
    <col min="6" max="6" width="9.90625" bestFit="1" customWidth="1"/>
    <col min="7" max="7" width="11.90625" bestFit="1" customWidth="1"/>
    <col min="8" max="8" width="13.6328125" bestFit="1" customWidth="1"/>
    <col min="9" max="9" width="11.1796875" bestFit="1" customWidth="1"/>
  </cols>
  <sheetData>
    <row r="2" spans="6:10" ht="15" thickBot="1" x14ac:dyDescent="0.4">
      <c r="I2" s="15"/>
      <c r="J2" s="15"/>
    </row>
    <row r="3" spans="6:10" ht="15" thickBot="1" x14ac:dyDescent="0.4">
      <c r="F3" s="120" t="s">
        <v>60</v>
      </c>
      <c r="G3" s="121" t="s">
        <v>104</v>
      </c>
      <c r="H3" s="122" t="s">
        <v>57</v>
      </c>
      <c r="I3" s="15"/>
      <c r="J3" s="15"/>
    </row>
    <row r="4" spans="6:10" x14ac:dyDescent="0.35">
      <c r="F4" s="112">
        <v>45233</v>
      </c>
      <c r="G4" s="15">
        <v>40</v>
      </c>
      <c r="H4" s="113" t="s">
        <v>27</v>
      </c>
      <c r="I4" s="15"/>
      <c r="J4" s="15"/>
    </row>
    <row r="5" spans="6:10" x14ac:dyDescent="0.35">
      <c r="F5" s="112">
        <v>45233</v>
      </c>
      <c r="G5" s="15">
        <v>10</v>
      </c>
      <c r="H5" s="113" t="s">
        <v>64</v>
      </c>
      <c r="I5" s="15"/>
      <c r="J5" s="15"/>
    </row>
    <row r="6" spans="6:10" x14ac:dyDescent="0.35">
      <c r="F6" s="112">
        <v>45233</v>
      </c>
      <c r="G6" s="15">
        <v>20</v>
      </c>
      <c r="H6" s="113" t="s">
        <v>26</v>
      </c>
      <c r="I6" s="15"/>
      <c r="J6" s="15"/>
    </row>
    <row r="7" spans="6:10" x14ac:dyDescent="0.35">
      <c r="F7" s="114">
        <v>45233</v>
      </c>
      <c r="G7" s="16">
        <v>10</v>
      </c>
      <c r="H7" s="115" t="s">
        <v>28</v>
      </c>
      <c r="I7" s="15"/>
      <c r="J7" s="15"/>
    </row>
    <row r="8" spans="6:10" x14ac:dyDescent="0.35">
      <c r="F8" s="116">
        <v>45241</v>
      </c>
      <c r="G8" s="14">
        <v>40</v>
      </c>
      <c r="H8" s="117" t="s">
        <v>27</v>
      </c>
      <c r="I8" s="15"/>
      <c r="J8" s="15"/>
    </row>
    <row r="9" spans="6:10" x14ac:dyDescent="0.35">
      <c r="F9" s="112">
        <v>45241</v>
      </c>
      <c r="G9" s="15">
        <v>20</v>
      </c>
      <c r="H9" s="113" t="s">
        <v>32</v>
      </c>
      <c r="I9" s="15"/>
      <c r="J9" s="15"/>
    </row>
    <row r="10" spans="6:10" x14ac:dyDescent="0.35">
      <c r="F10" s="112">
        <v>45241</v>
      </c>
      <c r="G10" s="15">
        <v>20</v>
      </c>
      <c r="H10" s="113" t="s">
        <v>64</v>
      </c>
      <c r="I10" s="15"/>
      <c r="J10" s="15"/>
    </row>
    <row r="11" spans="6:10" x14ac:dyDescent="0.35">
      <c r="F11" s="112">
        <v>45241</v>
      </c>
      <c r="G11" s="15">
        <v>20</v>
      </c>
      <c r="H11" s="113" t="s">
        <v>26</v>
      </c>
      <c r="I11" s="15"/>
      <c r="J11" s="15"/>
    </row>
    <row r="12" spans="6:10" x14ac:dyDescent="0.35">
      <c r="F12" s="114">
        <v>45241</v>
      </c>
      <c r="G12" s="16">
        <v>10</v>
      </c>
      <c r="H12" s="115" t="s">
        <v>28</v>
      </c>
      <c r="I12" s="15"/>
      <c r="J12" s="15"/>
    </row>
    <row r="13" spans="6:10" x14ac:dyDescent="0.35">
      <c r="F13" s="116">
        <v>45255</v>
      </c>
      <c r="G13" s="14">
        <v>30</v>
      </c>
      <c r="H13" s="117" t="s">
        <v>28</v>
      </c>
      <c r="I13" s="15"/>
      <c r="J13" s="15"/>
    </row>
    <row r="14" spans="6:10" x14ac:dyDescent="0.35">
      <c r="F14" s="112">
        <v>45255</v>
      </c>
      <c r="G14" s="15">
        <v>10</v>
      </c>
      <c r="H14" s="113" t="s">
        <v>27</v>
      </c>
      <c r="I14" s="15"/>
      <c r="J14" s="15"/>
    </row>
    <row r="15" spans="6:10" x14ac:dyDescent="0.35">
      <c r="F15" s="112">
        <v>45255</v>
      </c>
      <c r="G15" s="15">
        <v>10</v>
      </c>
      <c r="H15" s="113" t="s">
        <v>64</v>
      </c>
      <c r="I15" s="15"/>
      <c r="J15" s="15"/>
    </row>
    <row r="16" spans="6:10" ht="15" thickBot="1" x14ac:dyDescent="0.4">
      <c r="F16" s="118">
        <v>45255</v>
      </c>
      <c r="G16" s="49">
        <v>10</v>
      </c>
      <c r="H16" s="96" t="s">
        <v>26</v>
      </c>
      <c r="I16" s="15"/>
      <c r="J16" s="15"/>
    </row>
    <row r="17" spans="6:10" x14ac:dyDescent="0.35">
      <c r="F17" s="109">
        <v>45269</v>
      </c>
      <c r="G17" s="110">
        <v>20</v>
      </c>
      <c r="H17" s="111" t="s">
        <v>32</v>
      </c>
      <c r="I17" s="15"/>
      <c r="J17" s="15"/>
    </row>
    <row r="18" spans="6:10" x14ac:dyDescent="0.35">
      <c r="F18" s="112">
        <v>45269</v>
      </c>
      <c r="G18" s="15">
        <v>20</v>
      </c>
      <c r="H18" s="113" t="s">
        <v>26</v>
      </c>
      <c r="I18" s="15"/>
      <c r="J18" s="15"/>
    </row>
    <row r="19" spans="6:10" x14ac:dyDescent="0.35">
      <c r="F19" s="114">
        <v>45269</v>
      </c>
      <c r="G19" s="16">
        <v>20</v>
      </c>
      <c r="H19" s="115" t="s">
        <v>64</v>
      </c>
      <c r="I19" s="15"/>
      <c r="J19" s="15"/>
    </row>
    <row r="20" spans="6:10" x14ac:dyDescent="0.35">
      <c r="F20" s="116">
        <v>45283</v>
      </c>
      <c r="G20" s="14">
        <v>10</v>
      </c>
      <c r="H20" s="117" t="s">
        <v>27</v>
      </c>
      <c r="I20" s="15"/>
      <c r="J20" s="15"/>
    </row>
    <row r="21" spans="6:10" x14ac:dyDescent="0.35">
      <c r="F21" s="112">
        <v>45283</v>
      </c>
      <c r="G21" s="15">
        <v>20</v>
      </c>
      <c r="H21" s="113" t="s">
        <v>64</v>
      </c>
      <c r="I21" s="15"/>
      <c r="J21" s="15"/>
    </row>
    <row r="22" spans="6:10" x14ac:dyDescent="0.35">
      <c r="F22" s="112">
        <v>45283</v>
      </c>
      <c r="G22" s="15">
        <v>20</v>
      </c>
      <c r="H22" s="113" t="s">
        <v>32</v>
      </c>
      <c r="I22" s="15"/>
      <c r="J22" s="15"/>
    </row>
    <row r="23" spans="6:10" x14ac:dyDescent="0.35">
      <c r="F23" s="114">
        <v>45283</v>
      </c>
      <c r="G23" s="16">
        <v>10</v>
      </c>
      <c r="H23" s="115" t="s">
        <v>26</v>
      </c>
      <c r="I23" s="15"/>
      <c r="J23" s="15"/>
    </row>
    <row r="24" spans="6:10" x14ac:dyDescent="0.35">
      <c r="F24" s="116">
        <v>45289</v>
      </c>
      <c r="G24" s="14">
        <v>35</v>
      </c>
      <c r="H24" s="117" t="s">
        <v>27</v>
      </c>
      <c r="I24" s="15"/>
      <c r="J24" s="15"/>
    </row>
    <row r="25" spans="6:10" x14ac:dyDescent="0.35">
      <c r="F25" s="112">
        <v>45290</v>
      </c>
      <c r="G25" s="15">
        <v>65</v>
      </c>
      <c r="H25" s="113" t="s">
        <v>27</v>
      </c>
      <c r="I25" s="15"/>
      <c r="J25" s="15"/>
    </row>
    <row r="26" spans="6:10" ht="15" thickBot="1" x14ac:dyDescent="0.4">
      <c r="F26" s="118">
        <v>45291</v>
      </c>
      <c r="G26" s="95">
        <v>10</v>
      </c>
      <c r="H26" s="204" t="s">
        <v>64</v>
      </c>
      <c r="I26" s="15"/>
      <c r="J26" s="15"/>
    </row>
    <row r="27" spans="6:10" x14ac:dyDescent="0.35">
      <c r="F27" s="295">
        <v>45340</v>
      </c>
      <c r="G27" s="13">
        <v>20</v>
      </c>
      <c r="H27" s="296" t="s">
        <v>27</v>
      </c>
      <c r="I27" s="15"/>
      <c r="J27" s="15"/>
    </row>
    <row r="28" spans="6:10" x14ac:dyDescent="0.35">
      <c r="I28" s="15"/>
      <c r="J28" s="15"/>
    </row>
    <row r="29" spans="6:10" x14ac:dyDescent="0.35">
      <c r="I29" s="15"/>
      <c r="J29" s="15"/>
    </row>
    <row r="30" spans="6:10" x14ac:dyDescent="0.35">
      <c r="I30" s="15"/>
      <c r="J30" s="15"/>
    </row>
    <row r="31" spans="6:10" x14ac:dyDescent="0.35">
      <c r="I31" s="15"/>
      <c r="J31" s="15"/>
    </row>
    <row r="32" spans="6:10" x14ac:dyDescent="0.35">
      <c r="I32" s="15"/>
      <c r="J32" s="15"/>
    </row>
    <row r="33" spans="9:10" x14ac:dyDescent="0.35">
      <c r="I33" s="15"/>
      <c r="J33" s="15"/>
    </row>
    <row r="34" spans="9:10" x14ac:dyDescent="0.35">
      <c r="I34" s="15"/>
      <c r="J34" s="15"/>
    </row>
    <row r="35" spans="9:10" x14ac:dyDescent="0.35">
      <c r="I35" s="15"/>
      <c r="J35" s="15"/>
    </row>
    <row r="36" spans="9:10" x14ac:dyDescent="0.35">
      <c r="I36" s="15"/>
      <c r="J36" s="15"/>
    </row>
    <row r="37" spans="9:10" x14ac:dyDescent="0.35">
      <c r="I37" s="15"/>
      <c r="J37" s="15"/>
    </row>
    <row r="38" spans="9:10" x14ac:dyDescent="0.35">
      <c r="I38" s="15"/>
      <c r="J38" s="15"/>
    </row>
    <row r="39" spans="9:10" x14ac:dyDescent="0.35">
      <c r="I39" s="15"/>
      <c r="J39" s="15"/>
    </row>
    <row r="40" spans="9:10" x14ac:dyDescent="0.35">
      <c r="I40" s="15"/>
      <c r="J40" s="15"/>
    </row>
    <row r="41" spans="9:10" x14ac:dyDescent="0.35">
      <c r="I41" s="15"/>
      <c r="J41" s="15"/>
    </row>
    <row r="42" spans="9:10" x14ac:dyDescent="0.35">
      <c r="I42" s="15"/>
      <c r="J42" s="15"/>
    </row>
    <row r="43" spans="9:10" x14ac:dyDescent="0.35">
      <c r="I43" s="15"/>
      <c r="J43" s="15"/>
    </row>
    <row r="44" spans="9:10" x14ac:dyDescent="0.35">
      <c r="I44" s="15"/>
      <c r="J44" s="15"/>
    </row>
    <row r="45" spans="9:10" x14ac:dyDescent="0.35">
      <c r="I45" s="15"/>
      <c r="J45" s="15"/>
    </row>
    <row r="46" spans="9:10" x14ac:dyDescent="0.35">
      <c r="I46" s="15"/>
      <c r="J46" s="15"/>
    </row>
    <row r="47" spans="9:10" x14ac:dyDescent="0.35">
      <c r="I47" s="15"/>
      <c r="J47" s="15"/>
    </row>
    <row r="48" spans="9:10" x14ac:dyDescent="0.35">
      <c r="I48" s="15"/>
      <c r="J48" s="15"/>
    </row>
    <row r="49" spans="9:10" x14ac:dyDescent="0.35">
      <c r="I49" s="15"/>
      <c r="J49" s="15"/>
    </row>
    <row r="50" spans="9:10" x14ac:dyDescent="0.35">
      <c r="I50" s="15"/>
      <c r="J50" s="15"/>
    </row>
    <row r="51" spans="9:10" x14ac:dyDescent="0.35">
      <c r="I51" s="15"/>
      <c r="J51" s="15"/>
    </row>
    <row r="52" spans="9:10" x14ac:dyDescent="0.35">
      <c r="I52" s="15"/>
      <c r="J52" s="15"/>
    </row>
    <row r="53" spans="9:10" x14ac:dyDescent="0.35">
      <c r="I53" s="15"/>
      <c r="J53" s="15"/>
    </row>
    <row r="54" spans="9:10" x14ac:dyDescent="0.35">
      <c r="I54" s="15"/>
      <c r="J54" s="15"/>
    </row>
    <row r="55" spans="9:10" x14ac:dyDescent="0.35">
      <c r="I55" s="15"/>
      <c r="J55" s="15"/>
    </row>
    <row r="56" spans="9:10" x14ac:dyDescent="0.35">
      <c r="I56" s="15"/>
      <c r="J56" s="15"/>
    </row>
    <row r="57" spans="9:10" x14ac:dyDescent="0.35">
      <c r="I57" s="15"/>
      <c r="J57" s="15"/>
    </row>
    <row r="58" spans="9:10" x14ac:dyDescent="0.35">
      <c r="I58" s="15"/>
      <c r="J58" s="15"/>
    </row>
    <row r="59" spans="9:10" x14ac:dyDescent="0.35">
      <c r="I59" s="15"/>
      <c r="J59" s="15"/>
    </row>
    <row r="60" spans="9:10" x14ac:dyDescent="0.35">
      <c r="I60" s="15"/>
      <c r="J60" s="15"/>
    </row>
    <row r="61" spans="9:10" x14ac:dyDescent="0.35">
      <c r="I61" s="15"/>
      <c r="J61" s="15"/>
    </row>
    <row r="62" spans="9:10" x14ac:dyDescent="0.35">
      <c r="I62" s="15"/>
      <c r="J62" s="15"/>
    </row>
    <row r="63" spans="9:10" x14ac:dyDescent="0.35">
      <c r="I63" s="15"/>
      <c r="J63" s="15"/>
    </row>
    <row r="64" spans="9:10" x14ac:dyDescent="0.35">
      <c r="I64" s="15"/>
      <c r="J64" s="15"/>
    </row>
    <row r="65" spans="9:10" x14ac:dyDescent="0.35">
      <c r="I65" s="15"/>
      <c r="J65" s="15"/>
    </row>
    <row r="66" spans="9:10" x14ac:dyDescent="0.35">
      <c r="I66" s="15"/>
      <c r="J66" s="15"/>
    </row>
    <row r="67" spans="9:10" x14ac:dyDescent="0.35">
      <c r="I67" s="15"/>
      <c r="J67" s="15"/>
    </row>
    <row r="68" spans="9:10" x14ac:dyDescent="0.35">
      <c r="I68" s="15"/>
      <c r="J68" s="15"/>
    </row>
    <row r="69" spans="9:10" x14ac:dyDescent="0.35">
      <c r="I69" s="15"/>
      <c r="J69" s="15"/>
    </row>
    <row r="70" spans="9:10" x14ac:dyDescent="0.35">
      <c r="I70" s="15"/>
      <c r="J70" s="15"/>
    </row>
    <row r="71" spans="9:10" x14ac:dyDescent="0.35">
      <c r="I71" s="15"/>
      <c r="J71" s="15"/>
    </row>
    <row r="72" spans="9:10" x14ac:dyDescent="0.35">
      <c r="I72" s="15"/>
      <c r="J72" s="15"/>
    </row>
    <row r="73" spans="9:10" x14ac:dyDescent="0.35">
      <c r="I73" s="15"/>
      <c r="J73" s="15"/>
    </row>
    <row r="74" spans="9:10" x14ac:dyDescent="0.35">
      <c r="I74" s="15"/>
      <c r="J74" s="15"/>
    </row>
    <row r="75" spans="9:10" x14ac:dyDescent="0.35">
      <c r="I75" s="15"/>
      <c r="J75" s="15"/>
    </row>
    <row r="76" spans="9:10" x14ac:dyDescent="0.35">
      <c r="I76" s="15"/>
      <c r="J76" s="15"/>
    </row>
    <row r="77" spans="9:10" x14ac:dyDescent="0.35">
      <c r="I77" s="15"/>
      <c r="J77" s="15"/>
    </row>
    <row r="78" spans="9:10" x14ac:dyDescent="0.35">
      <c r="I78" s="15"/>
      <c r="J78" s="15"/>
    </row>
    <row r="79" spans="9:10" x14ac:dyDescent="0.35">
      <c r="I79" s="15"/>
      <c r="J79" s="15"/>
    </row>
    <row r="80" spans="9:10" x14ac:dyDescent="0.35">
      <c r="I80" s="15"/>
      <c r="J80" s="15"/>
    </row>
    <row r="81" spans="9:10" x14ac:dyDescent="0.35">
      <c r="I81" s="15"/>
      <c r="J81" s="15"/>
    </row>
    <row r="82" spans="9:10" x14ac:dyDescent="0.35">
      <c r="I82" s="15"/>
      <c r="J82" s="15"/>
    </row>
    <row r="83" spans="9:10" x14ac:dyDescent="0.35">
      <c r="I83" s="15"/>
      <c r="J83" s="15"/>
    </row>
    <row r="84" spans="9:10" x14ac:dyDescent="0.35">
      <c r="I84" s="15"/>
      <c r="J84" s="15"/>
    </row>
    <row r="85" spans="9:10" x14ac:dyDescent="0.35">
      <c r="I85" s="15"/>
      <c r="J85" s="15"/>
    </row>
    <row r="86" spans="9:10" x14ac:dyDescent="0.35">
      <c r="I86" s="15"/>
      <c r="J86" s="15"/>
    </row>
    <row r="87" spans="9:10" x14ac:dyDescent="0.35">
      <c r="I87" s="15"/>
      <c r="J87" s="15"/>
    </row>
    <row r="88" spans="9:10" x14ac:dyDescent="0.35">
      <c r="I88" s="15"/>
      <c r="J88" s="15"/>
    </row>
    <row r="89" spans="9:10" x14ac:dyDescent="0.35">
      <c r="I89" s="15"/>
      <c r="J89" s="15"/>
    </row>
    <row r="90" spans="9:10" x14ac:dyDescent="0.35">
      <c r="I90" s="15"/>
      <c r="J90" s="15"/>
    </row>
    <row r="91" spans="9:10" x14ac:dyDescent="0.35">
      <c r="I91" s="15"/>
      <c r="J91" s="15"/>
    </row>
    <row r="92" spans="9:10" x14ac:dyDescent="0.35">
      <c r="I92" s="15"/>
      <c r="J92" s="15"/>
    </row>
    <row r="93" spans="9:10" x14ac:dyDescent="0.35">
      <c r="I93" s="15"/>
      <c r="J93" s="15"/>
    </row>
    <row r="94" spans="9:10" x14ac:dyDescent="0.35">
      <c r="I94" s="15"/>
      <c r="J94" s="15"/>
    </row>
    <row r="95" spans="9:10" x14ac:dyDescent="0.35">
      <c r="I95" s="15"/>
      <c r="J95" s="15"/>
    </row>
    <row r="96" spans="9:10" x14ac:dyDescent="0.35">
      <c r="I96" s="15"/>
      <c r="J96" s="15"/>
    </row>
    <row r="97" spans="9:10" x14ac:dyDescent="0.35">
      <c r="I97" s="15"/>
      <c r="J97" s="15"/>
    </row>
    <row r="98" spans="9:10" x14ac:dyDescent="0.35">
      <c r="I98" s="15"/>
      <c r="J98" s="15"/>
    </row>
    <row r="99" spans="9:10" x14ac:dyDescent="0.35">
      <c r="I99" s="15"/>
      <c r="J99" s="15"/>
    </row>
    <row r="100" spans="9:10" x14ac:dyDescent="0.35">
      <c r="I100" s="15"/>
      <c r="J100" s="15"/>
    </row>
    <row r="101" spans="9:10" x14ac:dyDescent="0.35">
      <c r="I101" s="15"/>
      <c r="J101" s="15"/>
    </row>
    <row r="102" spans="9:10" x14ac:dyDescent="0.35">
      <c r="I102" s="15"/>
      <c r="J102" s="15"/>
    </row>
  </sheetData>
  <autoFilter ref="F3:H2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3" sqref="C3"/>
    </sheetView>
  </sheetViews>
  <sheetFormatPr defaultRowHeight="14.5" x14ac:dyDescent="0.35"/>
  <cols>
    <col min="1" max="1" width="15.81640625" customWidth="1"/>
    <col min="2" max="2" width="10.54296875" bestFit="1" customWidth="1"/>
    <col min="3" max="3" width="6.36328125" bestFit="1" customWidth="1"/>
    <col min="4" max="4" width="15.81640625" bestFit="1" customWidth="1"/>
    <col min="7" max="7" width="21.1796875" bestFit="1" customWidth="1"/>
    <col min="8" max="8" width="9.08984375" bestFit="1" customWidth="1"/>
  </cols>
  <sheetData>
    <row r="1" spans="1:8" x14ac:dyDescent="0.35">
      <c r="A1" s="1" t="s">
        <v>91</v>
      </c>
      <c r="B1" s="1" t="s">
        <v>34</v>
      </c>
      <c r="C1" s="1" t="s">
        <v>58</v>
      </c>
    </row>
    <row r="2" spans="1:8" x14ac:dyDescent="0.35">
      <c r="A2" s="1" t="s">
        <v>81</v>
      </c>
      <c r="B2" s="123">
        <f>AVERAGE(Расходы!B9,Расходы!B22)</f>
        <v>662.6583333333333</v>
      </c>
      <c r="C2" s="1">
        <v>100</v>
      </c>
    </row>
    <row r="3" spans="1:8" x14ac:dyDescent="0.35">
      <c r="A3" s="1" t="s">
        <v>95</v>
      </c>
      <c r="B3" s="123">
        <f>AVERAGE(Расходы!B10,Расходы!B19)</f>
        <v>927.1583333333333</v>
      </c>
      <c r="C3" s="1">
        <v>7.6</v>
      </c>
    </row>
    <row r="4" spans="1:8" x14ac:dyDescent="0.35">
      <c r="A4" s="1" t="s">
        <v>93</v>
      </c>
      <c r="B4" s="123">
        <f>Расходы!B11</f>
        <v>800.7</v>
      </c>
      <c r="C4" s="1">
        <v>7.4</v>
      </c>
      <c r="G4" s="45" t="s">
        <v>108</v>
      </c>
      <c r="H4" s="46">
        <f>AVERAGE(B3:B6)</f>
        <v>912.13958333333335</v>
      </c>
    </row>
    <row r="5" spans="1:8" x14ac:dyDescent="0.35">
      <c r="A5" s="1" t="s">
        <v>92</v>
      </c>
      <c r="B5" s="123">
        <f>Расходы!B12</f>
        <v>1064.7</v>
      </c>
      <c r="C5" s="1">
        <v>8.8000000000000007</v>
      </c>
    </row>
    <row r="6" spans="1:8" x14ac:dyDescent="0.35">
      <c r="A6" s="1" t="s">
        <v>94</v>
      </c>
      <c r="B6" s="123">
        <f>Расходы!B24</f>
        <v>856</v>
      </c>
      <c r="C6" s="1">
        <v>4.8</v>
      </c>
    </row>
    <row r="7" spans="1:8" x14ac:dyDescent="0.35">
      <c r="A7" s="1" t="s">
        <v>80</v>
      </c>
      <c r="B7" s="123">
        <f>AVERAGE(Расходы!B8)</f>
        <v>299.7</v>
      </c>
      <c r="C7" s="1">
        <v>100</v>
      </c>
    </row>
    <row r="8" spans="1:8" x14ac:dyDescent="0.35">
      <c r="A8" s="1" t="s">
        <v>5</v>
      </c>
      <c r="B8" s="123">
        <f>AVERAGE(Расходы!B3,Расходы!B34)</f>
        <v>186.03846153846155</v>
      </c>
      <c r="C8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Себестоимость</vt:lpstr>
      <vt:lpstr>Выбираем надбавку</vt:lpstr>
      <vt:lpstr>Итого цены</vt:lpstr>
      <vt:lpstr>Заказы</vt:lpstr>
      <vt:lpstr>Итог</vt:lpstr>
      <vt:lpstr>Расходы</vt:lpstr>
      <vt:lpstr>Варки</vt:lpstr>
      <vt:lpstr>Ингредиенты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2024-02-20T19:10:15Z</dcterms:modified>
</cp:coreProperties>
</file>