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9.xml" ContentType="application/vnd.ms-office.chartstyle+xml"/>
  <Override PartName="/xl/charts/colors9.xml" ContentType="application/vnd.ms-office.chartcolorstyle+xml"/>
  <Override PartName="/xl/charts/chart21.xml" ContentType="application/vnd.openxmlformats-officedocument.drawingml.chart+xml"/>
  <Override PartName="/xl/charts/style10.xml" ContentType="application/vnd.ms-office.chartstyle+xml"/>
  <Override PartName="/xl/charts/colors10.xml" ContentType="application/vnd.ms-office.chartcolorstyle+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charts/style13.xml" ContentType="application/vnd.ms-office.chartstyle+xml"/>
  <Override PartName="/xl/charts/colors13.xml" ContentType="application/vnd.ms-office.chartcolorstyle+xml"/>
  <Override PartName="/xl/charts/chart25.xml" ContentType="application/vnd.openxmlformats-officedocument.drawingml.chart+xml"/>
  <Override PartName="/xl/charts/style14.xml" ContentType="application/vnd.ms-office.chartstyle+xml"/>
  <Override PartName="/xl/charts/colors14.xml" ContentType="application/vnd.ms-office.chartcolorstyle+xml"/>
  <Override PartName="/xl/charts/chart2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27.xml" ContentType="application/vnd.openxmlformats-officedocument.drawingml.chart+xml"/>
  <Override PartName="/xl/charts/style16.xml" ContentType="application/vnd.ms-office.chartstyle+xml"/>
  <Override PartName="/xl/charts/colors16.xml" ContentType="application/vnd.ms-office.chartcolorstyle+xml"/>
  <Override PartName="/xl/charts/chart28.xml" ContentType="application/vnd.openxmlformats-officedocument.drawingml.chart+xml"/>
  <Override PartName="/xl/charts/style17.xml" ContentType="application/vnd.ms-office.chartstyle+xml"/>
  <Override PartName="/xl/charts/colors17.xml" ContentType="application/vnd.ms-office.chartcolorstyle+xml"/>
  <Override PartName="/xl/charts/chart2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19.xml" ContentType="application/vnd.ms-office.chartstyle+xml"/>
  <Override PartName="/xl/charts/colors19.xml" ContentType="application/vnd.ms-office.chartcolorstyle+xml"/>
  <Override PartName="/xl/charts/chart31.xml" ContentType="application/vnd.openxmlformats-officedocument.drawingml.chart+xml"/>
  <Override PartName="/xl/charts/style20.xml" ContentType="application/vnd.ms-office.chartstyle+xml"/>
  <Override PartName="/xl/charts/colors20.xml" ContentType="application/vnd.ms-office.chartcolorstyle+xml"/>
  <Override PartName="/xl/charts/chartEx1.xml" ContentType="application/vnd.ms-office.chartex+xml"/>
  <Override PartName="/xl/charts/style21.xml" ContentType="application/vnd.ms-office.chartstyle+xml"/>
  <Override PartName="/xl/charts/colors21.xml" ContentType="application/vnd.ms-office.chartcolorstyle+xml"/>
  <Override PartName="/xl/charts/chart3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33.xml" ContentType="application/vnd.openxmlformats-officedocument.drawingml.chart+xml"/>
  <Override PartName="/xl/charts/style23.xml" ContentType="application/vnd.ms-office.chartstyle+xml"/>
  <Override PartName="/xl/charts/colors23.xml" ContentType="application/vnd.ms-office.chartcolorstyle+xml"/>
  <Override PartName="/xl/charts/chart34.xml" ContentType="application/vnd.openxmlformats-officedocument.drawingml.chart+xml"/>
  <Override PartName="/xl/charts/style24.xml" ContentType="application/vnd.ms-office.chartstyle+xml"/>
  <Override PartName="/xl/charts/colors24.xml" ContentType="application/vnd.ms-office.chartcolorstyle+xml"/>
  <Override PartName="/xl/charts/chart3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66925"/>
  <mc:AlternateContent xmlns:mc="http://schemas.openxmlformats.org/markup-compatibility/2006">
    <mc:Choice Requires="x15">
      <x15ac:absPath xmlns:x15ac="http://schemas.microsoft.com/office/spreadsheetml/2010/11/ac" url="C:\Users\RainyVintage\Desktop\Research CFA\"/>
    </mc:Choice>
  </mc:AlternateContent>
  <xr:revisionPtr revIDLastSave="0" documentId="13_ncr:1_{082016D0-DC07-4271-B622-A6574A222283}" xr6:coauthVersionLast="46" xr6:coauthVersionMax="46" xr10:uidLastSave="{00000000-0000-0000-0000-000000000000}"/>
  <bookViews>
    <workbookView xWindow="-120" yWindow="-120" windowWidth="29040" windowHeight="15840" tabRatio="821" firstSheet="2" activeTab="6" xr2:uid="{2A93D6A7-FA24-8847-8766-3C2CE4E44A2C}"/>
  </bookViews>
  <sheets>
    <sheet name="Data" sheetId="3" r:id="rId1"/>
    <sheet name="Systematic Risk (β) Estimation" sheetId="6" r:id="rId2"/>
    <sheet name="CAPM" sheetId="1" r:id="rId3"/>
    <sheet name="Valuation" sheetId="22" r:id="rId4"/>
    <sheet name="DDM Model" sheetId="17" r:id="rId5"/>
    <sheet name="ER Model" sheetId="38" r:id="rId6"/>
    <sheet name="Growth" sheetId="2" r:id="rId7"/>
    <sheet name="ER" sheetId="36" r:id="rId8"/>
    <sheet name=" PE" sheetId="23" r:id="rId9"/>
    <sheet name="PVB vs ROE" sheetId="24" r:id="rId10"/>
    <sheet name="FCFE Final" sheetId="37" r:id="rId11"/>
    <sheet name="DCFE Model" sheetId="16" r:id="rId12"/>
    <sheet name="Companies" sheetId="26" r:id="rId13"/>
    <sheet name="Financial" sheetId="27" r:id="rId14"/>
    <sheet name="FCF" sheetId="29" r:id="rId15"/>
    <sheet name="FRC Comp" sheetId="31" r:id="rId16"/>
    <sheet name="Credit Ex" sheetId="32" r:id="rId17"/>
    <sheet name="Sheet2" sheetId="39" r:id="rId18"/>
    <sheet name="RIM Model" sheetId="18" r:id="rId19"/>
    <sheet name="RIM  data" sheetId="20" r:id="rId20"/>
    <sheet name="H model" sheetId="35" r:id="rId21"/>
    <sheet name="WACC" sheetId="5" r:id="rId22"/>
    <sheet name="Profit Margin" sheetId="7" r:id="rId23"/>
    <sheet name="Spread Ratio" sheetId="9" r:id="rId24"/>
    <sheet name="Invested Capital" sheetId="11" r:id="rId25"/>
  </sheets>
  <definedNames>
    <definedName name="_xlnm._FilterDatabase" localSheetId="8" hidden="1">' PE'!$C$4:$D$4</definedName>
    <definedName name="_xlnm._FilterDatabase" localSheetId="12" hidden="1">Companies!$A$1:$AV$1</definedName>
    <definedName name="_xlchart.v1.0" hidden="1">FCF!$A$11</definedName>
    <definedName name="_xlchart.v1.1" hidden="1">FCF!$B$11:$K$11</definedName>
    <definedName name="_xlchart.v1.2" hidden="1">FCF!$B$8:$K$8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31" l="1"/>
  <c r="D46" i="31"/>
  <c r="E46" i="31"/>
  <c r="F46" i="31"/>
  <c r="G46" i="31"/>
  <c r="H46" i="31"/>
  <c r="I46" i="31"/>
  <c r="J46" i="31"/>
  <c r="K46" i="31"/>
  <c r="B46" i="31"/>
  <c r="C30" i="31"/>
  <c r="D30" i="31"/>
  <c r="E30" i="31"/>
  <c r="F30" i="31"/>
  <c r="G30" i="31"/>
  <c r="H30" i="31"/>
  <c r="I30" i="31"/>
  <c r="J30" i="31"/>
  <c r="K30" i="31"/>
  <c r="B30" i="31"/>
  <c r="C21" i="2"/>
  <c r="D21" i="2"/>
  <c r="C37" i="2"/>
  <c r="C8" i="1"/>
  <c r="D30" i="38" s="1"/>
  <c r="N34" i="2"/>
  <c r="I16" i="17"/>
  <c r="F6" i="38"/>
  <c r="D35" i="2"/>
  <c r="D26" i="38"/>
  <c r="D27" i="38"/>
  <c r="AC32" i="2"/>
  <c r="AD32" i="2"/>
  <c r="AE32" i="2"/>
  <c r="AF32" i="2"/>
  <c r="AG32" i="2"/>
  <c r="AH32" i="2"/>
  <c r="J35" i="2"/>
  <c r="K35" i="2"/>
  <c r="L35" i="2"/>
  <c r="M35" i="2"/>
  <c r="N35" i="2"/>
  <c r="I35" i="2"/>
  <c r="S32" i="2"/>
  <c r="T32" i="2"/>
  <c r="U32" i="2"/>
  <c r="V32" i="2"/>
  <c r="W32" i="2"/>
  <c r="X32" i="2"/>
  <c r="Y32" i="2"/>
  <c r="Z32" i="2"/>
  <c r="AA32" i="2"/>
  <c r="AB32" i="2"/>
  <c r="S28" i="2"/>
  <c r="T28" i="2" s="1"/>
  <c r="R33" i="2"/>
  <c r="F6" i="17"/>
  <c r="I31" i="2"/>
  <c r="J31" i="2" s="1"/>
  <c r="H41" i="2"/>
  <c r="T31" i="17"/>
  <c r="S31" i="17"/>
  <c r="R31" i="17"/>
  <c r="Q31" i="17"/>
  <c r="P31" i="17"/>
  <c r="O31" i="17"/>
  <c r="N31" i="17"/>
  <c r="M31" i="17"/>
  <c r="L31" i="17"/>
  <c r="K31" i="17"/>
  <c r="J31" i="17"/>
  <c r="I31" i="17"/>
  <c r="H31" i="17"/>
  <c r="G31" i="17"/>
  <c r="F31" i="17"/>
  <c r="E31" i="17"/>
  <c r="D31" i="17"/>
  <c r="C31" i="17"/>
  <c r="B31" i="17"/>
  <c r="A31" i="17"/>
  <c r="D36" i="38"/>
  <c r="F14" i="38"/>
  <c r="F13" i="38"/>
  <c r="D13" i="38"/>
  <c r="F12" i="38"/>
  <c r="D12" i="38"/>
  <c r="F11" i="38"/>
  <c r="F10" i="38"/>
  <c r="F9" i="38"/>
  <c r="D9" i="38"/>
  <c r="F8" i="38"/>
  <c r="F7" i="38"/>
  <c r="I4" i="38"/>
  <c r="I15" i="38" s="1"/>
  <c r="F7" i="17"/>
  <c r="F8" i="17"/>
  <c r="F9" i="17"/>
  <c r="F10" i="17"/>
  <c r="D11" i="17"/>
  <c r="F11" i="17"/>
  <c r="F12" i="17"/>
  <c r="F13" i="17"/>
  <c r="F14" i="17"/>
  <c r="D15" i="17"/>
  <c r="G26" i="1"/>
  <c r="U28" i="2" l="1"/>
  <c r="U33" i="2" s="1"/>
  <c r="T33" i="2"/>
  <c r="S33" i="2"/>
  <c r="S38" i="2" s="1"/>
  <c r="D8" i="38"/>
  <c r="C26" i="17"/>
  <c r="D10" i="38"/>
  <c r="D6" i="17"/>
  <c r="D14" i="17"/>
  <c r="D13" i="17"/>
  <c r="D6" i="38"/>
  <c r="D16" i="17"/>
  <c r="I16" i="38"/>
  <c r="D5" i="17"/>
  <c r="D14" i="38"/>
  <c r="D31" i="38"/>
  <c r="D29" i="38"/>
  <c r="D5" i="38"/>
  <c r="D12" i="17"/>
  <c r="D7" i="38"/>
  <c r="D11" i="38"/>
  <c r="D15" i="38"/>
  <c r="D28" i="38"/>
  <c r="D26" i="17"/>
  <c r="D7" i="17"/>
  <c r="J32" i="2"/>
  <c r="K31" i="2"/>
  <c r="L31" i="2" s="1"/>
  <c r="L32" i="2" s="1"/>
  <c r="I32" i="2"/>
  <c r="D16" i="38"/>
  <c r="I17" i="38"/>
  <c r="V28" i="2" l="1"/>
  <c r="V33" i="2" s="1"/>
  <c r="D8" i="17"/>
  <c r="K32" i="2"/>
  <c r="M31" i="2"/>
  <c r="M32" i="2" s="1"/>
  <c r="I18" i="38"/>
  <c r="D17" i="38"/>
  <c r="W28" i="2" l="1"/>
  <c r="W33" i="2" s="1"/>
  <c r="X28" i="2"/>
  <c r="X33" i="2" s="1"/>
  <c r="D10" i="17"/>
  <c r="D9" i="17"/>
  <c r="D18" i="38"/>
  <c r="I19" i="38"/>
  <c r="D17" i="1"/>
  <c r="D18" i="1" s="1"/>
  <c r="D19" i="1" s="1"/>
  <c r="D27" i="37"/>
  <c r="C27" i="37"/>
  <c r="D26" i="37"/>
  <c r="C26" i="37"/>
  <c r="C22" i="37"/>
  <c r="D22" i="37" s="1"/>
  <c r="E22" i="37" s="1"/>
  <c r="F22" i="37" s="1"/>
  <c r="G22" i="37" s="1"/>
  <c r="H22" i="37" s="1"/>
  <c r="I22" i="37" s="1"/>
  <c r="J22" i="37" s="1"/>
  <c r="K22" i="37" s="1"/>
  <c r="L22" i="37" s="1"/>
  <c r="M22" i="37" s="1"/>
  <c r="N22" i="37" s="1"/>
  <c r="D21" i="37"/>
  <c r="C21" i="37"/>
  <c r="C23" i="37" s="1"/>
  <c r="D14" i="37"/>
  <c r="E14" i="37" s="1"/>
  <c r="F14" i="37" s="1"/>
  <c r="G14" i="37" s="1"/>
  <c r="H14" i="37" s="1"/>
  <c r="I14" i="37" s="1"/>
  <c r="J14" i="37" s="1"/>
  <c r="K14" i="37" s="1"/>
  <c r="L14" i="37" s="1"/>
  <c r="C14" i="37"/>
  <c r="C13" i="37"/>
  <c r="C11" i="37"/>
  <c r="Y28" i="2" l="1"/>
  <c r="Y33" i="2" s="1"/>
  <c r="D19" i="38"/>
  <c r="I20" i="38"/>
  <c r="D20" i="1"/>
  <c r="D21" i="1" s="1"/>
  <c r="D22" i="1" s="1"/>
  <c r="D23" i="37"/>
  <c r="D24" i="37" s="1"/>
  <c r="D28" i="37" s="1"/>
  <c r="D29" i="37" s="1"/>
  <c r="D37" i="37" s="1"/>
  <c r="E27" i="37"/>
  <c r="C12" i="37"/>
  <c r="D18" i="37" s="1"/>
  <c r="E18" i="37" s="1"/>
  <c r="E21" i="37" s="1"/>
  <c r="Z28" i="2" l="1"/>
  <c r="Z33" i="2" s="1"/>
  <c r="I21" i="38"/>
  <c r="D20" i="38"/>
  <c r="E23" i="37"/>
  <c r="E24" i="37" s="1"/>
  <c r="E28" i="37" s="1"/>
  <c r="E34" i="37"/>
  <c r="E33" i="37"/>
  <c r="E32" i="37"/>
  <c r="F18" i="37"/>
  <c r="G18" i="37" s="1"/>
  <c r="H18" i="37" s="1"/>
  <c r="I18" i="37" s="1"/>
  <c r="J18" i="37" s="1"/>
  <c r="K18" i="37" s="1"/>
  <c r="L18" i="37" s="1"/>
  <c r="M18" i="37" s="1"/>
  <c r="N18" i="37" s="1"/>
  <c r="E29" i="37"/>
  <c r="E37" i="37" s="1"/>
  <c r="E26" i="37"/>
  <c r="F27" i="37"/>
  <c r="AA28" i="2" l="1"/>
  <c r="D21" i="38"/>
  <c r="I22" i="38"/>
  <c r="F34" i="37"/>
  <c r="G34" i="37" s="1"/>
  <c r="H34" i="37" s="1"/>
  <c r="I34" i="37" s="1"/>
  <c r="J34" i="37" s="1"/>
  <c r="K34" i="37" s="1"/>
  <c r="L34" i="37" s="1"/>
  <c r="M34" i="37" s="1"/>
  <c r="N34" i="37" s="1"/>
  <c r="F33" i="37"/>
  <c r="G33" i="37" s="1"/>
  <c r="H33" i="37" s="1"/>
  <c r="I33" i="37" s="1"/>
  <c r="J33" i="37" s="1"/>
  <c r="K33" i="37" s="1"/>
  <c r="L33" i="37" s="1"/>
  <c r="M33" i="37" s="1"/>
  <c r="N33" i="37" s="1"/>
  <c r="F32" i="37"/>
  <c r="G32" i="37" s="1"/>
  <c r="H32" i="37" s="1"/>
  <c r="I32" i="37" s="1"/>
  <c r="J32" i="37" s="1"/>
  <c r="K32" i="37" s="1"/>
  <c r="L32" i="37" s="1"/>
  <c r="M32" i="37" s="1"/>
  <c r="N32" i="37" s="1"/>
  <c r="F26" i="37"/>
  <c r="G27" i="37"/>
  <c r="F21" i="37"/>
  <c r="AA33" i="2" l="1"/>
  <c r="AB28" i="2"/>
  <c r="I23" i="38"/>
  <c r="D22" i="38"/>
  <c r="G26" i="37"/>
  <c r="H27" i="37"/>
  <c r="G21" i="37"/>
  <c r="F23" i="37"/>
  <c r="F24" i="37" s="1"/>
  <c r="F28" i="37" s="1"/>
  <c r="F29" i="37" s="1"/>
  <c r="F37" i="37" s="1"/>
  <c r="AB33" i="2" l="1"/>
  <c r="AC28" i="2"/>
  <c r="D23" i="38"/>
  <c r="I24" i="38"/>
  <c r="G23" i="37"/>
  <c r="G24" i="37" s="1"/>
  <c r="G28" i="37" s="1"/>
  <c r="G29" i="37" s="1"/>
  <c r="G37" i="37" s="1"/>
  <c r="H21" i="37"/>
  <c r="I27" i="37"/>
  <c r="H26" i="37"/>
  <c r="AD28" i="2" l="1"/>
  <c r="AC33" i="2"/>
  <c r="AC38" i="2"/>
  <c r="D24" i="38"/>
  <c r="I25" i="38"/>
  <c r="I21" i="37"/>
  <c r="H23" i="37"/>
  <c r="H24" i="37" s="1"/>
  <c r="H28" i="37" s="1"/>
  <c r="H29" i="37" s="1"/>
  <c r="H37" i="37" s="1"/>
  <c r="J27" i="37"/>
  <c r="I26" i="37"/>
  <c r="AE28" i="2" l="1"/>
  <c r="AD33" i="2"/>
  <c r="AD38" i="2" s="1"/>
  <c r="D25" i="38"/>
  <c r="D32" i="38" s="1"/>
  <c r="D35" i="38" s="1"/>
  <c r="C7" i="22" s="1"/>
  <c r="K27" i="37"/>
  <c r="J26" i="37"/>
  <c r="J21" i="37"/>
  <c r="I23" i="37"/>
  <c r="I24" i="37" s="1"/>
  <c r="I28" i="37" s="1"/>
  <c r="I29" i="37" s="1"/>
  <c r="I37" i="37" s="1"/>
  <c r="AF28" i="2" l="1"/>
  <c r="AE33" i="2"/>
  <c r="AE38" i="2"/>
  <c r="K21" i="37"/>
  <c r="J23" i="37"/>
  <c r="J24" i="37" s="1"/>
  <c r="J28" i="37" s="1"/>
  <c r="J29" i="37" s="1"/>
  <c r="J37" i="37" s="1"/>
  <c r="L27" i="37"/>
  <c r="K26" i="37"/>
  <c r="AG28" i="2" l="1"/>
  <c r="AF33" i="2"/>
  <c r="AF38" i="2" s="1"/>
  <c r="L26" i="37"/>
  <c r="M27" i="37"/>
  <c r="L21" i="37"/>
  <c r="K23" i="37"/>
  <c r="K24" i="37" s="1"/>
  <c r="K28" i="37" s="1"/>
  <c r="K29" i="37" s="1"/>
  <c r="K37" i="37" s="1"/>
  <c r="AH28" i="2" l="1"/>
  <c r="AH33" i="2" s="1"/>
  <c r="AH38" i="2" s="1"/>
  <c r="AG33" i="2"/>
  <c r="L23" i="37"/>
  <c r="L24" i="37" s="1"/>
  <c r="L28" i="37" s="1"/>
  <c r="L29" i="37" s="1"/>
  <c r="L37" i="37" s="1"/>
  <c r="M21" i="37"/>
  <c r="M26" i="37"/>
  <c r="N27" i="37"/>
  <c r="AG38" i="2" l="1"/>
  <c r="AG35" i="2"/>
  <c r="N26" i="37"/>
  <c r="N21" i="37"/>
  <c r="N23" i="37" s="1"/>
  <c r="N24" i="37" s="1"/>
  <c r="N28" i="37" s="1"/>
  <c r="N29" i="37" s="1"/>
  <c r="N37" i="37" s="1"/>
  <c r="M23" i="37"/>
  <c r="M24" i="37" s="1"/>
  <c r="M28" i="37" s="1"/>
  <c r="M29" i="37" s="1"/>
  <c r="M37" i="37" s="1"/>
  <c r="D21" i="23" l="1"/>
  <c r="D5" i="36"/>
  <c r="I34" i="2" l="1"/>
  <c r="I4" i="17"/>
  <c r="K7" i="2"/>
  <c r="L7" i="2"/>
  <c r="M7" i="2" s="1"/>
  <c r="J7" i="2"/>
  <c r="I7" i="2"/>
  <c r="H21" i="2"/>
  <c r="H28" i="2"/>
  <c r="H8" i="2"/>
  <c r="J26" i="2"/>
  <c r="K26" i="2" s="1"/>
  <c r="L26" i="2" s="1"/>
  <c r="M26" i="2" s="1"/>
  <c r="N26" i="2" s="1"/>
  <c r="O26" i="2" s="1"/>
  <c r="P26" i="2" s="1"/>
  <c r="Q26" i="2" s="1"/>
  <c r="R26" i="2" s="1"/>
  <c r="N18" i="2"/>
  <c r="O18" i="2" s="1"/>
  <c r="P18" i="2" s="1"/>
  <c r="Q18" i="2" s="1"/>
  <c r="R18" i="2" s="1"/>
  <c r="I15" i="17" l="1"/>
  <c r="N7" i="2"/>
  <c r="O7" i="2" s="1"/>
  <c r="P7" i="2" s="1"/>
  <c r="Q7" i="2" s="1"/>
  <c r="R7" i="2" s="1"/>
  <c r="C14" i="35"/>
  <c r="C12" i="35"/>
  <c r="J34" i="2"/>
  <c r="K34" i="2" s="1"/>
  <c r="H32" i="2"/>
  <c r="H33" i="2" s="1"/>
  <c r="L34" i="2" l="1"/>
  <c r="M34" i="2" l="1"/>
  <c r="O34" i="2" l="1"/>
  <c r="O35" i="2" s="1"/>
  <c r="P34" i="2" l="1"/>
  <c r="P35" i="2" s="1"/>
  <c r="Q34" i="2" l="1"/>
  <c r="Q35" i="2" l="1"/>
  <c r="R34" i="2"/>
  <c r="I18" i="2"/>
  <c r="Q31" i="2"/>
  <c r="R31" i="2" s="1"/>
  <c r="P31" i="2"/>
  <c r="O31" i="2"/>
  <c r="O32" i="2" s="1"/>
  <c r="N31" i="2"/>
  <c r="N32" i="2" s="1"/>
  <c r="E12" i="2"/>
  <c r="D12" i="2"/>
  <c r="G28" i="2"/>
  <c r="F28" i="2"/>
  <c r="E28" i="2"/>
  <c r="D28" i="2"/>
  <c r="E29" i="2" s="1"/>
  <c r="C28" i="2"/>
  <c r="H24" i="2"/>
  <c r="H26" i="2" s="1"/>
  <c r="G24" i="2"/>
  <c r="G26" i="2" s="1"/>
  <c r="F24" i="2"/>
  <c r="F26" i="2" s="1"/>
  <c r="E24" i="2"/>
  <c r="E26" i="2" s="1"/>
  <c r="D24" i="2"/>
  <c r="D26" i="2" s="1"/>
  <c r="C24" i="2"/>
  <c r="C26" i="2" s="1"/>
  <c r="J21" i="2"/>
  <c r="G21" i="2"/>
  <c r="F21" i="2"/>
  <c r="E21" i="2"/>
  <c r="H19" i="2"/>
  <c r="J18" i="2"/>
  <c r="K18" i="2" s="1"/>
  <c r="L18" i="2" s="1"/>
  <c r="M18" i="2" s="1"/>
  <c r="H18" i="2"/>
  <c r="G18" i="2"/>
  <c r="F18" i="2"/>
  <c r="E18" i="2"/>
  <c r="D18" i="2"/>
  <c r="I15" i="2"/>
  <c r="J15" i="2" s="1"/>
  <c r="H15" i="2"/>
  <c r="G15" i="2"/>
  <c r="F15" i="2"/>
  <c r="E15" i="2"/>
  <c r="D15" i="2"/>
  <c r="C15" i="2"/>
  <c r="O12" i="2"/>
  <c r="N12" i="2"/>
  <c r="M12" i="2"/>
  <c r="I12" i="2"/>
  <c r="J12" i="2" s="1"/>
  <c r="H12" i="2"/>
  <c r="G12" i="2"/>
  <c r="F12" i="2"/>
  <c r="N9" i="2"/>
  <c r="O9" i="2" s="1"/>
  <c r="P9" i="2" s="1"/>
  <c r="Q9" i="2" s="1"/>
  <c r="R9" i="2" s="1"/>
  <c r="L9" i="2"/>
  <c r="H7" i="2"/>
  <c r="G7" i="2"/>
  <c r="F7" i="2"/>
  <c r="E7" i="2"/>
  <c r="D7" i="2"/>
  <c r="I6" i="2"/>
  <c r="I14" i="2" s="1"/>
  <c r="G69" i="3"/>
  <c r="D7" i="23"/>
  <c r="E12" i="24"/>
  <c r="E6" i="24"/>
  <c r="E7" i="24"/>
  <c r="E8" i="24"/>
  <c r="E9" i="24"/>
  <c r="E10" i="24"/>
  <c r="E11" i="24"/>
  <c r="E13" i="24"/>
  <c r="E14" i="24"/>
  <c r="E15" i="24"/>
  <c r="E5" i="24"/>
  <c r="C19" i="24"/>
  <c r="C22" i="24" s="1"/>
  <c r="D22" i="24" s="1"/>
  <c r="R35" i="2" l="1"/>
  <c r="S34" i="2"/>
  <c r="I17" i="17"/>
  <c r="H30" i="2"/>
  <c r="H22" i="2"/>
  <c r="G29" i="2"/>
  <c r="J6" i="2"/>
  <c r="J14" i="2" s="1"/>
  <c r="D29" i="2"/>
  <c r="F29" i="2"/>
  <c r="K15" i="2"/>
  <c r="I17" i="2"/>
  <c r="H29" i="2"/>
  <c r="I11" i="2"/>
  <c r="I20" i="2" s="1"/>
  <c r="K21" i="2"/>
  <c r="F18" i="23"/>
  <c r="G18" i="23"/>
  <c r="H18" i="23"/>
  <c r="F17" i="23"/>
  <c r="G17" i="23"/>
  <c r="H17" i="23"/>
  <c r="E6" i="23"/>
  <c r="E7" i="23"/>
  <c r="C22" i="23" s="1"/>
  <c r="D22" i="23" s="1"/>
  <c r="C8" i="22" s="1"/>
  <c r="E8" i="23"/>
  <c r="E9" i="23"/>
  <c r="E10" i="23"/>
  <c r="E11" i="23"/>
  <c r="E12" i="23"/>
  <c r="E13" i="23"/>
  <c r="E14" i="23"/>
  <c r="E15" i="23"/>
  <c r="E5" i="23"/>
  <c r="H16" i="20"/>
  <c r="H15" i="20"/>
  <c r="H14" i="20"/>
  <c r="H13" i="20"/>
  <c r="G16" i="20"/>
  <c r="F16" i="20"/>
  <c r="E16" i="20"/>
  <c r="D16" i="20"/>
  <c r="C16" i="20"/>
  <c r="B21" i="20" s="1"/>
  <c r="G15" i="20"/>
  <c r="F15" i="20"/>
  <c r="E15" i="20"/>
  <c r="D15" i="20"/>
  <c r="C15" i="20"/>
  <c r="B20" i="20" s="1"/>
  <c r="G14" i="20"/>
  <c r="F14" i="20"/>
  <c r="E14" i="20"/>
  <c r="D14" i="20"/>
  <c r="C14" i="20"/>
  <c r="B19" i="20" s="1"/>
  <c r="G13" i="20"/>
  <c r="F13" i="20"/>
  <c r="E13" i="20"/>
  <c r="D13" i="20"/>
  <c r="C13" i="20"/>
  <c r="B18" i="20" s="1"/>
  <c r="B23" i="20" s="1"/>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10" i="27"/>
  <c r="C15" i="31"/>
  <c r="D15" i="31"/>
  <c r="E15" i="31"/>
  <c r="F15" i="31"/>
  <c r="G15" i="31"/>
  <c r="H15" i="31"/>
  <c r="I15" i="31"/>
  <c r="J15" i="31"/>
  <c r="K15" i="31"/>
  <c r="C14" i="31"/>
  <c r="D14" i="31"/>
  <c r="E14" i="31"/>
  <c r="F14" i="31"/>
  <c r="G14" i="31"/>
  <c r="H14" i="31"/>
  <c r="I14" i="31"/>
  <c r="J14" i="31"/>
  <c r="K14" i="31"/>
  <c r="B15" i="31"/>
  <c r="B14" i="31"/>
  <c r="L11" i="29"/>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10" i="29"/>
  <c r="T34" i="2" l="1"/>
  <c r="S35" i="2"/>
  <c r="D8" i="22"/>
  <c r="I18" i="17"/>
  <c r="P32" i="2"/>
  <c r="L21" i="2"/>
  <c r="J17" i="2"/>
  <c r="L15" i="2"/>
  <c r="K6" i="2"/>
  <c r="K14" i="2" s="1"/>
  <c r="J11" i="2"/>
  <c r="J20" i="2" s="1"/>
  <c r="E18" i="23"/>
  <c r="E17" i="23"/>
  <c r="B9" i="22"/>
  <c r="U34" i="2" l="1"/>
  <c r="T35" i="2"/>
  <c r="K11" i="2"/>
  <c r="I19" i="17"/>
  <c r="I20" i="17" s="1"/>
  <c r="Q32" i="2"/>
  <c r="R32" i="2"/>
  <c r="M15" i="2"/>
  <c r="I24" i="2"/>
  <c r="I25" i="2" s="1"/>
  <c r="K17" i="2"/>
  <c r="L6" i="2"/>
  <c r="L14" i="2" s="1"/>
  <c r="M21" i="2"/>
  <c r="W15" i="26"/>
  <c r="V15" i="26"/>
  <c r="U15" i="26"/>
  <c r="T15" i="26"/>
  <c r="S15" i="26"/>
  <c r="R15" i="26"/>
  <c r="Q15" i="26"/>
  <c r="P15" i="26"/>
  <c r="O15" i="26"/>
  <c r="N15" i="26"/>
  <c r="M15" i="26"/>
  <c r="L15" i="26"/>
  <c r="K15" i="26"/>
  <c r="W14" i="26"/>
  <c r="V14" i="26"/>
  <c r="U14" i="26"/>
  <c r="T14" i="26"/>
  <c r="S14" i="26"/>
  <c r="R14" i="26"/>
  <c r="Q14" i="26"/>
  <c r="P14" i="26"/>
  <c r="O14" i="26"/>
  <c r="N14" i="26"/>
  <c r="M14" i="26"/>
  <c r="L14" i="26"/>
  <c r="K14" i="26"/>
  <c r="D17" i="24"/>
  <c r="V34" i="2" l="1"/>
  <c r="U35" i="2"/>
  <c r="I28" i="2"/>
  <c r="I29" i="2" s="1"/>
  <c r="L11" i="2"/>
  <c r="I21" i="17"/>
  <c r="J24" i="2"/>
  <c r="J25" i="2" s="1"/>
  <c r="J28" i="2" s="1"/>
  <c r="L17" i="2"/>
  <c r="K20" i="2"/>
  <c r="N21" i="2"/>
  <c r="M6" i="2"/>
  <c r="M14" i="2" s="1"/>
  <c r="N15" i="2"/>
  <c r="C17" i="24"/>
  <c r="C18" i="23"/>
  <c r="D18" i="23"/>
  <c r="C17" i="23"/>
  <c r="D17" i="23"/>
  <c r="W34" i="2" l="1"/>
  <c r="V35" i="2"/>
  <c r="J29" i="2"/>
  <c r="C13" i="35"/>
  <c r="I22" i="17"/>
  <c r="K24" i="2"/>
  <c r="K25" i="2" s="1"/>
  <c r="K28" i="2" s="1"/>
  <c r="O15" i="2"/>
  <c r="O21" i="2"/>
  <c r="M17" i="2"/>
  <c r="L20" i="2"/>
  <c r="N6" i="2"/>
  <c r="N11" i="2"/>
  <c r="M11" i="2"/>
  <c r="X34" i="2" l="1"/>
  <c r="W35" i="2"/>
  <c r="K29" i="2"/>
  <c r="I23" i="17"/>
  <c r="P15" i="2"/>
  <c r="O6" i="2"/>
  <c r="O11" i="2" s="1"/>
  <c r="N14" i="2"/>
  <c r="P21" i="2"/>
  <c r="L24" i="2"/>
  <c r="L25" i="2" s="1"/>
  <c r="L28" i="2" s="1"/>
  <c r="N17" i="2"/>
  <c r="M20" i="2"/>
  <c r="C36" i="20"/>
  <c r="D48" i="20" s="1"/>
  <c r="B27" i="20"/>
  <c r="D15" i="18"/>
  <c r="D5" i="18"/>
  <c r="Y34" i="2" l="1"/>
  <c r="X35" i="2"/>
  <c r="L29" i="2"/>
  <c r="I24" i="17"/>
  <c r="M24" i="2"/>
  <c r="M25" i="2" s="1"/>
  <c r="M28" i="2" s="1"/>
  <c r="O17" i="2"/>
  <c r="N20" i="2"/>
  <c r="P6" i="2"/>
  <c r="P11" i="2" s="1"/>
  <c r="Q21" i="2"/>
  <c r="O14" i="2"/>
  <c r="Q15" i="2"/>
  <c r="D28" i="17"/>
  <c r="Z34" i="2" l="1"/>
  <c r="Y35" i="2"/>
  <c r="M29" i="2"/>
  <c r="I25" i="17"/>
  <c r="Q6" i="2"/>
  <c r="Q14" i="2" s="1"/>
  <c r="N24" i="2"/>
  <c r="N25" i="2" s="1"/>
  <c r="R15" i="2"/>
  <c r="P17" i="2"/>
  <c r="O20" i="2"/>
  <c r="R21" i="2"/>
  <c r="P14" i="2"/>
  <c r="AA34" i="2" l="1"/>
  <c r="Z35" i="2"/>
  <c r="N28" i="2"/>
  <c r="N33" i="2" s="1"/>
  <c r="O24" i="2"/>
  <c r="O25" i="2" s="1"/>
  <c r="O28" i="2" s="1"/>
  <c r="R6" i="2"/>
  <c r="Q17" i="2"/>
  <c r="P20" i="2"/>
  <c r="Q11" i="2"/>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7"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AB34" i="2" l="1"/>
  <c r="AA35" i="2"/>
  <c r="R11" i="2"/>
  <c r="R14" i="2"/>
  <c r="O29" i="2"/>
  <c r="O33" i="2"/>
  <c r="N29" i="2"/>
  <c r="R17" i="2"/>
  <c r="Q20" i="2"/>
  <c r="P24" i="2"/>
  <c r="P25" i="2" s="1"/>
  <c r="P28" i="2" s="1"/>
  <c r="G70" i="3"/>
  <c r="E70" i="3"/>
  <c r="E69" i="3"/>
  <c r="B7" i="6"/>
  <c r="B4" i="6"/>
  <c r="B6" i="6"/>
  <c r="B8" i="6" s="1"/>
  <c r="B5" i="6"/>
  <c r="AC34" i="2" l="1"/>
  <c r="AB35" i="2"/>
  <c r="R20" i="2"/>
  <c r="R24" i="2" s="1"/>
  <c r="R25" i="2" s="1"/>
  <c r="P29" i="2"/>
  <c r="P33" i="2"/>
  <c r="Q24" i="2"/>
  <c r="Q25" i="2" s="1"/>
  <c r="Q28" i="2" s="1"/>
  <c r="C7" i="1"/>
  <c r="AC35" i="2" l="1"/>
  <c r="AD34" i="2"/>
  <c r="C46" i="37"/>
  <c r="B36" i="2"/>
  <c r="C15" i="35"/>
  <c r="C18" i="35" s="1"/>
  <c r="D17" i="17"/>
  <c r="D18" i="17"/>
  <c r="D19" i="17"/>
  <c r="D21" i="17"/>
  <c r="D20" i="17"/>
  <c r="D22" i="17"/>
  <c r="D23" i="17"/>
  <c r="D24" i="17"/>
  <c r="D25" i="17"/>
  <c r="R28" i="2"/>
  <c r="Q29" i="2"/>
  <c r="Q33" i="2"/>
  <c r="C50" i="20"/>
  <c r="C51" i="20" s="1"/>
  <c r="C6" i="18" s="1"/>
  <c r="D6" i="18" s="1"/>
  <c r="D50" i="20"/>
  <c r="D51" i="20" s="1"/>
  <c r="C7" i="18" s="1"/>
  <c r="D7" i="18" s="1"/>
  <c r="B28" i="20"/>
  <c r="C40" i="20" s="1"/>
  <c r="C37" i="20" s="1"/>
  <c r="B9" i="5"/>
  <c r="B9" i="6"/>
  <c r="H43" i="2" l="1"/>
  <c r="I37" i="2"/>
  <c r="I38" i="2" s="1"/>
  <c r="R37" i="2"/>
  <c r="R38" i="2" s="1"/>
  <c r="R39" i="2" s="1"/>
  <c r="T37" i="2"/>
  <c r="T38" i="2" s="1"/>
  <c r="U37" i="2"/>
  <c r="U38" i="2" s="1"/>
  <c r="AF39" i="2"/>
  <c r="AD39" i="2"/>
  <c r="AC39" i="2"/>
  <c r="AH39" i="2"/>
  <c r="AG39" i="2"/>
  <c r="V37" i="2"/>
  <c r="V38" i="2" s="1"/>
  <c r="AE39" i="2"/>
  <c r="W37" i="2"/>
  <c r="W38" i="2" s="1"/>
  <c r="X37" i="2"/>
  <c r="X38" i="2" s="1"/>
  <c r="Y37" i="2"/>
  <c r="Y38" i="2" s="1"/>
  <c r="Z37" i="2"/>
  <c r="Z38" i="2" s="1"/>
  <c r="AA37" i="2"/>
  <c r="AA38" i="2" s="1"/>
  <c r="AB37" i="2"/>
  <c r="AB38" i="2" s="1"/>
  <c r="AB39" i="2" s="1"/>
  <c r="AE34" i="2"/>
  <c r="AD35" i="2"/>
  <c r="D27" i="17"/>
  <c r="K37" i="2"/>
  <c r="K38" i="2" s="1"/>
  <c r="J37" i="2"/>
  <c r="J38" i="2" s="1"/>
  <c r="M37" i="2"/>
  <c r="M38" i="2" s="1"/>
  <c r="E37" i="2"/>
  <c r="E38" i="2" s="1"/>
  <c r="G37" i="2"/>
  <c r="G38" i="2" s="1"/>
  <c r="H37" i="2"/>
  <c r="H38" i="2" s="1"/>
  <c r="D37" i="2"/>
  <c r="D38" i="2" s="1"/>
  <c r="N37" i="2"/>
  <c r="F37" i="2"/>
  <c r="F38" i="2" s="1"/>
  <c r="C38" i="2"/>
  <c r="O37" i="2"/>
  <c r="Q37" i="2"/>
  <c r="P37" i="2"/>
  <c r="L37" i="2"/>
  <c r="L38" i="2" s="1"/>
  <c r="D38" i="37"/>
  <c r="E38" i="37"/>
  <c r="F38" i="37"/>
  <c r="G38" i="37"/>
  <c r="H38" i="37"/>
  <c r="I38" i="37"/>
  <c r="J38" i="37"/>
  <c r="K38" i="37"/>
  <c r="L38" i="37"/>
  <c r="N38" i="37"/>
  <c r="C41" i="37" s="1"/>
  <c r="M38" i="37"/>
  <c r="R29" i="2"/>
  <c r="C38" i="20"/>
  <c r="C39" i="20" s="1"/>
  <c r="E48" i="20"/>
  <c r="D13" i="16"/>
  <c r="D15" i="16" s="1"/>
  <c r="N38" i="2" l="1"/>
  <c r="N39" i="2" s="1"/>
  <c r="P38" i="2"/>
  <c r="P39" i="2" s="1"/>
  <c r="O38" i="2"/>
  <c r="O39" i="2" s="1"/>
  <c r="I39" i="2"/>
  <c r="Q38" i="2"/>
  <c r="Q39" i="2" s="1"/>
  <c r="AF34" i="2"/>
  <c r="AF35" i="2" s="1"/>
  <c r="AE35" i="2"/>
  <c r="C40" i="37"/>
  <c r="C42" i="37" s="1"/>
  <c r="C44" i="37" s="1"/>
  <c r="C6" i="22" s="1"/>
  <c r="F48" i="20"/>
  <c r="E50" i="20"/>
  <c r="E51" i="20" s="1"/>
  <c r="C8" i="18" s="1"/>
  <c r="D8" i="18" s="1"/>
  <c r="D6" i="22" l="1"/>
  <c r="G48" i="20"/>
  <c r="F50" i="20"/>
  <c r="F51" i="20" s="1"/>
  <c r="C9" i="18" s="1"/>
  <c r="D9" i="18" s="1"/>
  <c r="G50" i="20" l="1"/>
  <c r="G51" i="20" s="1"/>
  <c r="C10" i="18" s="1"/>
  <c r="D10" i="18" s="1"/>
  <c r="H48" i="20"/>
  <c r="C5" i="22"/>
  <c r="H50" i="20" l="1"/>
  <c r="H51" i="20" s="1"/>
  <c r="C11" i="18" s="1"/>
  <c r="D11" i="18" s="1"/>
  <c r="D12" i="18" s="1"/>
  <c r="D14" i="18" s="1"/>
  <c r="D5" i="22" l="1"/>
  <c r="S39" i="2" l="1"/>
  <c r="X39" i="2"/>
  <c r="Z39" i="2"/>
  <c r="V39" i="2"/>
  <c r="AA39" i="2"/>
  <c r="W39" i="2"/>
  <c r="U39" i="2"/>
  <c r="T39" i="2"/>
  <c r="Y39" i="2"/>
  <c r="I33" i="2"/>
  <c r="K33" i="2" l="1"/>
  <c r="I41" i="2"/>
  <c r="J33" i="2"/>
  <c r="J39" i="2" l="1"/>
  <c r="I43" i="2"/>
  <c r="I44" i="2" s="1"/>
  <c r="J41" i="2"/>
  <c r="M33" i="2"/>
  <c r="L33" i="2"/>
  <c r="K39" i="2"/>
  <c r="L39" i="2" l="1"/>
  <c r="M39" i="2"/>
  <c r="K41" i="2"/>
  <c r="J43" i="2"/>
  <c r="J44" i="2" s="1"/>
  <c r="H39" i="2" l="1"/>
  <c r="D8" i="36" s="1"/>
  <c r="D10" i="36" s="1"/>
  <c r="K43" i="2"/>
  <c r="K44" i="2" s="1"/>
  <c r="L41" i="2"/>
  <c r="D7" i="22" l="1"/>
  <c r="D9" i="22" s="1"/>
  <c r="L43" i="2"/>
  <c r="L44" i="2" s="1"/>
  <c r="M41" i="2"/>
  <c r="M43" i="2" l="1"/>
  <c r="M44" i="2" s="1"/>
  <c r="N41" i="2"/>
  <c r="N43" i="2" l="1"/>
  <c r="N44" i="2" s="1"/>
  <c r="O41" i="2"/>
  <c r="P41" i="2" l="1"/>
  <c r="O43" i="2"/>
  <c r="O44" i="2" s="1"/>
  <c r="P43" i="2" l="1"/>
  <c r="P44" i="2" s="1"/>
  <c r="Q41" i="2"/>
  <c r="R41" i="2" l="1"/>
  <c r="Q43" i="2"/>
  <c r="Q44" i="2" s="1"/>
  <c r="R43" i="2" l="1"/>
  <c r="R44" i="2" s="1"/>
  <c r="S41" i="2"/>
  <c r="T41" i="2" l="1"/>
  <c r="S43" i="2"/>
  <c r="S44" i="2" s="1"/>
  <c r="U41" i="2" l="1"/>
  <c r="T43" i="2"/>
  <c r="T44" i="2" s="1"/>
  <c r="U43" i="2" l="1"/>
  <c r="U44" i="2" s="1"/>
  <c r="V41" i="2"/>
  <c r="V43" i="2" l="1"/>
  <c r="V44" i="2" s="1"/>
  <c r="W41" i="2"/>
  <c r="W43" i="2" l="1"/>
  <c r="W44" i="2" s="1"/>
  <c r="X41" i="2"/>
  <c r="X43" i="2" l="1"/>
  <c r="X44" i="2" s="1"/>
  <c r="Y41" i="2"/>
  <c r="Z41" i="2" l="1"/>
  <c r="Y43" i="2"/>
  <c r="Y44" i="2" s="1"/>
  <c r="Z43" i="2" l="1"/>
  <c r="Z44" i="2" s="1"/>
  <c r="AA41" i="2"/>
  <c r="AA43" i="2" l="1"/>
  <c r="AA44" i="2" s="1"/>
  <c r="AB41" i="2"/>
  <c r="AB43" i="2" l="1"/>
  <c r="AB44" i="2" s="1"/>
  <c r="H44" i="2" s="1"/>
  <c r="AC41" i="2"/>
  <c r="AC43" i="2" l="1"/>
  <c r="AC44" i="2" s="1"/>
  <c r="AD41" i="2"/>
  <c r="AE41" i="2" l="1"/>
  <c r="AD43" i="2"/>
  <c r="AD44" i="2" s="1"/>
  <c r="AF41" i="2" l="1"/>
  <c r="AE43" i="2"/>
  <c r="AE44" i="2" s="1"/>
  <c r="AF43" i="2" l="1"/>
  <c r="AF44" i="2" s="1"/>
  <c r="AG41" i="2"/>
  <c r="AH41" i="2" l="1"/>
  <c r="AH43" i="2" s="1"/>
  <c r="AH44" i="2" s="1"/>
  <c r="AG43" i="2"/>
  <c r="AG44" i="2" s="1"/>
</calcChain>
</file>

<file path=xl/sharedStrings.xml><?xml version="1.0" encoding="utf-8"?>
<sst xmlns="http://schemas.openxmlformats.org/spreadsheetml/2006/main" count="1338" uniqueCount="537">
  <si>
    <t>Expected rate of return</t>
  </si>
  <si>
    <t>Assumptions</t>
  </si>
  <si>
    <t>Rate of return on LT Treasury Composite</t>
  </si>
  <si>
    <t>R(F)</t>
  </si>
  <si>
    <t>https://www.treasury.gov/resource-center/data-chart-center/interest-rates/pages/TextView.aspx?data=longtermrateYear&amp;year=2020</t>
  </si>
  <si>
    <t>Monthly rates of return</t>
  </si>
  <si>
    <t>Standard &amp; Poor’s 500 (S&amp;P 500)</t>
  </si>
  <si>
    <t>t</t>
  </si>
  <si>
    <t>Date</t>
  </si>
  <si>
    <t>Price(S&amp;P 500, t)</t>
  </si>
  <si>
    <t>R(S&amp;P 500, t)</t>
  </si>
  <si>
    <t>Average:</t>
  </si>
  <si>
    <t>Standard deviation:</t>
  </si>
  <si>
    <t>Cost of capital</t>
  </si>
  <si>
    <t>Value</t>
  </si>
  <si>
    <t>Weight</t>
  </si>
  <si>
    <t>Required rate of return</t>
  </si>
  <si>
    <t>Equity (fair value)</t>
  </si>
  <si>
    <t>Long-term debt (fair value)</t>
  </si>
  <si>
    <t>WACC</t>
  </si>
  <si>
    <t>Systematic risk (β) estimation</t>
  </si>
  <si>
    <t>Variance(S&amp;P 500)</t>
  </si>
  <si>
    <t>Average</t>
  </si>
  <si>
    <t>Financial Ratios</t>
  </si>
  <si>
    <t>Retention rate</t>
  </si>
  <si>
    <t>Profit margin</t>
  </si>
  <si>
    <t>Asset turnover</t>
  </si>
  <si>
    <t>Financial leverage</t>
  </si>
  <si>
    <t>Averages</t>
  </si>
  <si>
    <t>Risk free rate</t>
  </si>
  <si>
    <t> Equity (fair value) = No. shares of common stock outstanding × Current share price</t>
  </si>
  <si>
    <t>Estimated effective income tax rate</t>
  </si>
  <si>
    <t>Economic profit margin calculation</t>
  </si>
  <si>
    <t>Selected Financial Data (US$ in thousands)</t>
  </si>
  <si>
    <t>Economic profit</t>
  </si>
  <si>
    <t>Revenues</t>
  </si>
  <si>
    <t>Add: Increase (decrease) in deferred revenue</t>
  </si>
  <si>
    <t>Adjusted revenues</t>
  </si>
  <si>
    <t>Performance Ratio</t>
  </si>
  <si>
    <t>Economic profit margin</t>
  </si>
  <si>
    <t>Based on:
10-K (filing date: 2020-01-29),
10-K (filing date: 2019-01-29),
10-K (filing date: 2018-01-29),
10-K (filing date: 2017-01-27),
10-K (filing date: 2016-01-28).</t>
  </si>
  <si>
    <t>Economic spread ratio calculation</t>
  </si>
  <si>
    <t>Invested capital</t>
  </si>
  <si>
    <t>Economic spread ratio</t>
  </si>
  <si>
    <t>Based on:</t>
  </si>
  <si>
    <t>10-K (filing date: 2016-01-28).</t>
  </si>
  <si>
    <t>10-K (filing date: 2020-01-29) to</t>
  </si>
  <si>
    <t>Invested capital calculation (financing approach)</t>
  </si>
  <si>
    <t>US$ in thousands</t>
  </si>
  <si>
    <t>Long-term debt</t>
  </si>
  <si>
    <t>Operating lease liability</t>
  </si>
  <si>
    <t>Total reported debt &amp; leases</t>
  </si>
  <si>
    <t>Stockholders’ equity</t>
  </si>
  <si>
    <t>Net deferred tax (assets) liabilities</t>
  </si>
  <si>
    <t>Deferred revenue</t>
  </si>
  <si>
    <t>Equity equivalents</t>
  </si>
  <si>
    <t>Accumulated other comprehensive (income) loss, net of tax</t>
  </si>
  <si>
    <t>Adjusted stockholders’ equity</t>
  </si>
  <si>
    <t>Capital work-in-progress</t>
  </si>
  <si>
    <t>Short-term investments</t>
  </si>
  <si>
    <t>Net income</t>
  </si>
  <si>
    <t>Year</t>
  </si>
  <si>
    <t>Total assets</t>
  </si>
  <si>
    <t>Free cash flow to equity (FCFE) forecast</t>
  </si>
  <si>
    <t>US$ in thousands, except per share data</t>
  </si>
  <si>
    <t>FCFE(t) or TV(t)</t>
  </si>
  <si>
    <t>FCFE(0)</t>
  </si>
  <si>
    <t>FCFE(1)</t>
  </si>
  <si>
    <t>FCFE(2)</t>
  </si>
  <si>
    <t>FCFE(3)</t>
  </si>
  <si>
    <t>FCFE(4)</t>
  </si>
  <si>
    <t>FCFE(5)</t>
  </si>
  <si>
    <t>TV(5)</t>
  </si>
  <si>
    <t>Current share price</t>
  </si>
  <si>
    <t>Present value at Required rate of return</t>
  </si>
  <si>
    <t>Share outstanding</t>
  </si>
  <si>
    <t>As for monthly data</t>
  </si>
  <si>
    <t>First Republic Bank (FRC)</t>
  </si>
  <si>
    <t>First Republic BankInc. (FRC)</t>
  </si>
  <si>
    <t>Price(FRC, t)</t>
  </si>
  <si>
    <t>Dividend(FRC, t)</t>
  </si>
  <si>
    <t>R(FRC, t)</t>
  </si>
  <si>
    <t>Variance(FRC)</t>
  </si>
  <si>
    <t>Covariance(FRC, S&amp;P 500)</t>
  </si>
  <si>
    <t>Correlation coefficient(FRC, S&amp;P 500)</t>
  </si>
  <si>
    <t>β(FRC)</t>
  </si>
  <si>
    <t>α(FRC)</t>
  </si>
  <si>
    <t>E[R(FRC)]</t>
  </si>
  <si>
    <t>First Republic Bank Inc.</t>
  </si>
  <si>
    <t>Systematic risk (β) of First Republic Bank Inc.’s common stock</t>
  </si>
  <si>
    <t>Expected rate of return on First Republic Bank Inc.’s common stock</t>
  </si>
  <si>
    <t>Intrinsic value of First Republic Bank Inc.’s common stock</t>
  </si>
  <si>
    <t>Intrinsic value of First Republic Bank Inc.’s common stock (per share)</t>
  </si>
  <si>
    <t>Based on: 10-K (2019）</t>
  </si>
  <si>
    <t>Based on: 10-K</t>
  </si>
  <si>
    <t xml:space="preserve">Based on: 10-K </t>
  </si>
  <si>
    <t>Dividend growth rate (g) implied by PRAT model</t>
  </si>
  <si>
    <t>Dividend growth rate (g)</t>
  </si>
  <si>
    <t>Dividends per share (DPS) forecast</t>
  </si>
  <si>
    <t>DPS(t) or TV(t)</t>
  </si>
  <si>
    <t>DPS(0)</t>
  </si>
  <si>
    <t>DPS(1)</t>
  </si>
  <si>
    <t>Intrinsic value of First Republic Bank Inc.‘s common stock (per share)</t>
  </si>
  <si>
    <t>Present value at Cost of Equity</t>
  </si>
  <si>
    <t>Dividends per share</t>
  </si>
  <si>
    <t>EPS</t>
  </si>
  <si>
    <t>DPS(4)</t>
  </si>
  <si>
    <t>DPS(2)</t>
  </si>
  <si>
    <t>DPS(3)</t>
  </si>
  <si>
    <t>DPS(5)</t>
  </si>
  <si>
    <t>Residual Income forecast</t>
  </si>
  <si>
    <t>RI(1)</t>
  </si>
  <si>
    <t>RI(2)</t>
  </si>
  <si>
    <t>RI(3)</t>
  </si>
  <si>
    <t>RI(4)</t>
  </si>
  <si>
    <t>RI(5)</t>
  </si>
  <si>
    <t>RI(t) or TV(t)</t>
  </si>
  <si>
    <t>EPS and Dividends forecast</t>
  </si>
  <si>
    <t>g(t)</t>
  </si>
  <si>
    <t>g(1)</t>
  </si>
  <si>
    <t>g(2)</t>
  </si>
  <si>
    <t>g(3)</t>
  </si>
  <si>
    <t>g(4)</t>
  </si>
  <si>
    <t>5 and thereafter</t>
  </si>
  <si>
    <t>g(5)</t>
  </si>
  <si>
    <t>where:</t>
  </si>
  <si>
    <r>
      <t>P</t>
    </r>
    <r>
      <rPr>
        <sz val="9"/>
        <color rgb="FF252525"/>
        <rFont val="Times New Roman"/>
        <family val="1"/>
      </rPr>
      <t>0</t>
    </r>
    <r>
      <rPr>
        <sz val="11"/>
        <color rgb="FF252525"/>
        <rFont val="Times New Roman"/>
        <family val="1"/>
      </rPr>
      <t> = current price of share of AT&amp;T Inc.’s common stock</t>
    </r>
  </si>
  <si>
    <r>
      <t>D</t>
    </r>
    <r>
      <rPr>
        <sz val="9"/>
        <color rgb="FF252525"/>
        <rFont val="Times New Roman"/>
        <family val="1"/>
      </rPr>
      <t>0</t>
    </r>
    <r>
      <rPr>
        <sz val="11"/>
        <color rgb="FF252525"/>
        <rFont val="Times New Roman"/>
        <family val="1"/>
      </rPr>
      <t> = the last year dividends per share of AT&amp;T Inc.’s common stock</t>
    </r>
  </si>
  <si>
    <r>
      <t>r</t>
    </r>
    <r>
      <rPr>
        <sz val="11"/>
        <color rgb="FF252525"/>
        <rFont val="Times New Roman"/>
        <family val="1"/>
      </rPr>
      <t> = required rate of return on AT&amp;T Inc.’s common stock</t>
    </r>
  </si>
  <si>
    <t xml:space="preserve">Current share price P0 = </t>
  </si>
  <si>
    <t>Linear method</t>
  </si>
  <si>
    <t>BV(0)</t>
  </si>
  <si>
    <t>Book value</t>
  </si>
  <si>
    <t>Number of share outstanding</t>
  </si>
  <si>
    <t xml:space="preserve">Intrinsic value of First Republic Bank Inc.‘s common stock </t>
  </si>
  <si>
    <t xml:space="preserve"> Net Income</t>
  </si>
  <si>
    <t>Cost of Equity</t>
  </si>
  <si>
    <t>Excess Equity Return</t>
  </si>
  <si>
    <t>Financial key items</t>
  </si>
  <si>
    <r>
      <t>g</t>
    </r>
    <r>
      <rPr>
        <sz val="11"/>
        <color rgb="FF252525"/>
        <rFont val="Times New Roman"/>
        <family val="1"/>
      </rPr>
      <t> =  (</t>
    </r>
    <r>
      <rPr>
        <i/>
        <sz val="11"/>
        <color rgb="FF252525"/>
        <rFont val="Times New Roman"/>
        <family val="1"/>
      </rPr>
      <t>P</t>
    </r>
    <r>
      <rPr>
        <sz val="9"/>
        <color rgb="FF252525"/>
        <rFont val="Times New Roman"/>
        <family val="1"/>
      </rPr>
      <t>0</t>
    </r>
    <r>
      <rPr>
        <sz val="11"/>
        <color rgb="FF252525"/>
        <rFont val="Times New Roman"/>
        <family val="1"/>
      </rPr>
      <t> × </t>
    </r>
    <r>
      <rPr>
        <i/>
        <sz val="11"/>
        <color rgb="FF252525"/>
        <rFont val="Times New Roman"/>
        <family val="1"/>
      </rPr>
      <t>r</t>
    </r>
    <r>
      <rPr>
        <sz val="11"/>
        <color rgb="FF252525"/>
        <rFont val="Times New Roman"/>
        <family val="1"/>
      </rPr>
      <t> – RI ) ÷ (</t>
    </r>
    <r>
      <rPr>
        <i/>
        <sz val="11"/>
        <color rgb="FF252525"/>
        <rFont val="Times New Roman"/>
        <family val="1"/>
      </rPr>
      <t>P</t>
    </r>
    <r>
      <rPr>
        <sz val="9"/>
        <color rgb="FF252525"/>
        <rFont val="Times New Roman"/>
        <family val="1"/>
      </rPr>
      <t>0</t>
    </r>
    <r>
      <rPr>
        <sz val="11"/>
        <color rgb="FF252525"/>
        <rFont val="Times New Roman"/>
        <family val="1"/>
      </rPr>
      <t> + RI )</t>
    </r>
  </si>
  <si>
    <r>
      <t>Income growth rate (</t>
    </r>
    <r>
      <rPr>
        <b/>
        <i/>
        <sz val="17"/>
        <color rgb="FF000000"/>
        <rFont val="Times New Roman"/>
        <family val="1"/>
      </rPr>
      <t>g</t>
    </r>
    <r>
      <rPr>
        <b/>
        <sz val="17"/>
        <color rgb="FF000000"/>
        <rFont val="Times New Roman"/>
        <family val="1"/>
      </rPr>
      <t>) implied by Gordon growth model</t>
    </r>
  </si>
  <si>
    <t>FRC-US</t>
  </si>
  <si>
    <t>Model</t>
  </si>
  <si>
    <t>DDM</t>
  </si>
  <si>
    <t>RIM</t>
  </si>
  <si>
    <t>FCFE</t>
  </si>
  <si>
    <t>Implied share price</t>
  </si>
  <si>
    <t>Weighted price</t>
  </si>
  <si>
    <t>Price to Book Value valution</t>
  </si>
  <si>
    <t>Identifier</t>
  </si>
  <si>
    <t>Name</t>
  </si>
  <si>
    <t>TFC-US</t>
  </si>
  <si>
    <t>Truist Financial Corporation</t>
  </si>
  <si>
    <t>STT-US</t>
  </si>
  <si>
    <t>State Street Corporation</t>
  </si>
  <si>
    <t>First Republic Bank</t>
  </si>
  <si>
    <t>FITB-US</t>
  </si>
  <si>
    <t>Fifth Third Bancorp</t>
  </si>
  <si>
    <t>SIVB-US</t>
  </si>
  <si>
    <t>SVB Financial Group</t>
  </si>
  <si>
    <t>NTRS-US</t>
  </si>
  <si>
    <t>Northern Trust Corporation</t>
  </si>
  <si>
    <t>MTB-US</t>
  </si>
  <si>
    <t>M&amp;T Bank Corporation</t>
  </si>
  <si>
    <t>CFG-US</t>
  </si>
  <si>
    <t>Citizens Financial Group, Inc.</t>
  </si>
  <si>
    <t>ALLY-US</t>
  </si>
  <si>
    <t>Ally Financial Inc.</t>
  </si>
  <si>
    <t>HBAN-US</t>
  </si>
  <si>
    <t>Huntington Bancshares Incorporated</t>
  </si>
  <si>
    <t>CBSH-US</t>
  </si>
  <si>
    <t>Commerce Bancshares, Inc.</t>
  </si>
  <si>
    <t>PV/B</t>
  </si>
  <si>
    <t>P/E</t>
  </si>
  <si>
    <t>Current price as for 13:52 Jan 8</t>
  </si>
  <si>
    <t>Median</t>
  </si>
  <si>
    <t>-</t>
  </si>
  <si>
    <t>Total</t>
  </si>
  <si>
    <t>ROE</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</si>
  <si>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</si>
  <si>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</si>
  <si>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</si>
  <si>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</si>
  <si>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</si>
  <si>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</si>
  <si>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</si>
  <si>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</si>
  <si>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</si>
  <si>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</si>
  <si>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</si>
  <si>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</si>
  <si>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</si>
  <si>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</si>
  <si>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</si>
  <si>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</si>
  <si>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</si>
  <si>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</si>
  <si>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</si>
  <si>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</si>
  <si>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</si>
  <si>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RESIDUAL OUTPUT</t>
  </si>
  <si>
    <t>Observation</t>
  </si>
  <si>
    <t>Residuals</t>
  </si>
  <si>
    <t>Standard Residuals</t>
  </si>
  <si>
    <t>PROBABILITY OUTPUT</t>
  </si>
  <si>
    <t>Percentile</t>
  </si>
  <si>
    <t>Fiscal Year End</t>
  </si>
  <si>
    <t>Market Cap</t>
  </si>
  <si>
    <t xml:space="preserve">Revenue </t>
  </si>
  <si>
    <t xml:space="preserve">EBITDA </t>
  </si>
  <si>
    <t xml:space="preserve">Business Description </t>
  </si>
  <si>
    <t>FactSet Industry</t>
  </si>
  <si>
    <t>Company Type</t>
  </si>
  <si>
    <t>Country</t>
  </si>
  <si>
    <t>Net Interest Margin</t>
  </si>
  <si>
    <t>Interest Income / Average Interest Earning Assets</t>
  </si>
  <si>
    <t>Income Expense / Average Interest Bearing Liabilities</t>
  </si>
  <si>
    <t>Non Interest Income / Revenue</t>
  </si>
  <si>
    <t xml:space="preserve">Return on Assets </t>
  </si>
  <si>
    <t>Return on Earning Assets</t>
  </si>
  <si>
    <t>Return on Risk-Weighted Assets</t>
  </si>
  <si>
    <t xml:space="preserve">Return on Equity </t>
  </si>
  <si>
    <t>Return on Common Equity</t>
  </si>
  <si>
    <t>Efficiency Ratio</t>
  </si>
  <si>
    <t>Truist Financial Corp. operates as a financial holding company, which engages in the provision of banking services to individuals, businesses and municipalities. The firm offers a variety of loans and lease financing to individuals and entities, including insurance premium financing, permanent commercial real estate financing arrangements, loan servicing for third-party investors, direct consumer finance loans to individuals, credit card lending, automobile financing and equipment financing. It also markets a range of other services, including deposits, life insurance, property and casualty insurance, health Truist Financial Corp. operates as a financial holding company. It engages in the provision of banking services to individuals, businesses and municipalities. The company operates through the following segments: Consumer Banking and Wealth; Corporate and Commercial Banking; and Insurance Holdings. The firm offers a variety of loans and lease financing to individuals and entities, including insurance premium financing, permanent commercial real estate financing arrangements, loan servicing for third-party investors, direct consumer finance loans to individuals, credit card lending, automobile financing and equipment financing. It also markets a range of other services, including deposits, life insurance, property and casualty insurance, health insurance and commercial general liability insurance on an agency basis and through a wholesale insurance brokerage operation, merchant services, trust and retirement services, comprehensive wealth advisory services, asset management and capital markets services. The company was founded on December 6, 2019 and is headquartered in Charlotte, NC. insurance and commercial general liability insurance on an agency basis and through a wholesale insurance brokerage operation, merchant services, trust and retirement services, comprehensive wealth advisory services, asset management and capital markets services. The company was founded on December 6, 2019 and is headquartered in Charlotte, NC.</t>
  </si>
  <si>
    <t>Regional Banks</t>
  </si>
  <si>
    <t>Public Company</t>
  </si>
  <si>
    <t>United States</t>
  </si>
  <si>
    <t>State Street Corp. operates as a financial holding company. It conducts business primarily through State Street Bank. The company operates through following business lines: Investment Servicing and Investment Management. The Investment Servicing business offers custody, product and participant-level accounting, daily pricing and administration, master trust and master custody, record-keeping, cash management, foreign exchange, brokerage and other trading services, securities finance, deposit and short-term investment facilities, loans and lease financing, investment manager and alternative investment manager operations outsourcing, and performance, risk and compliance analytics. The Investment Management business provides services through State Street Global Advisors, which provides a broad array of investment management, investment research and investment advisory services to corporations, public funds and other sophisticated investors. It offers strategies for managing financial assets, including passive and active, such as enhanced indexing, using quantitative and fundamental methods for both the U.S. and global equities and fixed-income securities. The company was founded in 1969 and is headquartered in Boston, MA.</t>
  </si>
  <si>
    <t>First Republic Bank engages in the provision of private banking, business banking, real estate lending, and wealth management, including trust and custody services. It operates through the Commercial Banking and Wealth Management segments. The Commercial Banking segment represents most of the operations, including real estate secured lending, retail deposit gathering, private banking activities, mortgage sales and servicing, and managing capital, liquidity, and interest rate risk. The Wealth Management segment consists of the investment management activities of FRIM, First Republic Trust Company, FRTC Delaware, mutual fund activities through third-party providers, the brokerage activities of FRSC, and foreign exchange activities conducted on behalf of clients. The company was founded by James H. Herbert II in February 1985 and is headquartered in San Francisco, CA.</t>
  </si>
  <si>
    <t>Fifth Third Bancorp engages in the provision of banking &amp; financial services, retail &amp; commercial banking, consumer lending services, and investment advisory services through its subsidiary Fifth Third Bank. It operates through the following segments: Commercial Banking, Branch Banking, Consumer Lending and Wealth &amp; Asset Management. The Commercial Banking segment offers credit intermediation, cash management, and financial services to large and middle-market businesses. The Branch Banking segment provides deposit, loan, and lease products to individuals and small businesses. The Consumer Lending segment includes residential mortgage, home equity, automobile, and indirect lending activities. The Wealth &amp; Asset Management segment provides investment alternatives for individuals, companies, and not-for-profit organizations. The company was founded in 1975 and is headquartered in Cincinnati, OH.</t>
  </si>
  <si>
    <t>SVB Financial Group is a holding company, which engages in the provision of banking and financial services. It operates through the following segments: Global Commercial Bank, SVB Private Bank, SVB Capital, SVB Leerink and Other Items. The Global Commercial Bank segment comprises of results from the commercial bank, private equity division, SVB wine, SVB analytics, and debt fund investments. The SVB Private Bank segment offers a range of personal financial solutions for consumers. The SVB Capital segment focuses on venture capital investments. The SVB Leerink segment specializes in the equity and convertible capital markets, mergers and acquisitions, equity research, and sales and trading for growth and innovation-minded healthcare and life science companies. The company was founded in March 1999 and is headquartered in Santa Clara, CA.</t>
  </si>
  <si>
    <t>Northern Trust Corp. is a financial holding company, which engages in the provision of asset servicing, fund administration, asset management, fiduciary, and banking solutions for corporations, institutions, families, and individuals. It operates through the following segments: Corporate &amp; Institutional Services and Wealth Management. The Corporate &amp; Institutional Services Segment offers asset servicing, brokerage, banking and related services to corporate and public retirement funds, foundations, endowments, fund managers, insurance companies, and sovereign wealth funds. The Wealth Management Segment includes trust, investment management, custody, and philanthropic services, financial consulting; guardianship and estate administration, family business consulting; family financial education, brokerage services and private and business banking. Northern Trust was founded in 1971 and is headquartered in Chicago, IL.</t>
  </si>
  <si>
    <t>M&amp;T Bank Corp. operates as a bank holding company, which engages in the provision of retail and commercial banking, trust, wealth management and investment services. It operates through following segments: Business Banking, Commercial Banking, Commercial Real Estate, Discretionary Portfolio, Residential Mortgage Banking, and Retail Banking. The Business Banking segment provides services to small businesses and professionals through the company's branch network, business banking centres and other delivery channels such as telephone banking, Internet banking and automated teller machines. The Commercial Banking segment offers credit products and banking services for middle-market and large commercial customers. The Commercial Real Estate segment includes credit and deposit services to its customers. The Discretionary Portfolio segment consists of investment and trading securities, residential mortgage loans and other assets, short-term and long-term borrowed funds, brokered certificates of deposit and interest rate swap agreements related thereto, and Cayman Islands branch deposits. The Residential Mortgage Banking segment comprises of residential mortgage loans and sells substantially all of those loans in the secondary market to investors. The Retail Banking segment offers services to consumers through several delivery channels which include branch offices, automated teller machines, telephone banking, and Internet banking. The company was founded on August 30, 1856 and is headquartered in Buffalo, NY.</t>
  </si>
  <si>
    <t>Citizens Financial Group, Inc. engages in the provision of commercial banking services. It operates through the following segments: Consumer Banking and Commercial Banking. The Consumer Banking segment includes deposit products, mortgage and home equity lending, student loans, auto financing, credit cards, business loans, and wealth management and investment services. The Commercial Banking segment offers lending and leasing, trade financing, deposit and treasury management, foreign exchange and interest rate risk management, corporate finance and debt, and equity capital markets. The company was founded in 1828 and is headquartered in Providence, RI.</t>
  </si>
  <si>
    <t>Ally Financial, Inc. is a holding company, which provides digital financial services to consumers, businesses, automotive dealers, and corporate clients. It operates through the following segments: Automotive Finance Operations, Insurance Operations, Mortgage Finance Operations, and Corporate Finance Operations. The Automotive Finance Operations segment offers retail installment sales contracts, loans and leases, offering term loans to dealers, financing dealer floorplans and other lines of credit to dealers, warehouse lines to companies, fleet financing, providing financing to companies and municipalities for the purchase or lease of vehicles and equipment, and vehicle remarketing services. The Insurance Operations segment focuses on finance protection and insurance products sold primarily through the automotive dealer channel, and commercial insurance products sold directly to dealers. The Mortgage Finance Operations segment consists of the management of a held-for-investment consumer mortgage finance loan portfolio, which includes bulk purchases of jumbo and LMI mortgage loans originated by third parties. The Corporate Finance Operations segment provides senior secured leveraged cash flow and asset-based loans to mostly United States based middle market companies focuses on businesses owned by private equity sponsors with loans typically used for leveraged buyouts, mergers and acquisitions, debt refinancing, restructurings, and working capital. The company was founded in 1919 and is headquartered in Detroit, MI.</t>
  </si>
  <si>
    <t>Huntington Bancshares, Inc. operates as a bank holding company. It provides commercial and consumer banking services, mortgage banking services, automobile financing, recreational vehicle and marine financing, equipment leasing, investment management, trust services, brokerage services, insurance programs, and other financial products and services. The company operates through the following segments: Consumer &amp; Business Banking, Commercial Banking, Commercial Real Estate &amp; Vehicle Finance, Regional Banking &amp; The Huntington Private Client Group, and Home Lending. The Consumer &amp; Business Banking segment provides financial products and services to consumer and small business customers including but not limited to checking accounts, savings accounts, money market accounts, certificates of deposit, investments, consumer loans, credit cards and small business loans. The Commercial Banking segment provides products and services to the middle market, large corporate, and government public sector customers located primarily within its geographic footprint. The segment is divided into following business units: Middle Market, Large Corporate, Specialty Banking, Asset Finance, Capital Markets, Treasury Management, and Insurance. The Commercial Real Estate &amp; Vehicle Finance segment provides products and services include providing financing for land, buildings, and other commercial real estate owned or constructed by real estate developers, automobile dealerships, or other customers with real estate project financing needs, and financing for the purchase of automobiles, light-duty trucks, recreational vehicles and marine craft at franchised dealerships, financing the acquisition of new and used vehicle inventory of franchised automotive dealerships. The Regional Banking and The Huntington Private Client Group segment consists of private banking, wealth &amp; investment management, and retirement plan services. The Home Lending segment originates and services consumer loans and mortgages for customers who are located in primary banking markets. Huntington Bancshares was founded in 1966 and is headquartered in Columbus, OH.</t>
  </si>
  <si>
    <t>Commerce Bancshares, Inc. operates as a bank holding company for Commerce Bank. It provides general banking services, such as retail, corporate, investment, trust, and asset management products and services to individuals and businesses. The company operates through the following business segments: Consumer, Commercial and Wealth. The Consumer segment includes the retail branch network, consumer installment lending, personal mortgage banking, and debit &amp; credit bank card activities. The Commercial segment provides corporate lending, including the small business banking product line within the branch network, leasing, international services, and business, government deposit, and related commercial cash management services, as well as merchant and commercial bank card products. The Wealth segment provides traditional trust and estate tax planning, advisory and discretionary investment management and brokerage services. The company was founded on August 4, 1966 and is headquartered in Kansas City, MO.</t>
  </si>
  <si>
    <t>All figures in millions of U.S. Dollar except per share items.</t>
  </si>
  <si>
    <t>Risk Weighted Assets</t>
  </si>
  <si>
    <t>Total Capital Adequacy Ratio (%)</t>
  </si>
  <si>
    <t>Tier 1 Risk Based Capital Ratio (%)</t>
  </si>
  <si>
    <t>Capital Adequacy</t>
  </si>
  <si>
    <t>Non-Performing Loans/Loan Loss Reserves</t>
  </si>
  <si>
    <t>Non-Performing Loans/Total Loans (x)</t>
  </si>
  <si>
    <t>Loan Losses Reserves/Total Loans (x)</t>
  </si>
  <si>
    <t>Loan Losses Provision/Total Loans (x)</t>
  </si>
  <si>
    <t>Asset Quality (%)</t>
  </si>
  <si>
    <t>Invested Assets+Loans/Deposits</t>
  </si>
  <si>
    <t>Loans/Deposits (%)</t>
  </si>
  <si>
    <t>Invested Assets/Deposits</t>
  </si>
  <si>
    <t>Cash &amp; Secs/Deposits (M)</t>
  </si>
  <si>
    <t>Liquidity (%)</t>
  </si>
  <si>
    <t>Total Shares Outstanding  (M)</t>
  </si>
  <si>
    <t>Basic Shares Outstanding  (M)</t>
  </si>
  <si>
    <t>Diluted Shares Outstanding  (M)</t>
  </si>
  <si>
    <t>Tangible Book Value per Share</t>
  </si>
  <si>
    <t>Book Value per Share</t>
  </si>
  <si>
    <t>Dividend Payout Ratio (%)</t>
  </si>
  <si>
    <t>Dividends per Share</t>
  </si>
  <si>
    <t>EPS (diluted)</t>
  </si>
  <si>
    <t>EPS (recurring)</t>
  </si>
  <si>
    <t>Per Share</t>
  </si>
  <si>
    <t>Dividend Yield (%)</t>
  </si>
  <si>
    <t>Price/Tangible Book Value</t>
  </si>
  <si>
    <t>Price/Book Value</t>
  </si>
  <si>
    <t>Price/Earnings</t>
  </si>
  <si>
    <t>Valuation (x)</t>
  </si>
  <si>
    <t>Profitability (%)</t>
  </si>
  <si>
    <t>JUN '18</t>
  </si>
  <si>
    <t>SEP '18</t>
  </si>
  <si>
    <t>DEC '18</t>
  </si>
  <si>
    <t>MAR '19</t>
  </si>
  <si>
    <t>JUN '19</t>
  </si>
  <si>
    <t>SEP '19</t>
  </si>
  <si>
    <t>DEC '19</t>
  </si>
  <si>
    <t>MAR '20</t>
  </si>
  <si>
    <t>JUN '20</t>
  </si>
  <si>
    <t>SEP '20</t>
  </si>
  <si>
    <t>Source: FactSet Fundamentals</t>
  </si>
  <si>
    <t xml:space="preserve">FRC   33616C100   B4WHY15   NYSE    Common stock    </t>
  </si>
  <si>
    <t>$161.89</t>
  </si>
  <si>
    <t>Free Cash Flow Yield (%)</t>
  </si>
  <si>
    <t>Free Cash Flow per Share</t>
  </si>
  <si>
    <t>Free Cash Flow</t>
  </si>
  <si>
    <t>Net Change in Cash</t>
  </si>
  <si>
    <t>All Activities</t>
  </si>
  <si>
    <t>Net Financing Cash Flow</t>
  </si>
  <si>
    <t>Other Uses</t>
  </si>
  <si>
    <t>Other Funds</t>
  </si>
  <si>
    <t>Reduction in Long-Term Debt</t>
  </si>
  <si>
    <t>Issuance of Long-Term Debt</t>
  </si>
  <si>
    <t>Change in Long-Term Debt</t>
  </si>
  <si>
    <t>Change in Current Debt</t>
  </si>
  <si>
    <t>Issuance/Reduction of Debt, Net</t>
  </si>
  <si>
    <t>Proceeds from Stock Options</t>
  </si>
  <si>
    <t>Proceeds from Sale of Stock</t>
  </si>
  <si>
    <t>Sale of Common &amp; Preferred Stock</t>
  </si>
  <si>
    <t>Repurchase of Common &amp; Preferred Stock</t>
  </si>
  <si>
    <t>Change in Capital Stock</t>
  </si>
  <si>
    <t>Increase in Deposits</t>
  </si>
  <si>
    <t>Change in Deposits</t>
  </si>
  <si>
    <t>Preferred Dividends</t>
  </si>
  <si>
    <t>Common Dividends</t>
  </si>
  <si>
    <t>Cash Dividends Paid</t>
  </si>
  <si>
    <t>Financing Activities</t>
  </si>
  <si>
    <t>Net Investing Cash Flow</t>
  </si>
  <si>
    <t>Decrease in Loans</t>
  </si>
  <si>
    <t>Increase in Loans</t>
  </si>
  <si>
    <t>Proceeds from Loans</t>
  </si>
  <si>
    <t>Sale/Maturity of Investments</t>
  </si>
  <si>
    <t>Purchase of Investments</t>
  </si>
  <si>
    <t>Purchase/Sale of Investments</t>
  </si>
  <si>
    <t>Sale of Fixed Assets &amp; Businesses</t>
  </si>
  <si>
    <t>Capital Expenditures (Other Assets)</t>
  </si>
  <si>
    <t>Capital Expenditures (Fixed Assets)</t>
  </si>
  <si>
    <t>Capital Expenditures</t>
  </si>
  <si>
    <t>Investing Activities</t>
  </si>
  <si>
    <t>Net Operating Cash Flow</t>
  </si>
  <si>
    <t>Changes in Working Capital</t>
  </si>
  <si>
    <t>Funds from Operations</t>
  </si>
  <si>
    <t>Operating Activities</t>
  </si>
  <si>
    <t>Implied PBV</t>
  </si>
  <si>
    <t>FCF</t>
  </si>
  <si>
    <t>Expected growth in EPS</t>
  </si>
  <si>
    <t>Beta</t>
  </si>
  <si>
    <t>Dec 31, 2020 Preliminary</t>
  </si>
  <si>
    <t>Dec 20</t>
  </si>
  <si>
    <t>Dec 21E</t>
  </si>
  <si>
    <t>% Under or over valued</t>
  </si>
  <si>
    <t>PVB</t>
  </si>
  <si>
    <t>Q4 Preliminary</t>
  </si>
  <si>
    <t>Lower 95.0%</t>
  </si>
  <si>
    <t>Upper 95.0%</t>
  </si>
  <si>
    <t>Predicted PVB</t>
  </si>
  <si>
    <t xml:space="preserve"> 0.188877926583374 * ROE =</t>
  </si>
  <si>
    <t>Under or Overvalued %</t>
  </si>
  <si>
    <t xml:space="preserve">Implied % and price based on PV/B </t>
  </si>
  <si>
    <t>Predicted P/E</t>
  </si>
  <si>
    <t xml:space="preserve">P/E = </t>
  </si>
  <si>
    <t>24.3707225945082 - 6.05476403181918 * Beta =</t>
  </si>
  <si>
    <t>(P/E)</t>
  </si>
  <si>
    <t>asset</t>
  </si>
  <si>
    <t>Upstream Energy</t>
  </si>
  <si>
    <t>Industrial Services</t>
  </si>
  <si>
    <t>Healthcare Equipment</t>
  </si>
  <si>
    <t>Healthcare Services</t>
  </si>
  <si>
    <t>Other Industries</t>
  </si>
  <si>
    <t>Media and Publishing Services</t>
  </si>
  <si>
    <t>Investment Services</t>
  </si>
  <si>
    <t>% of Exposure</t>
  </si>
  <si>
    <t>Lending Amount (mm)</t>
  </si>
  <si>
    <t># of Credit Agreements</t>
  </si>
  <si>
    <t>Sector</t>
  </si>
  <si>
    <t>04/22/2022</t>
  </si>
  <si>
    <t>Lending Agents</t>
  </si>
  <si>
    <t>Term Loan Commitment</t>
  </si>
  <si>
    <t>Nephros Inc 22-Apr-2020 Term Loan 22-Apr-2022</t>
  </si>
  <si>
    <t>Stable</t>
  </si>
  <si>
    <t>Nephros, Inc.</t>
  </si>
  <si>
    <t>Endra Life Sciences Inc 20-Apr-2020 Term Loan 22-Apr-2022</t>
  </si>
  <si>
    <t>ENDRA Life Sciences Inc.</t>
  </si>
  <si>
    <t>04/25/2022</t>
  </si>
  <si>
    <t>Arch Therapeutics Inc 25-Apr-2020 Term Loan 25-Apr-2022</t>
  </si>
  <si>
    <t>Arch Therapeutics, Inc.</t>
  </si>
  <si>
    <t>12/22/2021</t>
  </si>
  <si>
    <t>Revolving Credit/Swingline Credit/LOC Commitment</t>
  </si>
  <si>
    <t>International Seaways Operating Corp 22-Jun-2017 Revolver/Standard 22-Dec-2021</t>
  </si>
  <si>
    <t>International Seaways Operating Corp.</t>
  </si>
  <si>
    <t>07/01/2027</t>
  </si>
  <si>
    <t>Hamilton Lane Advisors Llc 23-Aug-2017 Term Loan 01-Jul-2027</t>
  </si>
  <si>
    <t>03/24/2023</t>
  </si>
  <si>
    <t>Revolving Credit Commitment</t>
  </si>
  <si>
    <t>Hamilton Lane Advisors Llc 23-Aug-2017 Revolver/Standard 24-Mar-2023</t>
  </si>
  <si>
    <t>07/01/2030</t>
  </si>
  <si>
    <t>Delayed Drawn Term Loan Commitment</t>
  </si>
  <si>
    <t>Hamilton Lane Advisors Llc 24-Mar-2020 Delayed Draw/Multi Draw Term Loan 01-Jul-2030</t>
  </si>
  <si>
    <t>Hamilton Lane Advisors LLC</t>
  </si>
  <si>
    <t>03/22/2025</t>
  </si>
  <si>
    <t>Lions Gate Entertainment Corp 22-Mar-2018 Term Loan B 22-Mar-2025 US$1.25 bil fltg rate term B bank ln due 03/24/2025</t>
  </si>
  <si>
    <t>03/24/2025</t>
  </si>
  <si>
    <t>Lions Gate Entertainment Corp 22-Mar-2018 Term Loan B 24-Mar-2025</t>
  </si>
  <si>
    <t>03/22/2023</t>
  </si>
  <si>
    <t>Lions Gate Entertainment Corp 22-Mar-2018 Term Loan A 22-Mar-2023</t>
  </si>
  <si>
    <t>Revolving Credit/LOC Commitment</t>
  </si>
  <si>
    <t>Lions Gate Entertainment Corp 22-Mar-2018 Revolver/Standard 22-Mar-2023</t>
  </si>
  <si>
    <t>Lions Gate Entertainment Corp Class A</t>
  </si>
  <si>
    <t>04/26/2022</t>
  </si>
  <si>
    <t>Hudson Global Resources Management Inc 24-Apr-2020 Term Loan 26-Apr-2022</t>
  </si>
  <si>
    <t>Hudson Global Resources Management, Inc.</t>
  </si>
  <si>
    <t>03/24/2022</t>
  </si>
  <si>
    <t>C&amp;J Energy Services Ltd 31-May-2016 Term Loan B-2 24-Mar-2022</t>
  </si>
  <si>
    <t>C&amp;J Energy Services Limited</t>
  </si>
  <si>
    <t>Maturity Date</t>
  </si>
  <si>
    <t>Liquidity Outlook</t>
  </si>
  <si>
    <t>Total Commitment (mm)</t>
  </si>
  <si>
    <t>Lending Type</t>
  </si>
  <si>
    <t>Credit Exposure</t>
  </si>
  <si>
    <t>PBV =</t>
  </si>
  <si>
    <t>PBV</t>
  </si>
  <si>
    <t>DPS</t>
  </si>
  <si>
    <t>DPS(6)</t>
  </si>
  <si>
    <t>DPS(7)</t>
  </si>
  <si>
    <t>DPS(8)</t>
  </si>
  <si>
    <t>DPS(9)</t>
  </si>
  <si>
    <t>DPS(10)</t>
  </si>
  <si>
    <t>Dec 31, 2016</t>
  </si>
  <si>
    <t>Dec 31, 2017</t>
  </si>
  <si>
    <t>Dec 31, 2018</t>
  </si>
  <si>
    <t>Dec 31, 2019</t>
  </si>
  <si>
    <t>Dec 31, 2020</t>
  </si>
  <si>
    <t>Dec 31, 2021</t>
  </si>
  <si>
    <t>Dec 31, 2022</t>
  </si>
  <si>
    <t>Dec 31, 2023</t>
  </si>
  <si>
    <t>Dec 31, 2024</t>
  </si>
  <si>
    <t>Dec 31, 2025</t>
  </si>
  <si>
    <t>Dec 31, 2026</t>
  </si>
  <si>
    <t>Dec 31, 2027</t>
  </si>
  <si>
    <t>Dec 31, 2028</t>
  </si>
  <si>
    <t>Dec 31, 2029</t>
  </si>
  <si>
    <t>Dec 31, 2030</t>
  </si>
  <si>
    <t>Constant Growth Rate</t>
  </si>
  <si>
    <t>Number of shares</t>
  </si>
  <si>
    <t>Dividends</t>
  </si>
  <si>
    <t>Payout Ratio</t>
  </si>
  <si>
    <t>Retention Ratio</t>
  </si>
  <si>
    <t xml:space="preserve"> 5 year CAGR</t>
  </si>
  <si>
    <t>Growth Rate</t>
  </si>
  <si>
    <t>Net Income</t>
  </si>
  <si>
    <t>Tax Rate</t>
  </si>
  <si>
    <t>Taxes</t>
  </si>
  <si>
    <t>Pretax Net Income</t>
  </si>
  <si>
    <t>Other</t>
  </si>
  <si>
    <t>Non Interest Expense</t>
  </si>
  <si>
    <t>Wealth Management &amp; Other Fees</t>
  </si>
  <si>
    <t>Loan Loss Provision/Ending Loans</t>
  </si>
  <si>
    <t xml:space="preserve">Loan Loss Provision </t>
  </si>
  <si>
    <t>Net Interest Income/Average Loans</t>
  </si>
  <si>
    <t>Net Interest Income  $</t>
  </si>
  <si>
    <t>Net Interest Margin  %</t>
  </si>
  <si>
    <t>Net Loans</t>
  </si>
  <si>
    <t>Dec 31, 2015</t>
  </si>
  <si>
    <t>Stock Price implied by H model</t>
  </si>
  <si>
    <t>D0</t>
  </si>
  <si>
    <t>Selected Financial Data</t>
  </si>
  <si>
    <t>g2</t>
  </si>
  <si>
    <t>H</t>
  </si>
  <si>
    <t>g1</t>
  </si>
  <si>
    <t>r</t>
  </si>
  <si>
    <t>http://pages.stern.nyu.edu/~adamodar/</t>
  </si>
  <si>
    <t>E[R(E)]</t>
  </si>
  <si>
    <t>Higher taxes, note 2015 rate</t>
  </si>
  <si>
    <t>TV(20)</t>
  </si>
  <si>
    <t>…</t>
  </si>
  <si>
    <t>Growth rate at the end of Period 10</t>
  </si>
  <si>
    <t>Column1</t>
  </si>
  <si>
    <t>Column2</t>
  </si>
  <si>
    <t>Column3</t>
  </si>
  <si>
    <t>Column4</t>
  </si>
  <si>
    <t>Column5</t>
  </si>
  <si>
    <t>Column6</t>
  </si>
  <si>
    <t>Column7</t>
  </si>
  <si>
    <t>Column8</t>
  </si>
  <si>
    <t>Column9</t>
  </si>
  <si>
    <t>\</t>
  </si>
  <si>
    <t>x</t>
  </si>
  <si>
    <t>y</t>
  </si>
  <si>
    <t>Book value of Equity Invested currently</t>
  </si>
  <si>
    <t>PV of terminal value of excess returns</t>
  </si>
  <si>
    <t>Value of Equity</t>
  </si>
  <si>
    <t>Value Per Share</t>
  </si>
  <si>
    <t>PV of Equity Excess Return – next 10 years</t>
  </si>
  <si>
    <t>Cost of equity</t>
  </si>
  <si>
    <t>Excess return</t>
  </si>
  <si>
    <t>NPV</t>
  </si>
  <si>
    <t>Excess return model</t>
  </si>
  <si>
    <t>year</t>
  </si>
  <si>
    <t>ER</t>
  </si>
  <si>
    <t>S</t>
  </si>
  <si>
    <t xml:space="preserve">Current Asset </t>
  </si>
  <si>
    <t xml:space="preserve">Current Liability </t>
  </si>
  <si>
    <t xml:space="preserve">Stakeholder's Equity </t>
  </si>
  <si>
    <t xml:space="preserve">Capital Ratio= (Tier1 capital + Tier2 Capital)/ Risk-Weighted Asset </t>
  </si>
  <si>
    <t xml:space="preserve">Net Income </t>
  </si>
  <si>
    <t>Net Income 3 years</t>
  </si>
  <si>
    <t>Asset base at End of year 2018</t>
  </si>
  <si>
    <t>Growthrate past 3 years</t>
  </si>
  <si>
    <t>Growth Rate in most recent year</t>
  </si>
  <si>
    <t xml:space="preserve">Net Income Growth rate in the last 3years </t>
  </si>
  <si>
    <t>Net Income growth rate</t>
  </si>
  <si>
    <t xml:space="preserve">Expected Growth Rate ( DCF) </t>
  </si>
  <si>
    <t>(in millions)</t>
  </si>
  <si>
    <t xml:space="preserve">Growth rate of Capital </t>
  </si>
  <si>
    <t>Loans (NIM)</t>
  </si>
  <si>
    <t>Wealth management fees</t>
  </si>
  <si>
    <t>Asset Base (NIM + comission fees)</t>
  </si>
  <si>
    <t xml:space="preserve">Capital Ratio </t>
  </si>
  <si>
    <t xml:space="preserve">Regulatory Capital </t>
  </si>
  <si>
    <t xml:space="preserve">Change in Regulatory capital </t>
  </si>
  <si>
    <t xml:space="preserve">ROE </t>
  </si>
  <si>
    <t xml:space="preserve"> - Investement in Regulatory Capital</t>
  </si>
  <si>
    <t xml:space="preserve">Total Asset </t>
  </si>
  <si>
    <t xml:space="preserve">Total Liability </t>
  </si>
  <si>
    <t>Share price calculation</t>
  </si>
  <si>
    <t>Total NPV</t>
  </si>
  <si>
    <t xml:space="preserve">Sell off Value </t>
  </si>
  <si>
    <t xml:space="preserve">Intrisinc value of company </t>
  </si>
  <si>
    <t xml:space="preserve">Shares Outstanding </t>
  </si>
  <si>
    <t>ntrinsic value per share</t>
  </si>
  <si>
    <t>discount rate</t>
  </si>
  <si>
    <t>Terminal growth rate</t>
  </si>
  <si>
    <t>Terminal Cost of Equity</t>
  </si>
  <si>
    <t>ER 0</t>
  </si>
  <si>
    <t>ER 1</t>
  </si>
  <si>
    <t>ER 2</t>
  </si>
  <si>
    <t>ER 3</t>
  </si>
  <si>
    <t>ER 4</t>
  </si>
  <si>
    <t>ER 5</t>
  </si>
  <si>
    <t>ER 6</t>
  </si>
  <si>
    <t>ER 7</t>
  </si>
  <si>
    <t>ER 8</t>
  </si>
  <si>
    <t>ER 9</t>
  </si>
  <si>
    <t>ER 10</t>
  </si>
  <si>
    <t>ER(t) or TV(t)</t>
  </si>
  <si>
    <t>PV of Equity Excess Return – next 20 years</t>
  </si>
  <si>
    <t>COE * BV</t>
  </si>
  <si>
    <t>BV</t>
  </si>
  <si>
    <t>RESIDUAL REURN</t>
  </si>
  <si>
    <t/>
  </si>
  <si>
    <t>Current share price as for Dec 31th, 2020</t>
  </si>
  <si>
    <t>TV(25)</t>
  </si>
  <si>
    <t>Income flows</t>
  </si>
  <si>
    <t>Equity Cost</t>
  </si>
  <si>
    <t>Rate</t>
  </si>
  <si>
    <t>Symbol</t>
  </si>
  <si>
    <t>Equity Risk Premuim</t>
  </si>
  <si>
    <t>NIM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</si>
</sst>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64" formatCode="#,##0.00%;\-#,##0.00%;&quot;—&quot;"/>
    <numFmt numFmtId="165" formatCode="#,##0.00;\-#,##0.00;&quot;—&quot;"/>
    <numFmt numFmtId="166" formatCode="[$-409]mmm\ d\,\ yyyy"/>
    <numFmt numFmtId="167" formatCode="#,##0_);\(#,##0\);&quot;—&quot;"/>
    <numFmt numFmtId="168" formatCode="[$$-409]#,##0.00"/>
    <numFmt numFmtId="169" formatCode="0.0000"/>
    <numFmt numFmtId="170" formatCode="0.0"/>
    <numFmt numFmtId="171" formatCode="dd\-mmm\-yyyy"/>
    <numFmt numFmtId="172" formatCode="###,###,##0.00"/>
    <numFmt numFmtId="173" formatCode="#,##0.0"/>
    <numFmt numFmtId="174" formatCode="0.0%"/>
    <numFmt numFmtId="175" formatCode="_(* #,##0.00_);_(* \(#,##0.00\);_(* &quot;-&quot;??_);_(@_)"/>
    <numFmt numFmtId="176" formatCode="_(* #,##0.0_);_(* \(#,##0.0\);_(* &quot;-&quot;??_);_(@_)"/>
    <numFmt numFmtId="177" formatCode="_(* #,##0_);_(* \(#,##0\);_(* &quot;-&quot;??_);_(@_)"/>
    <numFmt numFmtId="178" formatCode="_(&quot;$&quot;* #,##0.00_);_(&quot;$&quot;* \(#,##0.00\);_(&quot;$&quot;* &quot;-&quot;??_);_(@_)"/>
    <numFmt numFmtId="179" formatCode="0.0000000000000000%"/>
  </numFmts>
  <fonts count="65" x14ac:knownFonts="1">
    <font>
      <sz val="12"/>
      <color theme="1"/>
      <name val="Calibri"/>
      <family val="2"/>
      <scheme val="minor"/>
    </font>
    <font>
      <sz val="12"/>
      <color theme="1"/>
      <name val="Calibri"/>
      <family val="2"/>
      <scheme val="minor"/>
    </font>
    <font>
      <u/>
      <sz val="12"/>
      <color theme="10"/>
      <name val="Calibri"/>
      <family val="2"/>
      <scheme val="minor"/>
    </font>
    <font>
      <b/>
      <sz val="11"/>
      <color rgb="FF252525"/>
      <name val="Calibri"/>
      <family val="2"/>
    </font>
    <font>
      <sz val="9"/>
      <color rgb="FF757575"/>
      <name val="Calibri"/>
      <family val="2"/>
      <scheme val="minor"/>
    </font>
    <font>
      <b/>
      <sz val="22"/>
      <color rgb="FF333333"/>
      <name val="Calibri"/>
      <family val="2"/>
      <scheme val="minor"/>
    </font>
    <font>
      <sz val="11"/>
      <color rgb="FF333333"/>
      <name val="Calibri"/>
      <family val="2"/>
      <scheme val="minor"/>
    </font>
    <font>
      <b/>
      <sz val="17"/>
      <color rgb="FF333333"/>
      <name val="Calibri"/>
      <family val="2"/>
      <scheme val="minor"/>
    </font>
    <font>
      <b/>
      <sz val="11"/>
      <color rgb="FF333333"/>
      <name val="Calibri"/>
      <family val="2"/>
      <scheme val="minor"/>
    </font>
    <font>
      <sz val="9"/>
      <color rgb="FF808080"/>
      <name val="Calibri"/>
      <family val="2"/>
      <scheme val="minor"/>
    </font>
    <font>
      <sz val="11"/>
      <color theme="1"/>
      <name val="Calibri"/>
      <family val="2"/>
      <scheme val="minor"/>
    </font>
    <font>
      <b/>
      <sz val="22"/>
      <color rgb="FF162B2E"/>
      <name val="Calibri"/>
      <family val="2"/>
    </font>
    <font>
      <b/>
      <sz val="11"/>
      <color rgb="FF252525"/>
      <name val="Calibri"/>
      <family val="2"/>
    </font>
    <font>
      <b/>
      <i/>
      <sz val="13"/>
      <color rgb="FF737373"/>
      <name val="Calibri"/>
      <family val="2"/>
    </font>
    <font>
      <b/>
      <sz val="17"/>
      <color rgb="FF162B2E"/>
      <name val="Calibri"/>
      <family val="2"/>
    </font>
    <font>
      <sz val="9"/>
      <color rgb="FF757575"/>
      <name val="Calibri"/>
      <family val="2"/>
    </font>
    <font>
      <b/>
      <i/>
      <sz val="13"/>
      <color rgb="FF808080"/>
      <name val="Calibri"/>
      <family val="2"/>
      <scheme val="minor"/>
    </font>
    <font>
      <b/>
      <sz val="11"/>
      <color theme="1"/>
      <name val="Calibri"/>
      <family val="2"/>
      <scheme val="minor"/>
    </font>
    <font>
      <sz val="11"/>
      <color rgb="FF252525"/>
      <name val="Calibri"/>
      <family val="2"/>
      <scheme val="minor"/>
    </font>
    <font>
      <b/>
      <sz val="11"/>
      <color rgb="FF252525"/>
      <name val="Calibri"/>
      <family val="2"/>
      <scheme val="minor"/>
    </font>
    <font>
      <sz val="9"/>
      <color rgb="FF757575"/>
      <name val="Calibri"/>
      <family val="2"/>
      <scheme val="minor"/>
    </font>
    <font>
      <b/>
      <sz val="11"/>
      <color rgb="FF252525"/>
      <name val="Times New Roman"/>
      <family val="1"/>
    </font>
    <font>
      <b/>
      <i/>
      <sz val="13"/>
      <color rgb="FF737373"/>
      <name val="Times New Roman"/>
      <family val="1"/>
    </font>
    <font>
      <sz val="11"/>
      <color rgb="FF252525"/>
      <name val="Times New Roman"/>
      <family val="1"/>
    </font>
    <font>
      <sz val="12"/>
      <color theme="1"/>
      <name val="Times New Roman"/>
      <family val="1"/>
    </font>
    <font>
      <b/>
      <sz val="22"/>
      <color rgb="FF333333"/>
      <name val="Times New Roman"/>
      <family val="1"/>
    </font>
    <font>
      <sz val="11"/>
      <color rgb="FF333333"/>
      <name val="Times New Roman"/>
      <family val="1"/>
    </font>
    <font>
      <b/>
      <sz val="17"/>
      <color rgb="FF333333"/>
      <name val="Times New Roman"/>
      <family val="1"/>
    </font>
    <font>
      <b/>
      <sz val="11"/>
      <color rgb="FF333333"/>
      <name val="Times New Roman"/>
      <family val="1"/>
    </font>
    <font>
      <sz val="11"/>
      <color theme="1"/>
      <name val="Times New Roman"/>
      <family val="1"/>
    </font>
    <font>
      <b/>
      <sz val="22"/>
      <color rgb="FF162B2E"/>
      <name val="Times New Roman"/>
      <family val="1"/>
    </font>
    <font>
      <b/>
      <sz val="17"/>
      <color rgb="FF162B2E"/>
      <name val="Times New Roman"/>
      <family val="1"/>
    </font>
    <font>
      <sz val="9"/>
      <color rgb="FF757575"/>
      <name val="Times New Roman"/>
      <family val="1"/>
    </font>
    <font>
      <u/>
      <sz val="11"/>
      <color rgb="FF0000FF"/>
      <name val="Times New Roman"/>
      <family val="1"/>
    </font>
    <font>
      <sz val="9"/>
      <color rgb="FF808080"/>
      <name val="Times New Roman"/>
      <family val="1"/>
    </font>
    <font>
      <b/>
      <sz val="12"/>
      <color theme="1"/>
      <name val="Times New Roman"/>
      <family val="1"/>
    </font>
    <font>
      <b/>
      <sz val="8"/>
      <color rgb="FF252525"/>
      <name val="Times New Roman"/>
      <family val="1"/>
    </font>
    <font>
      <sz val="8"/>
      <color theme="1"/>
      <name val="Times New Roman"/>
      <family val="1"/>
    </font>
    <font>
      <b/>
      <sz val="12"/>
      <color theme="1"/>
      <name val="Calibri"/>
      <family val="2"/>
      <scheme val="minor"/>
    </font>
    <font>
      <i/>
      <sz val="11"/>
      <color rgb="FF252525"/>
      <name val="Times New Roman"/>
      <family val="1"/>
    </font>
    <font>
      <sz val="9"/>
      <color rgb="FF252525"/>
      <name val="Times New Roman"/>
      <family val="1"/>
    </font>
    <font>
      <b/>
      <sz val="17"/>
      <color rgb="FF000000"/>
      <name val="Times New Roman"/>
      <family val="1"/>
    </font>
    <font>
      <b/>
      <i/>
      <sz val="17"/>
      <color rgb="FF000000"/>
      <name val="Times New Roman"/>
      <family val="1"/>
    </font>
    <font>
      <b/>
      <sz val="11"/>
      <color rgb="FF00CCFF"/>
      <name val="Calibri"/>
      <family val="2"/>
    </font>
    <font>
      <sz val="11"/>
      <color rgb="FF000000"/>
      <name val="Calibri"/>
      <family val="2"/>
    </font>
    <font>
      <i/>
      <sz val="12"/>
      <color theme="1"/>
      <name val="Calibri"/>
      <family val="2"/>
      <scheme val="minor"/>
    </font>
    <font>
      <b/>
      <sz val="9"/>
      <color rgb="FF333333"/>
      <name val="Arial"/>
      <family val="2"/>
    </font>
    <font>
      <sz val="10"/>
      <color theme="1"/>
      <name val="Arial"/>
      <family val="2"/>
    </font>
    <font>
      <sz val="10"/>
      <color rgb="FF646464"/>
      <name val="Arial"/>
      <family val="2"/>
    </font>
    <font>
      <b/>
      <sz val="10"/>
      <color theme="1"/>
      <name val="Arial"/>
      <family val="2"/>
    </font>
    <font>
      <b/>
      <sz val="10"/>
      <color rgb="FF003366"/>
      <name val="Arial"/>
      <family val="2"/>
    </font>
    <font>
      <sz val="10"/>
      <color rgb="FFFF0000"/>
      <name val="Arial"/>
      <family val="2"/>
    </font>
    <font>
      <b/>
      <sz val="11"/>
      <color rgb="FFFFFF00"/>
      <name val="Calibri"/>
      <family val="2"/>
    </font>
    <font>
      <sz val="10"/>
      <color rgb="FF000000"/>
      <name val="Arial"/>
      <family val="2"/>
    </font>
    <font>
      <sz val="8"/>
      <name val="Calibri"/>
      <family val="2"/>
      <scheme val="minor"/>
    </font>
    <font>
      <sz val="10"/>
      <color rgb="FF252525"/>
      <name val="Times New Roman"/>
      <family val="1"/>
    </font>
    <font>
      <sz val="12"/>
      <color rgb="FF202124"/>
      <name val="Arial"/>
      <family val="2"/>
    </font>
    <font>
      <sz val="12"/>
      <color theme="4"/>
      <name val="Calibri"/>
      <family val="2"/>
      <scheme val="minor"/>
    </font>
    <font>
      <sz val="11"/>
      <color rgb="FF000000"/>
      <name val="Arial"/>
      <family val="2"/>
    </font>
    <font>
      <sz val="11"/>
      <name val="Calibri"/>
      <family val="2"/>
      <scheme val="minor"/>
    </font>
    <font>
      <sz val="11"/>
      <name val="Arial"/>
      <family val="2"/>
    </font>
    <font>
      <i/>
      <sz val="11"/>
      <color theme="1"/>
      <name val="Calibri"/>
      <family val="2"/>
      <scheme val="minor"/>
    </font>
    <font>
      <sz val="11"/>
      <color rgb="FF000000"/>
      <name val="Calibri"/>
      <family val="2"/>
      <scheme val="minor"/>
    </font>
    <font>
      <sz val="12"/>
      <color rgb="FF000000"/>
      <name val="Times New Roman"/>
      <family val="1"/>
    </font>
    <font>
      <b/>
      <i/>
      <sz val="13"/>
      <color theme="1"/>
      <name val="Times New Roman"/>
      <family val="1"/>
    </font>
  </fonts>
  <fills count="14">
    <fill>
      <patternFill patternType="none"/>
    </fill>
    <fill>
      <patternFill patternType="gray125"/>
    </fill>
    <fill>
      <patternFill patternType="solid">
        <fgColor rgb="FFECECEC"/>
        <bgColor rgb="FFECECEC"/>
      </patternFill>
    </fill>
    <fill>
      <patternFill patternType="solid">
        <fgColor theme="6" tint="0.79998168889431442"/>
        <bgColor indexed="64"/>
      </patternFill>
    </fill>
    <fill>
      <patternFill patternType="solid">
        <fgColor theme="2"/>
        <bgColor indexed="64"/>
      </patternFill>
    </fill>
    <fill>
      <patternFill patternType="solid">
        <fgColor rgb="FF333333"/>
        <bgColor indexed="64"/>
      </patternFill>
    </fill>
    <fill>
      <patternFill patternType="solid">
        <fgColor rgb="FFFFFF00"/>
        <bgColor indexed="64"/>
      </patternFill>
    </fill>
    <fill>
      <patternFill patternType="solid">
        <fgColor rgb="FFF0F0F0"/>
        <bgColor indexed="64"/>
      </patternFill>
    </fill>
    <fill>
      <patternFill patternType="solid">
        <fgColor rgb="FFC8C8C8"/>
        <bgColor indexed="64"/>
      </patternFill>
    </fill>
    <fill>
      <patternFill patternType="solid">
        <fgColor theme="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4"/>
        <bgColor indexed="64"/>
      </patternFill>
    </fill>
    <fill>
      <patternFill patternType="solid">
        <fgColor theme="4" tint="0.79998168889431442"/>
        <bgColor theme="4" tint="0.79998168889431442"/>
      </patternFill>
    </fill>
  </fills>
  <borders count="30">
    <border>
      <left/>
      <right/>
      <top/>
      <bottom/>
      <diagonal/>
    </border>
    <border>
      <left/>
      <right/>
      <top style="thin">
        <color rgb="FFE2E2E2"/>
      </top>
      <bottom/>
      <diagonal/>
    </border>
    <border>
      <left/>
      <right/>
      <top style="thin">
        <color rgb="FF4D4D4D"/>
      </top>
      <bottom/>
      <diagonal/>
    </border>
    <border>
      <left/>
      <right/>
      <top style="thin">
        <color rgb="FF4D4D4D"/>
      </top>
      <bottom style="medium">
        <color rgb="FF4D4D4D"/>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diagonal/>
    </border>
    <border>
      <left/>
      <right style="thin">
        <color indexed="64"/>
      </right>
      <top style="thin">
        <color rgb="FF4D4D4D"/>
      </top>
      <bottom style="medium">
        <color rgb="FF4D4D4D"/>
      </bottom>
      <diagonal/>
    </border>
    <border>
      <left/>
      <right style="thin">
        <color indexed="64"/>
      </right>
      <top style="thin">
        <color indexed="64"/>
      </top>
      <bottom/>
      <diagonal/>
    </border>
    <border>
      <left/>
      <right/>
      <top/>
      <bottom style="medium">
        <color rgb="FF4D4D4D"/>
      </bottom>
      <diagonal/>
    </border>
    <border>
      <left style="thin">
        <color indexed="64"/>
      </left>
      <right style="thin">
        <color indexed="64"/>
      </right>
      <top style="thin">
        <color indexed="64"/>
      </top>
      <bottom style="thin">
        <color indexed="64"/>
      </bottom>
      <diagonal/>
    </border>
    <border>
      <left style="thin">
        <color rgb="FFD5D8DB"/>
      </left>
      <right style="thin">
        <color rgb="FFD5D8DB"/>
      </right>
      <top style="thin">
        <color rgb="FFD5D8DB"/>
      </top>
      <bottom style="thin">
        <color rgb="FFD5D8DB"/>
      </bottom>
      <diagonal/>
    </border>
    <border>
      <left/>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s>
  <cellStyleXfs count="17">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xf numFmtId="0" fontId="43" fillId="5" borderId="0">
      <alignment horizontal="left" vertical="center"/>
    </xf>
    <xf numFmtId="0" fontId="44" fillId="0" borderId="0">
      <alignment horizontal="left" vertical="center"/>
    </xf>
    <xf numFmtId="0" fontId="44" fillId="0" borderId="0">
      <alignment horizontal="left" vertical="center"/>
    </xf>
    <xf numFmtId="0" fontId="10" fillId="0" borderId="0"/>
    <xf numFmtId="0" fontId="47" fillId="0" borderId="0"/>
    <xf numFmtId="0" fontId="1" fillId="0" borderId="0"/>
    <xf numFmtId="9" fontId="1" fillId="0" borderId="0" applyFont="0" applyFill="0" applyBorder="0" applyAlignment="0" applyProtection="0"/>
    <xf numFmtId="9" fontId="47" fillId="0" borderId="0" applyFont="0" applyFill="0" applyBorder="0" applyAlignment="0" applyProtection="0"/>
    <xf numFmtId="175" fontId="47" fillId="0" borderId="0" applyFont="0" applyFill="0" applyBorder="0" applyAlignment="0" applyProtection="0"/>
    <xf numFmtId="175" fontId="1" fillId="0" borderId="0" applyFont="0" applyFill="0" applyBorder="0" applyAlignment="0" applyProtection="0"/>
    <xf numFmtId="178" fontId="10" fillId="0" borderId="0" applyFont="0" applyFill="0" applyBorder="0" applyAlignment="0" applyProtection="0"/>
    <xf numFmtId="9" fontId="10" fillId="0" borderId="0" applyFont="0" applyFill="0" applyBorder="0" applyAlignment="0" applyProtection="0"/>
    <xf numFmtId="0" fontId="44" fillId="0" borderId="0" applyNumberFormat="0" applyBorder="0" applyAlignment="0"/>
  </cellStyleXfs>
  <cellXfs count="331">
    <xf numFmtId="0" fontId="0" fillId="0" borderId="0" xfId="0"/>
    <xf numFmtId="0" fontId="0" fillId="0" borderId="0" xfId="0" applyAlignment="1">
      <alignment horizontal="left" wrapText="1" indent="2"/>
    </xf>
    <xf numFmtId="0" fontId="0" fillId="0" borderId="0" xfId="0" applyAlignment="1">
      <alignment horizontal="left" wrapText="1" indent="1"/>
    </xf>
    <xf numFmtId="164" fontId="0" fillId="0" borderId="0" xfId="0" applyNumberFormat="1" applyAlignment="1">
      <alignment horizontal="right"/>
    </xf>
    <xf numFmtId="167" fontId="0" fillId="0" borderId="0" xfId="0" applyNumberFormat="1" applyAlignment="1">
      <alignment horizontal="right"/>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0" fontId="10" fillId="0" borderId="0" xfId="0" applyNumberFormat="1" applyFont="1"/>
    <xf numFmtId="0" fontId="11" fillId="0" borderId="0" xfId="0" applyFont="1"/>
    <xf numFmtId="0" fontId="12" fillId="2" borderId="3" xfId="0" applyFont="1" applyFill="1" applyBorder="1" applyAlignment="1">
      <alignment horizontal="right" vertical="top"/>
    </xf>
    <xf numFmtId="0" fontId="13" fillId="0" borderId="0" xfId="0" applyFont="1" applyAlignment="1">
      <alignment horizontal="left" vertical="center" indent="1"/>
    </xf>
    <xf numFmtId="0" fontId="12" fillId="0" borderId="0" xfId="0" applyFont="1" applyAlignment="1">
      <alignment horizontal="left" wrapText="1" indent="3"/>
    </xf>
    <xf numFmtId="164" fontId="12" fillId="0" borderId="1" xfId="0" applyNumberFormat="1" applyFont="1" applyBorder="1" applyAlignment="1">
      <alignment horizontal="right"/>
    </xf>
    <xf numFmtId="0" fontId="12" fillId="0" borderId="0" xfId="0" applyFont="1" applyAlignment="1">
      <alignment horizontal="left" wrapText="1" indent="2"/>
    </xf>
    <xf numFmtId="0" fontId="14" fillId="0" borderId="0" xfId="0" applyFont="1"/>
    <xf numFmtId="166" fontId="12" fillId="2" borderId="3" xfId="0" applyNumberFormat="1" applyFont="1" applyFill="1" applyBorder="1" applyAlignment="1">
      <alignment horizontal="center" vertical="top"/>
    </xf>
    <xf numFmtId="0" fontId="0" fillId="0" borderId="0" xfId="0" applyAlignment="1">
      <alignment horizontal="left" wrapText="1" indent="3"/>
    </xf>
    <xf numFmtId="0" fontId="12" fillId="0" borderId="0" xfId="0" applyFont="1" applyAlignment="1">
      <alignment horizontal="left" wrapText="1" indent="4"/>
    </xf>
    <xf numFmtId="167" fontId="12" fillId="0" borderId="1" xfId="0" applyNumberFormat="1" applyFont="1" applyBorder="1" applyAlignment="1">
      <alignment horizontal="right"/>
    </xf>
    <xf numFmtId="0" fontId="15" fillId="0" borderId="2" xfId="0" applyFont="1" applyBorder="1"/>
    <xf numFmtId="0" fontId="16" fillId="0" borderId="0" xfId="0" applyFont="1"/>
    <xf numFmtId="3" fontId="10" fillId="0" borderId="0" xfId="0" applyNumberFormat="1" applyFont="1"/>
    <xf numFmtId="0" fontId="17" fillId="0" borderId="0" xfId="0" applyFont="1"/>
    <xf numFmtId="10" fontId="17" fillId="0" borderId="0" xfId="0" applyNumberFormat="1" applyFont="1"/>
    <xf numFmtId="0" fontId="12" fillId="0" borderId="0" xfId="0" applyFont="1" applyAlignment="1">
      <alignment horizontal="left" wrapText="1" indent="1"/>
    </xf>
    <xf numFmtId="0" fontId="18" fillId="0" borderId="0" xfId="0" applyFont="1"/>
    <xf numFmtId="164" fontId="19" fillId="0" borderId="1" xfId="0" applyNumberFormat="1" applyFont="1" applyBorder="1" applyAlignment="1">
      <alignment horizontal="right"/>
    </xf>
    <xf numFmtId="0" fontId="20" fillId="0" borderId="2" xfId="0" applyFont="1" applyBorder="1"/>
    <xf numFmtId="0" fontId="20" fillId="0" borderId="0" xfId="0" applyFont="1" applyBorder="1"/>
    <xf numFmtId="168" fontId="0" fillId="0" borderId="0" xfId="0" applyNumberFormat="1"/>
    <xf numFmtId="0" fontId="3" fillId="0" borderId="0" xfId="0" applyFont="1" applyAlignment="1">
      <alignment horizontal="left" wrapText="1" indent="1"/>
    </xf>
    <xf numFmtId="0" fontId="4" fillId="0" borderId="2" xfId="0" applyFont="1" applyBorder="1" applyAlignment="1"/>
    <xf numFmtId="14" fontId="8" fillId="0" borderId="0" xfId="0" applyNumberFormat="1" applyFont="1"/>
    <xf numFmtId="0" fontId="0" fillId="0" borderId="0" xfId="0"/>
    <xf numFmtId="0" fontId="21" fillId="2" borderId="3" xfId="0" applyFont="1" applyFill="1" applyBorder="1" applyAlignment="1">
      <alignment horizontal="right" vertical="top"/>
    </xf>
    <xf numFmtId="49" fontId="21" fillId="2" borderId="3" xfId="0" applyNumberFormat="1" applyFont="1" applyFill="1" applyBorder="1" applyAlignment="1">
      <alignment horizontal="center" vertical="top" wrapText="1"/>
    </xf>
    <xf numFmtId="166" fontId="21" fillId="2" borderId="3" xfId="0" applyNumberFormat="1" applyFont="1" applyFill="1" applyBorder="1" applyAlignment="1">
      <alignment horizontal="center" vertical="top"/>
    </xf>
    <xf numFmtId="0" fontId="22" fillId="0" borderId="0" xfId="0" applyFont="1" applyAlignment="1">
      <alignment horizontal="left" vertical="center" indent="1"/>
    </xf>
    <xf numFmtId="0" fontId="23" fillId="0" borderId="0" xfId="0" applyFont="1"/>
    <xf numFmtId="0" fontId="24" fillId="0" borderId="0" xfId="0" applyFont="1" applyAlignment="1">
      <alignment horizontal="left" wrapText="1" indent="2"/>
    </xf>
    <xf numFmtId="0" fontId="23" fillId="0" borderId="0" xfId="0" applyFont="1" applyAlignment="1">
      <alignment horizontal="left" wrapText="1" indent="2"/>
    </xf>
    <xf numFmtId="167" fontId="23" fillId="0" borderId="0" xfId="0" applyNumberFormat="1" applyFont="1" applyAlignment="1">
      <alignment horizontal="right"/>
    </xf>
    <xf numFmtId="165" fontId="23" fillId="0" borderId="0" xfId="0" applyNumberFormat="1" applyFont="1" applyAlignment="1">
      <alignment horizontal="right"/>
    </xf>
    <xf numFmtId="164" fontId="23" fillId="0" borderId="0" xfId="0" applyNumberFormat="1" applyFont="1" applyAlignment="1">
      <alignment horizontal="right"/>
    </xf>
    <xf numFmtId="0" fontId="24" fillId="0" borderId="0" xfId="0" applyFont="1"/>
    <xf numFmtId="166" fontId="24" fillId="0" borderId="0" xfId="0" applyNumberFormat="1" applyFont="1" applyAlignment="1">
      <alignment horizontal="right"/>
    </xf>
    <xf numFmtId="2" fontId="24" fillId="0" borderId="0" xfId="0" applyNumberFormat="1" applyFont="1"/>
    <xf numFmtId="167" fontId="24" fillId="0" borderId="0" xfId="0" applyNumberFormat="1" applyFont="1" applyAlignment="1">
      <alignment horizontal="right"/>
    </xf>
    <xf numFmtId="164" fontId="24" fillId="0" borderId="0" xfId="0" applyNumberFormat="1" applyFont="1" applyAlignment="1">
      <alignment horizontal="right"/>
    </xf>
    <xf numFmtId="0" fontId="25" fillId="0" borderId="0" xfId="0" applyFont="1"/>
    <xf numFmtId="0" fontId="26" fillId="0" borderId="0" xfId="0" applyFont="1"/>
    <xf numFmtId="0" fontId="27" fillId="0" borderId="0" xfId="0" applyFont="1"/>
    <xf numFmtId="169" fontId="26" fillId="0" borderId="0" xfId="0" applyNumberFormat="1" applyFont="1"/>
    <xf numFmtId="0" fontId="28" fillId="0" borderId="0" xfId="0" applyFont="1"/>
    <xf numFmtId="2" fontId="28" fillId="0" borderId="0" xfId="0" applyNumberFormat="1" applyFont="1"/>
    <xf numFmtId="10" fontId="26" fillId="0" borderId="0" xfId="1" applyNumberFormat="1" applyFont="1"/>
    <xf numFmtId="0" fontId="29" fillId="0" borderId="0" xfId="0" applyFont="1"/>
    <xf numFmtId="10" fontId="29" fillId="0" borderId="0" xfId="0" applyNumberFormat="1" applyFont="1"/>
    <xf numFmtId="0" fontId="30" fillId="0" borderId="0" xfId="0" applyFont="1"/>
    <xf numFmtId="0" fontId="31" fillId="0" borderId="0" xfId="0" applyFont="1"/>
    <xf numFmtId="0" fontId="23" fillId="0" borderId="0" xfId="0" applyFont="1" applyAlignment="1">
      <alignment horizontal="left" wrapText="1" indent="1"/>
    </xf>
    <xf numFmtId="0" fontId="21" fillId="0" borderId="0" xfId="0" applyFont="1" applyAlignment="1">
      <alignment horizontal="left" wrapText="1" indent="1"/>
    </xf>
    <xf numFmtId="164" fontId="21" fillId="0" borderId="1" xfId="0" applyNumberFormat="1" applyFont="1" applyBorder="1" applyAlignment="1">
      <alignment horizontal="right"/>
    </xf>
    <xf numFmtId="0" fontId="32" fillId="0" borderId="2" xfId="0" applyFont="1" applyBorder="1"/>
    <xf numFmtId="0" fontId="33" fillId="0" borderId="0" xfId="0" applyFont="1"/>
    <xf numFmtId="10" fontId="26" fillId="0" borderId="0" xfId="0" applyNumberFormat="1" applyFont="1"/>
    <xf numFmtId="0" fontId="34" fillId="0" borderId="0" xfId="0" applyFont="1"/>
    <xf numFmtId="10" fontId="24" fillId="0" borderId="0" xfId="0" applyNumberFormat="1" applyFont="1"/>
    <xf numFmtId="10" fontId="24" fillId="0" borderId="0" xfId="1" applyNumberFormat="1" applyFont="1"/>
    <xf numFmtId="49" fontId="21" fillId="2" borderId="3" xfId="0" applyNumberFormat="1" applyFont="1" applyFill="1" applyBorder="1" applyAlignment="1">
      <alignment horizontal="right" vertical="top" wrapText="1"/>
    </xf>
    <xf numFmtId="0" fontId="24" fillId="0" borderId="0" xfId="0" applyFont="1" applyAlignment="1">
      <alignment horizontal="left" wrapText="1" indent="1"/>
    </xf>
    <xf numFmtId="165" fontId="24" fillId="0" borderId="0" xfId="0" applyNumberFormat="1" applyFont="1" applyAlignment="1">
      <alignment horizontal="right"/>
    </xf>
    <xf numFmtId="0" fontId="24" fillId="0" borderId="0" xfId="0" applyFont="1" applyAlignment="1"/>
    <xf numFmtId="168" fontId="21" fillId="0" borderId="1" xfId="0" applyNumberFormat="1" applyFont="1" applyBorder="1" applyAlignment="1">
      <alignment horizontal="right"/>
    </xf>
    <xf numFmtId="0" fontId="24" fillId="0" borderId="0" xfId="0" applyFont="1" applyAlignment="1">
      <alignment horizontal="left" wrapText="1" indent="1"/>
    </xf>
    <xf numFmtId="168" fontId="24" fillId="0" borderId="0" xfId="0" applyNumberFormat="1" applyFont="1" applyAlignment="1">
      <alignment horizontal="right"/>
    </xf>
    <xf numFmtId="167" fontId="21" fillId="0" borderId="1" xfId="0" applyNumberFormat="1" applyFont="1" applyBorder="1" applyAlignment="1">
      <alignment horizontal="right"/>
    </xf>
    <xf numFmtId="0" fontId="35" fillId="0" borderId="0" xfId="0" applyFont="1"/>
    <xf numFmtId="0" fontId="36" fillId="0" borderId="0" xfId="0" applyFont="1" applyAlignment="1">
      <alignment horizontal="left"/>
    </xf>
    <xf numFmtId="0" fontId="38" fillId="0" borderId="0" xfId="0" applyFont="1"/>
    <xf numFmtId="49" fontId="3" fillId="2" borderId="3" xfId="0" applyNumberFormat="1" applyFont="1" applyFill="1" applyBorder="1" applyAlignment="1">
      <alignment horizontal="right" vertical="top" wrapText="1"/>
    </xf>
    <xf numFmtId="0" fontId="4" fillId="0" borderId="0" xfId="0" applyFont="1" applyBorder="1" applyAlignment="1"/>
    <xf numFmtId="0" fontId="32" fillId="0" borderId="0" xfId="0" applyFont="1" applyBorder="1"/>
    <xf numFmtId="0" fontId="39" fillId="0" borderId="0" xfId="0" applyFont="1"/>
    <xf numFmtId="10" fontId="23" fillId="0" borderId="0" xfId="1" applyNumberFormat="1" applyFont="1"/>
    <xf numFmtId="0" fontId="21" fillId="2" borderId="3" xfId="0" applyFont="1" applyFill="1" applyBorder="1" applyAlignment="1">
      <alignment horizontal="right" vertical="top"/>
    </xf>
    <xf numFmtId="0" fontId="24" fillId="0" borderId="0" xfId="0" applyFont="1"/>
    <xf numFmtId="49" fontId="21" fillId="2" borderId="3" xfId="0" applyNumberFormat="1" applyFont="1" applyFill="1" applyBorder="1" applyAlignment="1">
      <alignment horizontal="center" vertical="top" wrapText="1"/>
    </xf>
    <xf numFmtId="0" fontId="36" fillId="0" borderId="0" xfId="0" applyFont="1" applyAlignment="1">
      <alignment horizontal="left"/>
    </xf>
    <xf numFmtId="2" fontId="23" fillId="0" borderId="0" xfId="0" applyNumberFormat="1" applyFont="1"/>
    <xf numFmtId="43" fontId="24" fillId="0" borderId="0" xfId="3" applyFont="1" applyAlignment="1">
      <alignment horizontal="left" indent="2"/>
    </xf>
    <xf numFmtId="43" fontId="35" fillId="0" borderId="0" xfId="3" applyFont="1" applyAlignment="1">
      <alignment horizontal="left" indent="2"/>
    </xf>
    <xf numFmtId="0" fontId="24" fillId="0" borderId="0" xfId="0" applyFont="1"/>
    <xf numFmtId="0" fontId="0" fillId="4" borderId="4" xfId="0" applyFill="1" applyBorder="1"/>
    <xf numFmtId="9" fontId="0" fillId="0" borderId="0" xfId="0" applyNumberFormat="1"/>
    <xf numFmtId="0" fontId="43" fillId="5" borderId="0" xfId="4">
      <alignment horizontal="left" vertical="center"/>
    </xf>
    <xf numFmtId="49" fontId="44" fillId="0" borderId="0" xfId="5" applyNumberFormat="1">
      <alignment horizontal="left" vertical="center"/>
    </xf>
    <xf numFmtId="49" fontId="44" fillId="0" borderId="0" xfId="6" applyNumberFormat="1">
      <alignment horizontal="left" vertical="center"/>
    </xf>
    <xf numFmtId="49" fontId="44" fillId="6" borderId="0" xfId="5" applyNumberFormat="1" applyFill="1">
      <alignment horizontal="left" vertical="center"/>
    </xf>
    <xf numFmtId="170" fontId="0" fillId="0" borderId="0" xfId="0" applyNumberFormat="1"/>
    <xf numFmtId="170" fontId="0" fillId="6" borderId="0" xfId="0" applyNumberFormat="1" applyFill="1"/>
    <xf numFmtId="2" fontId="0" fillId="0" borderId="0" xfId="0" applyNumberFormat="1"/>
    <xf numFmtId="2" fontId="0" fillId="6" borderId="0" xfId="0" applyNumberFormat="1" applyFill="1"/>
    <xf numFmtId="171" fontId="44" fillId="0" borderId="0" xfId="5" applyNumberFormat="1">
      <alignment horizontal="left" vertical="center"/>
    </xf>
    <xf numFmtId="171" fontId="44" fillId="0" borderId="0" xfId="6" applyNumberFormat="1">
      <alignment horizontal="left" vertical="center"/>
    </xf>
    <xf numFmtId="49" fontId="44" fillId="0" borderId="0" xfId="6" applyNumberFormat="1" applyFill="1">
      <alignment horizontal="left" vertical="center"/>
    </xf>
    <xf numFmtId="165" fontId="23" fillId="0" borderId="5" xfId="0" applyNumberFormat="1" applyFont="1" applyBorder="1" applyAlignment="1">
      <alignment horizontal="right"/>
    </xf>
    <xf numFmtId="0" fontId="0" fillId="0" borderId="0" xfId="0" applyFill="1" applyBorder="1" applyAlignment="1"/>
    <xf numFmtId="0" fontId="0" fillId="0" borderId="7" xfId="0" applyFill="1" applyBorder="1" applyAlignment="1"/>
    <xf numFmtId="0" fontId="45" fillId="0" borderId="8" xfId="0" applyFont="1" applyFill="1" applyBorder="1" applyAlignment="1">
      <alignment horizontal="center"/>
    </xf>
    <xf numFmtId="0" fontId="45" fillId="0" borderId="8" xfId="0" applyFont="1" applyFill="1" applyBorder="1" applyAlignment="1">
      <alignment horizontal="centerContinuous"/>
    </xf>
    <xf numFmtId="0" fontId="10" fillId="0" borderId="0" xfId="7"/>
    <xf numFmtId="14" fontId="44" fillId="0" borderId="0" xfId="5" applyNumberFormat="1">
      <alignment horizontal="left" vertical="center"/>
    </xf>
    <xf numFmtId="172" fontId="44" fillId="0" borderId="0" xfId="5" applyNumberFormat="1" applyAlignment="1">
      <alignment horizontal="right" vertical="center"/>
    </xf>
    <xf numFmtId="0" fontId="44" fillId="0" borderId="0" xfId="5" applyAlignment="1">
      <alignment horizontal="left" vertical="distributed" wrapText="1"/>
    </xf>
    <xf numFmtId="170" fontId="10" fillId="0" borderId="0" xfId="7" applyNumberFormat="1"/>
    <xf numFmtId="2" fontId="10" fillId="0" borderId="0" xfId="7" applyNumberFormat="1"/>
    <xf numFmtId="14" fontId="44" fillId="0" borderId="0" xfId="6" applyNumberFormat="1">
      <alignment horizontal="left" vertical="center"/>
    </xf>
    <xf numFmtId="172" fontId="44" fillId="0" borderId="0" xfId="6" applyNumberFormat="1" applyAlignment="1">
      <alignment horizontal="right" vertical="center"/>
    </xf>
    <xf numFmtId="0" fontId="44" fillId="0" borderId="0" xfId="6" applyAlignment="1">
      <alignment horizontal="left" vertical="distributed" wrapText="1"/>
    </xf>
    <xf numFmtId="14" fontId="44" fillId="6" borderId="0" xfId="5" applyNumberFormat="1" applyFill="1">
      <alignment horizontal="left" vertical="center"/>
    </xf>
    <xf numFmtId="172" fontId="44" fillId="6" borderId="0" xfId="5" applyNumberFormat="1" applyFill="1" applyAlignment="1">
      <alignment horizontal="right" vertical="center"/>
    </xf>
    <xf numFmtId="0" fontId="44" fillId="6" borderId="0" xfId="5" applyFill="1" applyAlignment="1">
      <alignment horizontal="left" vertical="distributed" wrapText="1"/>
    </xf>
    <xf numFmtId="170" fontId="10" fillId="6" borderId="0" xfId="7" applyNumberFormat="1" applyFill="1"/>
    <xf numFmtId="2" fontId="10" fillId="6" borderId="0" xfId="7" applyNumberFormat="1" applyFill="1"/>
    <xf numFmtId="0" fontId="46" fillId="0" borderId="0" xfId="7" applyFont="1"/>
    <xf numFmtId="0" fontId="47" fillId="0" borderId="0" xfId="8"/>
    <xf numFmtId="0" fontId="48" fillId="0" borderId="0" xfId="8" applyFont="1" applyAlignment="1">
      <alignment horizontal="left"/>
    </xf>
    <xf numFmtId="3" fontId="47" fillId="7" borderId="0" xfId="8" applyNumberFormat="1" applyFill="1" applyAlignment="1">
      <alignment horizontal="right"/>
    </xf>
    <xf numFmtId="0" fontId="47" fillId="7" borderId="0" xfId="8" applyFill="1" applyAlignment="1">
      <alignment horizontal="left"/>
    </xf>
    <xf numFmtId="173" fontId="47" fillId="0" borderId="0" xfId="8" applyNumberFormat="1" applyAlignment="1">
      <alignment horizontal="right"/>
    </xf>
    <xf numFmtId="0" fontId="47" fillId="0" borderId="0" xfId="8" applyAlignment="1">
      <alignment horizontal="left"/>
    </xf>
    <xf numFmtId="173" fontId="47" fillId="7" borderId="0" xfId="8" applyNumberFormat="1" applyFill="1" applyAlignment="1">
      <alignment horizontal="right"/>
    </xf>
    <xf numFmtId="4" fontId="47" fillId="7" borderId="0" xfId="8" applyNumberFormat="1" applyFill="1" applyAlignment="1">
      <alignment horizontal="right"/>
    </xf>
    <xf numFmtId="4" fontId="47" fillId="0" borderId="0" xfId="8" applyNumberFormat="1" applyAlignment="1">
      <alignment horizontal="right"/>
    </xf>
    <xf numFmtId="0" fontId="49" fillId="8" borderId="0" xfId="8" applyFont="1" applyFill="1" applyAlignment="1">
      <alignment horizontal="left"/>
    </xf>
    <xf numFmtId="0" fontId="47" fillId="0" borderId="9" xfId="8" applyBorder="1"/>
    <xf numFmtId="0" fontId="47" fillId="0" borderId="10" xfId="8" applyBorder="1"/>
    <xf numFmtId="0" fontId="49" fillId="0" borderId="0" xfId="8" applyFont="1"/>
    <xf numFmtId="0" fontId="47" fillId="7" borderId="0" xfId="8" applyFill="1" applyAlignment="1">
      <alignment horizontal="left" indent="4"/>
    </xf>
    <xf numFmtId="0" fontId="47" fillId="0" borderId="0" xfId="8" applyAlignment="1">
      <alignment horizontal="left" indent="4"/>
    </xf>
    <xf numFmtId="173" fontId="50" fillId="7" borderId="0" xfId="8" applyNumberFormat="1" applyFont="1" applyFill="1" applyAlignment="1">
      <alignment horizontal="right"/>
    </xf>
    <xf numFmtId="0" fontId="50" fillId="7" borderId="0" xfId="8" applyFont="1" applyFill="1" applyAlignment="1">
      <alignment horizontal="left" indent="3"/>
    </xf>
    <xf numFmtId="173" fontId="51" fillId="0" borderId="0" xfId="8" applyNumberFormat="1" applyFont="1" applyAlignment="1">
      <alignment horizontal="right"/>
    </xf>
    <xf numFmtId="0" fontId="47" fillId="0" borderId="0" xfId="8" applyAlignment="1">
      <alignment horizontal="left" indent="1"/>
    </xf>
    <xf numFmtId="0" fontId="50" fillId="7" borderId="0" xfId="8" applyFont="1" applyFill="1" applyAlignment="1">
      <alignment horizontal="left"/>
    </xf>
    <xf numFmtId="3" fontId="47" fillId="0" borderId="0" xfId="8" applyNumberFormat="1" applyAlignment="1">
      <alignment horizontal="right"/>
    </xf>
    <xf numFmtId="3" fontId="51" fillId="7" borderId="0" xfId="8" applyNumberFormat="1" applyFont="1" applyFill="1" applyAlignment="1">
      <alignment horizontal="right"/>
    </xf>
    <xf numFmtId="3" fontId="50" fillId="0" borderId="0" xfId="8" applyNumberFormat="1" applyFont="1" applyAlignment="1">
      <alignment horizontal="right"/>
    </xf>
    <xf numFmtId="0" fontId="50" fillId="0" borderId="0" xfId="8" applyFont="1" applyAlignment="1">
      <alignment horizontal="left" indent="3"/>
    </xf>
    <xf numFmtId="0" fontId="47" fillId="7" borderId="0" xfId="8" applyFill="1" applyAlignment="1">
      <alignment horizontal="left" indent="7"/>
    </xf>
    <xf numFmtId="0" fontId="47" fillId="0" borderId="0" xfId="8" applyAlignment="1">
      <alignment horizontal="left" indent="7"/>
    </xf>
    <xf numFmtId="3" fontId="50" fillId="7" borderId="0" xfId="8" applyNumberFormat="1" applyFont="1" applyFill="1" applyAlignment="1">
      <alignment horizontal="right"/>
    </xf>
    <xf numFmtId="0" fontId="50" fillId="7" borderId="0" xfId="8" applyFont="1" applyFill="1" applyAlignment="1">
      <alignment horizontal="left" indent="6"/>
    </xf>
    <xf numFmtId="3" fontId="51" fillId="0" borderId="0" xfId="8" applyNumberFormat="1" applyFont="1" applyAlignment="1">
      <alignment horizontal="right"/>
    </xf>
    <xf numFmtId="0" fontId="50" fillId="0" borderId="0" xfId="8" applyFont="1" applyAlignment="1">
      <alignment horizontal="left" indent="6"/>
    </xf>
    <xf numFmtId="0" fontId="50" fillId="0" borderId="0" xfId="8" applyFont="1" applyAlignment="1">
      <alignment horizontal="left"/>
    </xf>
    <xf numFmtId="0" fontId="47" fillId="7" borderId="0" xfId="8" applyFill="1" applyAlignment="1">
      <alignment horizontal="left" indent="1"/>
    </xf>
    <xf numFmtId="49" fontId="44" fillId="0" borderId="0" xfId="5" applyNumberFormat="1" applyFill="1">
      <alignment horizontal="left" vertical="center"/>
    </xf>
    <xf numFmtId="9" fontId="47" fillId="0" borderId="0" xfId="1" applyFont="1"/>
    <xf numFmtId="3" fontId="50" fillId="7" borderId="0" xfId="0" applyNumberFormat="1" applyFont="1" applyFill="1" applyAlignment="1">
      <alignment horizontal="right"/>
    </xf>
    <xf numFmtId="173" fontId="51" fillId="7" borderId="0" xfId="0" applyNumberFormat="1" applyFont="1" applyFill="1" applyAlignment="1">
      <alignment horizontal="right"/>
    </xf>
    <xf numFmtId="173" fontId="0" fillId="7" borderId="0" xfId="0" applyNumberFormat="1" applyFill="1" applyAlignment="1">
      <alignment horizontal="right"/>
    </xf>
    <xf numFmtId="173" fontId="0" fillId="0" borderId="0" xfId="0" applyNumberFormat="1" applyAlignment="1">
      <alignment horizontal="right"/>
    </xf>
    <xf numFmtId="173" fontId="51" fillId="0" borderId="0" xfId="0" applyNumberFormat="1" applyFont="1" applyAlignment="1">
      <alignment horizontal="right"/>
    </xf>
    <xf numFmtId="0" fontId="0" fillId="0" borderId="0" xfId="0" applyAlignment="1">
      <alignment horizontal="left"/>
    </xf>
    <xf numFmtId="4" fontId="0" fillId="0" borderId="0" xfId="0" applyNumberFormat="1"/>
    <xf numFmtId="3" fontId="0" fillId="0" borderId="0" xfId="0" applyNumberFormat="1"/>
    <xf numFmtId="0" fontId="0" fillId="7" borderId="0" xfId="0" applyFill="1" applyAlignment="1">
      <alignment horizontal="left"/>
    </xf>
    <xf numFmtId="0" fontId="0" fillId="6" borderId="0" xfId="0" applyFill="1" applyAlignment="1">
      <alignment horizontal="left"/>
    </xf>
    <xf numFmtId="173" fontId="47" fillId="0" borderId="0" xfId="8" applyNumberFormat="1"/>
    <xf numFmtId="0" fontId="21" fillId="2" borderId="3" xfId="0" applyFont="1" applyFill="1" applyBorder="1" applyAlignment="1">
      <alignment horizontal="right" vertical="top"/>
    </xf>
    <xf numFmtId="49" fontId="21" fillId="2" borderId="3" xfId="0" applyNumberFormat="1" applyFont="1" applyFill="1" applyBorder="1" applyAlignment="1">
      <alignment horizontal="center" vertical="top" wrapText="1"/>
    </xf>
    <xf numFmtId="164" fontId="19" fillId="0" borderId="0" xfId="0" applyNumberFormat="1" applyFont="1" applyBorder="1" applyAlignment="1">
      <alignment horizontal="right"/>
    </xf>
    <xf numFmtId="10" fontId="0" fillId="0" borderId="0" xfId="1" applyNumberFormat="1" applyFont="1"/>
    <xf numFmtId="9" fontId="0" fillId="0" borderId="0" xfId="1" applyFont="1"/>
    <xf numFmtId="0" fontId="24" fillId="0" borderId="0" xfId="0" applyFont="1"/>
    <xf numFmtId="0" fontId="52" fillId="5" borderId="0" xfId="4" applyFont="1">
      <alignment horizontal="left" vertical="center"/>
    </xf>
    <xf numFmtId="0" fontId="24" fillId="0" borderId="0" xfId="0" applyFont="1"/>
    <xf numFmtId="49" fontId="21" fillId="2" borderId="3" xfId="0" applyNumberFormat="1" applyFont="1" applyFill="1" applyBorder="1" applyAlignment="1">
      <alignment horizontal="center" vertical="top" wrapText="1"/>
    </xf>
    <xf numFmtId="0" fontId="37" fillId="0" borderId="0" xfId="0" applyFont="1" applyAlignment="1">
      <alignment wrapText="1"/>
    </xf>
    <xf numFmtId="0" fontId="37" fillId="0" borderId="0" xfId="0" applyFont="1" applyAlignment="1"/>
    <xf numFmtId="0" fontId="36" fillId="0" borderId="0" xfId="0" applyFont="1" applyAlignment="1">
      <alignment horizontal="left"/>
    </xf>
    <xf numFmtId="0" fontId="24" fillId="0" borderId="0" xfId="0" applyFont="1" applyAlignment="1">
      <alignment horizontal="left" wrapText="1" indent="1"/>
    </xf>
    <xf numFmtId="4" fontId="50" fillId="0" borderId="0" xfId="8" applyNumberFormat="1" applyFont="1" applyAlignment="1">
      <alignment horizontal="right"/>
    </xf>
    <xf numFmtId="4" fontId="50" fillId="7" borderId="0" xfId="8" applyNumberFormat="1" applyFont="1" applyFill="1" applyAlignment="1">
      <alignment horizontal="right"/>
    </xf>
    <xf numFmtId="0" fontId="53" fillId="0" borderId="0" xfId="0" applyFont="1"/>
    <xf numFmtId="0" fontId="1" fillId="0" borderId="0" xfId="9"/>
    <xf numFmtId="0" fontId="1" fillId="0" borderId="11" xfId="9" applyBorder="1"/>
    <xf numFmtId="0" fontId="23" fillId="0" borderId="0" xfId="9" applyFont="1"/>
    <xf numFmtId="0" fontId="23" fillId="0" borderId="0" xfId="9" applyFont="1" applyAlignment="1">
      <alignment horizontal="left" wrapText="1" indent="2"/>
    </xf>
    <xf numFmtId="0" fontId="22" fillId="0" borderId="0" xfId="9" applyFont="1" applyAlignment="1">
      <alignment horizontal="left" vertical="center" indent="1"/>
    </xf>
    <xf numFmtId="167" fontId="23" fillId="0" borderId="0" xfId="9" applyNumberFormat="1" applyFont="1" applyAlignment="1">
      <alignment horizontal="right"/>
    </xf>
    <xf numFmtId="0" fontId="10" fillId="0" borderId="0" xfId="9" applyFont="1"/>
    <xf numFmtId="176" fontId="23" fillId="0" borderId="0" xfId="9" applyNumberFormat="1" applyFont="1"/>
    <xf numFmtId="177" fontId="23" fillId="0" borderId="0" xfId="9" applyNumberFormat="1" applyFont="1"/>
    <xf numFmtId="177" fontId="1" fillId="0" borderId="0" xfId="9" applyNumberFormat="1"/>
    <xf numFmtId="177" fontId="23" fillId="0" borderId="0" xfId="12" applyNumberFormat="1" applyFont="1"/>
    <xf numFmtId="177" fontId="23" fillId="0" borderId="11" xfId="9" applyNumberFormat="1" applyFont="1" applyBorder="1"/>
    <xf numFmtId="177" fontId="23" fillId="0" borderId="0" xfId="13" applyNumberFormat="1" applyFont="1"/>
    <xf numFmtId="177" fontId="23" fillId="0" borderId="11" xfId="12" applyNumberFormat="1" applyFont="1" applyBorder="1"/>
    <xf numFmtId="10" fontId="10" fillId="0" borderId="0" xfId="10" applyNumberFormat="1" applyFont="1" applyAlignment="1">
      <alignment horizontal="right"/>
    </xf>
    <xf numFmtId="167" fontId="23" fillId="0" borderId="4" xfId="9" applyNumberFormat="1" applyFont="1" applyBorder="1" applyAlignment="1">
      <alignment horizontal="right"/>
    </xf>
    <xf numFmtId="0" fontId="1" fillId="0" borderId="4" xfId="9" applyBorder="1"/>
    <xf numFmtId="177" fontId="23" fillId="0" borderId="4" xfId="13" applyNumberFormat="1" applyFont="1" applyBorder="1"/>
    <xf numFmtId="0" fontId="23" fillId="0" borderId="4" xfId="9" applyFont="1" applyBorder="1"/>
    <xf numFmtId="49" fontId="21" fillId="2" borderId="12" xfId="0" applyNumberFormat="1" applyFont="1" applyFill="1" applyBorder="1" applyAlignment="1">
      <alignment horizontal="center" vertical="top" wrapText="1"/>
    </xf>
    <xf numFmtId="0" fontId="23" fillId="0" borderId="4" xfId="0" applyFont="1" applyBorder="1"/>
    <xf numFmtId="177" fontId="23" fillId="0" borderId="4" xfId="12" applyNumberFormat="1" applyFont="1" applyBorder="1"/>
    <xf numFmtId="177" fontId="23" fillId="0" borderId="4" xfId="9" applyNumberFormat="1" applyFont="1" applyBorder="1"/>
    <xf numFmtId="174" fontId="55" fillId="4" borderId="0" xfId="10" applyNumberFormat="1" applyFont="1" applyFill="1"/>
    <xf numFmtId="174" fontId="55" fillId="4" borderId="0" xfId="10" applyNumberFormat="1" applyFont="1" applyFill="1" applyAlignment="1">
      <alignment horizontal="right"/>
    </xf>
    <xf numFmtId="0" fontId="0" fillId="0" borderId="5" xfId="0" applyBorder="1"/>
    <xf numFmtId="0" fontId="0" fillId="0" borderId="6" xfId="0" applyBorder="1"/>
    <xf numFmtId="0" fontId="0" fillId="0" borderId="4" xfId="0" applyBorder="1"/>
    <xf numFmtId="0" fontId="0" fillId="0" borderId="13" xfId="0" applyBorder="1"/>
    <xf numFmtId="9" fontId="24" fillId="0" borderId="0" xfId="0" applyNumberFormat="1" applyFont="1"/>
    <xf numFmtId="43" fontId="0" fillId="0" borderId="0" xfId="3" applyFont="1"/>
    <xf numFmtId="0" fontId="10" fillId="0" borderId="0" xfId="9" applyFont="1" applyAlignment="1">
      <alignment horizontal="left"/>
    </xf>
    <xf numFmtId="0" fontId="24" fillId="0" borderId="0" xfId="0" applyFont="1" applyAlignment="1">
      <alignment horizontal="left"/>
    </xf>
    <xf numFmtId="49" fontId="21" fillId="2" borderId="14" xfId="0" applyNumberFormat="1" applyFont="1" applyFill="1" applyBorder="1" applyAlignment="1">
      <alignment horizontal="right" vertical="top" wrapText="1"/>
    </xf>
    <xf numFmtId="0" fontId="24" fillId="0" borderId="0" xfId="0" applyFont="1"/>
    <xf numFmtId="0" fontId="24" fillId="0" borderId="0" xfId="0" applyFont="1"/>
    <xf numFmtId="0" fontId="24" fillId="0" borderId="0" xfId="0" applyFont="1" applyAlignment="1">
      <alignment horizontal="left" wrapText="1" indent="1"/>
    </xf>
    <xf numFmtId="0" fontId="37" fillId="0" borderId="0" xfId="0" applyFont="1" applyAlignment="1">
      <alignment wrapText="1"/>
    </xf>
    <xf numFmtId="0" fontId="37" fillId="0" borderId="0" xfId="0" applyFont="1" applyAlignment="1"/>
    <xf numFmtId="0" fontId="2" fillId="0" borderId="0" xfId="2"/>
    <xf numFmtId="0" fontId="56" fillId="0" borderId="0" xfId="0" applyFont="1"/>
    <xf numFmtId="43" fontId="0" fillId="0" borderId="0" xfId="0" applyNumberFormat="1"/>
    <xf numFmtId="177" fontId="0" fillId="0" borderId="0" xfId="0" applyNumberFormat="1"/>
    <xf numFmtId="43" fontId="24" fillId="0" borderId="0" xfId="0" applyNumberFormat="1" applyFont="1"/>
    <xf numFmtId="0" fontId="57" fillId="4" borderId="6" xfId="0" applyFont="1" applyFill="1" applyBorder="1"/>
    <xf numFmtId="0" fontId="57" fillId="3" borderId="5" xfId="0" applyFont="1" applyFill="1" applyBorder="1"/>
    <xf numFmtId="0" fontId="10" fillId="0" borderId="7" xfId="7" applyBorder="1"/>
    <xf numFmtId="178" fontId="58" fillId="0" borderId="15" xfId="14" applyFont="1" applyBorder="1" applyAlignment="1">
      <alignment horizontal="right" vertical="center" wrapText="1"/>
    </xf>
    <xf numFmtId="178" fontId="0" fillId="0" borderId="0" xfId="14" applyFont="1"/>
    <xf numFmtId="0" fontId="59" fillId="9" borderId="0" xfId="7" applyFont="1" applyFill="1"/>
    <xf numFmtId="178" fontId="60" fillId="9" borderId="0" xfId="14" applyFont="1" applyFill="1" applyBorder="1" applyAlignment="1">
      <alignment horizontal="right" vertical="center" wrapText="1"/>
    </xf>
    <xf numFmtId="0" fontId="10" fillId="10" borderId="0" xfId="7" applyFill="1"/>
    <xf numFmtId="178" fontId="0" fillId="10" borderId="0" xfId="14" applyFont="1" applyFill="1"/>
    <xf numFmtId="10" fontId="0" fillId="10" borderId="0" xfId="15" applyNumberFormat="1" applyFont="1" applyFill="1"/>
    <xf numFmtId="0" fontId="10" fillId="9" borderId="0" xfId="7" applyFill="1"/>
    <xf numFmtId="10" fontId="0" fillId="9" borderId="0" xfId="15" applyNumberFormat="1" applyFont="1" applyFill="1"/>
    <xf numFmtId="10" fontId="10" fillId="9" borderId="0" xfId="7" applyNumberFormat="1" applyFill="1"/>
    <xf numFmtId="10" fontId="10" fillId="0" borderId="0" xfId="7" applyNumberFormat="1"/>
    <xf numFmtId="10" fontId="0" fillId="0" borderId="0" xfId="15" applyNumberFormat="1" applyFont="1"/>
    <xf numFmtId="0" fontId="61" fillId="0" borderId="7" xfId="7" applyFont="1" applyBorder="1"/>
    <xf numFmtId="0" fontId="59" fillId="11" borderId="0" xfId="7" applyFont="1" applyFill="1"/>
    <xf numFmtId="173" fontId="58" fillId="0" borderId="16" xfId="16" applyNumberFormat="1" applyFont="1" applyBorder="1" applyAlignment="1">
      <alignment horizontal="right" vertical="center" wrapText="1"/>
    </xf>
    <xf numFmtId="178" fontId="10" fillId="0" borderId="0" xfId="7" applyNumberFormat="1"/>
    <xf numFmtId="0" fontId="59" fillId="11" borderId="17" xfId="7" applyFont="1" applyFill="1" applyBorder="1"/>
    <xf numFmtId="0" fontId="10" fillId="0" borderId="17" xfId="7" applyBorder="1"/>
    <xf numFmtId="178" fontId="10" fillId="0" borderId="17" xfId="7" applyNumberFormat="1" applyBorder="1"/>
    <xf numFmtId="0" fontId="59" fillId="11" borderId="18" xfId="7" applyFont="1" applyFill="1" applyBorder="1"/>
    <xf numFmtId="178" fontId="10" fillId="0" borderId="18" xfId="14" applyFont="1" applyBorder="1"/>
    <xf numFmtId="178" fontId="62" fillId="0" borderId="15" xfId="14" applyFont="1" applyBorder="1" applyAlignment="1">
      <alignment horizontal="right" vertical="center" wrapText="1"/>
    </xf>
    <xf numFmtId="178" fontId="10" fillId="0" borderId="18" xfId="7" applyNumberFormat="1" applyBorder="1"/>
    <xf numFmtId="178" fontId="10" fillId="0" borderId="0" xfId="14" applyFont="1" applyBorder="1"/>
    <xf numFmtId="0" fontId="59" fillId="11" borderId="7" xfId="7" applyFont="1" applyFill="1" applyBorder="1"/>
    <xf numFmtId="178" fontId="10" fillId="0" borderId="7" xfId="14" applyFont="1" applyBorder="1"/>
    <xf numFmtId="178" fontId="62" fillId="0" borderId="19" xfId="14" applyFont="1" applyBorder="1" applyAlignment="1">
      <alignment horizontal="right" vertical="center" wrapText="1"/>
    </xf>
    <xf numFmtId="178" fontId="10" fillId="0" borderId="7" xfId="7" applyNumberFormat="1" applyBorder="1"/>
    <xf numFmtId="0" fontId="10" fillId="11" borderId="0" xfId="7" applyFill="1"/>
    <xf numFmtId="0" fontId="62" fillId="0" borderId="0" xfId="14" applyNumberFormat="1" applyFont="1" applyFill="1" applyBorder="1" applyAlignment="1">
      <alignment horizontal="right" vertical="center" wrapText="1"/>
    </xf>
    <xf numFmtId="0" fontId="10" fillId="0" borderId="18" xfId="7" applyBorder="1"/>
    <xf numFmtId="43" fontId="10" fillId="0" borderId="20" xfId="7" applyNumberFormat="1" applyBorder="1"/>
    <xf numFmtId="178" fontId="10" fillId="12" borderId="0" xfId="7" applyNumberFormat="1" applyFill="1"/>
    <xf numFmtId="0" fontId="10" fillId="11" borderId="7" xfId="7" applyFill="1" applyBorder="1"/>
    <xf numFmtId="10" fontId="10" fillId="0" borderId="7" xfId="7" applyNumberFormat="1" applyBorder="1"/>
    <xf numFmtId="179" fontId="24" fillId="0" borderId="0" xfId="0" applyNumberFormat="1" applyFont="1"/>
    <xf numFmtId="0" fontId="24" fillId="0" borderId="5" xfId="0" applyFont="1" applyBorder="1"/>
    <xf numFmtId="0" fontId="23" fillId="0" borderId="4" xfId="0" applyFont="1" applyBorder="1" applyAlignment="1">
      <alignment wrapText="1"/>
    </xf>
    <xf numFmtId="10" fontId="24" fillId="0" borderId="4" xfId="0" applyNumberFormat="1" applyFont="1" applyBorder="1"/>
    <xf numFmtId="0" fontId="24" fillId="0" borderId="4" xfId="0" applyFont="1" applyBorder="1"/>
    <xf numFmtId="0" fontId="24" fillId="0" borderId="23" xfId="0" applyFont="1" applyBorder="1"/>
    <xf numFmtId="2" fontId="24" fillId="0" borderId="0" xfId="0" applyNumberFormat="1" applyFont="1" applyBorder="1"/>
    <xf numFmtId="10" fontId="24" fillId="0" borderId="6" xfId="0" applyNumberFormat="1" applyFont="1" applyBorder="1"/>
    <xf numFmtId="0" fontId="24" fillId="0" borderId="27" xfId="0" applyFont="1" applyBorder="1"/>
    <xf numFmtId="2" fontId="24" fillId="0" borderId="4" xfId="0" applyNumberFormat="1" applyFont="1" applyBorder="1"/>
    <xf numFmtId="2" fontId="24" fillId="0" borderId="5" xfId="0" applyNumberFormat="1" applyFont="1" applyBorder="1"/>
    <xf numFmtId="2" fontId="24" fillId="0" borderId="6" xfId="0" applyNumberFormat="1" applyFont="1" applyBorder="1"/>
    <xf numFmtId="168" fontId="24" fillId="0" borderId="0" xfId="0" applyNumberFormat="1" applyFont="1"/>
    <xf numFmtId="0" fontId="24" fillId="0" borderId="0" xfId="0" applyFont="1" applyAlignment="1">
      <alignment horizontal="left" indent="1"/>
    </xf>
    <xf numFmtId="0" fontId="0" fillId="13" borderId="21" xfId="0" applyFont="1" applyFill="1" applyBorder="1" applyAlignment="1">
      <alignment horizontal="left"/>
    </xf>
    <xf numFmtId="0" fontId="0" fillId="0" borderId="0" xfId="0" quotePrefix="1"/>
    <xf numFmtId="10" fontId="63" fillId="0" borderId="28" xfId="0" applyNumberFormat="1" applyFont="1" applyBorder="1" applyAlignment="1">
      <alignment horizontal="right" wrapText="1"/>
    </xf>
    <xf numFmtId="10" fontId="63" fillId="0" borderId="29" xfId="0" applyNumberFormat="1" applyFont="1" applyBorder="1" applyAlignment="1">
      <alignment horizontal="right" wrapText="1"/>
    </xf>
    <xf numFmtId="43" fontId="55" fillId="4" borderId="0" xfId="3" applyFont="1" applyFill="1"/>
    <xf numFmtId="0" fontId="64" fillId="0" borderId="0" xfId="0" applyFont="1" applyAlignment="1">
      <alignment horizontal="left" vertical="center" indent="1"/>
    </xf>
    <xf numFmtId="173" fontId="0" fillId="0" borderId="0" xfId="0" applyNumberFormat="1"/>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51"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47" fillId="0" borderId="0" xfId="8" applyNumberFormat="1" applyFont="1" applyAlignment="1">
      <alignment horizontal="right"/>
    </xf>
    <xf numFmtId="173" fontId="47" fillId="7" borderId="0" xfId="8" applyNumberFormat="1" applyFont="1" applyFill="1" applyAlignment="1">
      <alignment horizontal="right"/>
    </xf>
    <xf numFmtId="173" fontId="51" fillId="7" borderId="0" xfId="8" applyNumberFormat="1" applyFont="1" applyFill="1" applyAlignment="1">
      <alignment horizontal="right"/>
    </xf>
    <xf numFmtId="0" fontId="49" fillId="8" borderId="0" xfId="8" applyFont="1" applyFill="1" applyAlignment="1">
      <alignment horizontal="left"/>
    </xf>
    <xf numFmtId="173" fontId="47" fillId="0" borderId="0" xfId="8" applyNumberFormat="1" applyFont="1" applyAlignment="1">
      <alignment horizontal="right"/>
    </xf>
    <xf numFmtId="0" fontId="21" fillId="2" borderId="3" xfId="0" applyFont="1" applyFill="1" applyBorder="1" applyAlignment="1">
      <alignment horizontal="right" vertical="top"/>
    </xf>
    <xf numFmtId="0" fontId="24" fillId="0" borderId="0" xfId="0" applyFont="1"/>
    <xf numFmtId="49" fontId="21" fillId="2" borderId="3" xfId="0" applyNumberFormat="1" applyFont="1" applyFill="1" applyBorder="1" applyAlignment="1">
      <alignment horizontal="center" vertical="top" wrapText="1"/>
    </xf>
    <xf numFmtId="0" fontId="21" fillId="0" borderId="0" xfId="0" applyFont="1" applyAlignment="1">
      <alignment horizontal="left" wrapText="1" indent="1"/>
    </xf>
    <xf numFmtId="0" fontId="24" fillId="0" borderId="0" xfId="0" applyFont="1" applyAlignment="1">
      <alignment horizontal="center" vertical="center" wrapText="1"/>
    </xf>
    <xf numFmtId="0" fontId="23" fillId="0" borderId="0" xfId="0" applyFont="1" applyAlignment="1">
      <alignment horizontal="center" wrapText="1"/>
    </xf>
    <xf numFmtId="0" fontId="23" fillId="0" borderId="26" xfId="0" applyFont="1" applyBorder="1" applyAlignment="1">
      <alignment horizontal="center" wrapText="1"/>
    </xf>
    <xf numFmtId="0" fontId="23" fillId="0" borderId="24" xfId="0" applyFont="1" applyBorder="1" applyAlignment="1">
      <alignment horizontal="center" wrapText="1"/>
    </xf>
    <xf numFmtId="0" fontId="23" fillId="0" borderId="23" xfId="0" applyFont="1" applyBorder="1" applyAlignment="1">
      <alignment horizontal="center" wrapText="1"/>
    </xf>
    <xf numFmtId="0" fontId="24" fillId="0" borderId="22"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25" xfId="0" applyFont="1" applyBorder="1" applyAlignment="1">
      <alignment horizontal="center" vertical="center" wrapText="1"/>
    </xf>
    <xf numFmtId="0" fontId="24" fillId="0" borderId="0" xfId="0" applyFont="1" applyAlignment="1">
      <alignment horizontal="left" wrapText="1" indent="1"/>
    </xf>
    <xf numFmtId="0" fontId="37" fillId="0" borderId="0" xfId="0" applyFont="1" applyAlignment="1">
      <alignment wrapText="1"/>
    </xf>
    <xf numFmtId="0" fontId="37" fillId="0" borderId="0" xfId="0" applyFont="1" applyAlignment="1"/>
    <xf numFmtId="0" fontId="41" fillId="0" borderId="0" xfId="0" applyFont="1" applyAlignment="1">
      <alignment horizontal="left" vertical="center" wrapText="1"/>
    </xf>
  </cellXfs>
  <cellStyles count="17">
    <cellStyle name="A" xfId="6" xr:uid="{01696090-2165-4C60-80A0-5602DC7CAF92}"/>
    <cellStyle name="Comma" xfId="3" builtinId="3"/>
    <cellStyle name="Comma 2" xfId="12" xr:uid="{9020C667-B0B5-4D34-B189-24DBB5D24C89}"/>
    <cellStyle name="Comma 3" xfId="13" xr:uid="{2EED9F19-5154-45A7-ABE2-5CB539BD1DBC}"/>
    <cellStyle name="Currency 2" xfId="14" xr:uid="{98BECD4B-90C3-41B0-AF22-7995FCE263E1}"/>
    <cellStyle name="F" xfId="4" xr:uid="{11605CA0-AA9B-4167-B1E0-7AF1009AD1BE}"/>
    <cellStyle name="Hyperlink" xfId="2" builtinId="8"/>
    <cellStyle name="Normal" xfId="0" builtinId="0"/>
    <cellStyle name="Normal 2" xfId="7" xr:uid="{C521C303-E0C0-424C-A37A-CEC3B7EE10E2}"/>
    <cellStyle name="Normal 2 2" xfId="9" xr:uid="{CFCAF73E-4A9D-44F0-81E4-E6DB19A7F7AB}"/>
    <cellStyle name="Normal 2 3" xfId="16" xr:uid="{B12B09D8-76AF-45CF-89E9-4CCDB391410A}"/>
    <cellStyle name="Normal 3" xfId="8" xr:uid="{BAA2CAC1-2FE8-4472-8A2E-3407A46FC65D}"/>
    <cellStyle name="Percent" xfId="1" builtinId="5"/>
    <cellStyle name="Percent 2" xfId="10" xr:uid="{CF07090A-CFCC-4331-95A4-E8D5F2026DE2}"/>
    <cellStyle name="Percent 3" xfId="11" xr:uid="{C39DB1B4-7022-4487-9044-5F1D2FDEF287}"/>
    <cellStyle name="Percent 4" xfId="15" xr:uid="{C1CB4A4A-37FE-4015-98AA-2FC92291D89C}"/>
    <cellStyle name="R" xfId="5" xr:uid="{1E9643E1-737E-46EC-BD44-313D6CD87F19}"/>
  </cellStyles>
  <dxfs count="44">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2" formatCode="0.00"/>
    </dxf>
    <dxf>
      <font>
        <b val="0"/>
        <i val="0"/>
        <strike val="0"/>
        <condense val="0"/>
        <extend val="0"/>
        <outline val="0"/>
        <shadow val="0"/>
        <u val="none"/>
        <vertAlign val="baseline"/>
        <sz val="12"/>
        <color theme="1"/>
        <name val="Times New Roman"/>
        <family val="1"/>
        <scheme val="none"/>
      </font>
      <alignment horizontal="left" vertical="bottom" textRotation="0" wrapText="1" indent="1" justifyLastLine="0" shrinkToFit="0" readingOrder="0"/>
    </dxf>
    <dxf>
      <font>
        <b val="0"/>
        <i val="0"/>
        <strike val="0"/>
        <condense val="0"/>
        <extend val="0"/>
        <outline val="0"/>
        <shadow val="0"/>
        <u val="none"/>
        <vertAlign val="baseline"/>
        <sz val="12"/>
        <color theme="1"/>
        <name val="Times New Roman"/>
        <family val="1"/>
        <scheme val="none"/>
      </font>
      <alignment horizontal="left" vertical="bottom" textRotation="0" wrapText="1" indent="1" justifyLastLine="0" shrinkToFit="0" readingOrder="0"/>
    </dxf>
    <dxf>
      <border outline="0">
        <top style="thin">
          <color rgb="FF4D4D4D"/>
        </top>
        <bottom style="thin">
          <color rgb="FF4D4D4D"/>
        </bottom>
      </border>
    </dxf>
    <dxf>
      <border outline="0">
        <bottom style="medium">
          <color rgb="FF4D4D4D"/>
        </bottom>
      </border>
    </dxf>
    <dxf>
      <font>
        <b/>
        <i val="0"/>
        <strike val="0"/>
        <condense val="0"/>
        <extend val="0"/>
        <outline val="0"/>
        <shadow val="0"/>
        <u val="none"/>
        <vertAlign val="baseline"/>
        <sz val="11"/>
        <color rgb="FF252525"/>
        <name val="Times New Roman"/>
        <family val="1"/>
        <scheme val="none"/>
      </font>
      <numFmt numFmtId="30" formatCode="@"/>
      <fill>
        <patternFill patternType="solid">
          <fgColor rgb="FFECECEC"/>
          <bgColor rgb="FFECECEC"/>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2" formatCode="0.00"/>
    </dxf>
    <dxf>
      <font>
        <b val="0"/>
        <i val="0"/>
        <strike val="0"/>
        <condense val="0"/>
        <extend val="0"/>
        <outline val="0"/>
        <shadow val="0"/>
        <u val="none"/>
        <vertAlign val="baseline"/>
        <sz val="12"/>
        <color theme="1"/>
        <name val="Times New Roman"/>
        <family val="1"/>
        <scheme val="none"/>
      </font>
      <alignment horizontal="left" vertical="bottom" textRotation="0" wrapText="1" indent="1" justifyLastLine="0" shrinkToFit="0" readingOrder="0"/>
    </dxf>
    <dxf>
      <font>
        <b val="0"/>
        <i val="0"/>
        <strike val="0"/>
        <condense val="0"/>
        <extend val="0"/>
        <outline val="0"/>
        <shadow val="0"/>
        <u val="none"/>
        <vertAlign val="baseline"/>
        <sz val="12"/>
        <color theme="1"/>
        <name val="Times New Roman"/>
        <family val="1"/>
        <scheme val="none"/>
      </font>
      <alignment horizontal="left" vertical="bottom" textRotation="0" wrapText="1" indent="1" justifyLastLine="0" shrinkToFit="0" readingOrder="0"/>
    </dxf>
    <dxf>
      <border outline="0">
        <top style="thin">
          <color rgb="FF4D4D4D"/>
        </top>
        <bottom style="thin">
          <color rgb="FF4D4D4D"/>
        </bottom>
      </border>
    </dxf>
    <dxf>
      <border outline="0">
        <bottom style="medium">
          <color rgb="FF4D4D4D"/>
        </bottom>
      </border>
    </dxf>
    <dxf>
      <font>
        <b/>
        <i val="0"/>
        <strike val="0"/>
        <condense val="0"/>
        <extend val="0"/>
        <outline val="0"/>
        <shadow val="0"/>
        <u val="none"/>
        <vertAlign val="baseline"/>
        <sz val="11"/>
        <color rgb="FF252525"/>
        <name val="Times New Roman"/>
        <family val="1"/>
        <scheme val="none"/>
      </font>
      <numFmt numFmtId="30" formatCode="@"/>
      <fill>
        <patternFill patternType="solid">
          <fgColor rgb="FFECECEC"/>
          <bgColor rgb="FFECECEC"/>
        </patternFill>
      </fill>
      <alignment horizontal="right" vertical="top" textRotation="0" wrapText="1" indent="0" justifyLastLine="0" shrinkToFit="0" readingOrder="0"/>
    </dxf>
    <dxf>
      <numFmt numFmtId="2" formatCode="0.00"/>
    </dxf>
    <dxf>
      <numFmt numFmtId="2" formatCode="0.00"/>
    </dxf>
    <dxf>
      <numFmt numFmtId="13" formatCode="0%"/>
    </dxf>
    <dxf>
      <fill>
        <patternFill patternType="solid">
          <fgColor indexed="64"/>
          <bgColor theme="2"/>
        </patternFill>
      </fill>
      <border diagonalUp="0" diagonalDown="0">
        <left/>
        <right style="thin">
          <color indexed="64"/>
        </right>
        <top/>
        <bottom/>
        <vertical/>
        <horizontal/>
      </border>
    </dxf>
    <dxf>
      <font>
        <strike val="0"/>
        <outline val="0"/>
        <shadow val="0"/>
        <u val="none"/>
        <vertAlign val="baseline"/>
        <sz val="12"/>
        <color theme="4"/>
        <name val="Calibri"/>
        <family val="2"/>
        <scheme val="minor"/>
      </font>
      <fill>
        <patternFill patternType="solid">
          <fgColor indexed="64"/>
          <bgColor theme="6" tint="0.79998168889431442"/>
        </patternFill>
      </fill>
    </dxf>
    <dxf>
      <font>
        <b val="0"/>
        <i val="0"/>
        <strike val="0"/>
        <condense val="0"/>
        <extend val="0"/>
        <outline val="0"/>
        <shadow val="0"/>
        <u val="none"/>
        <vertAlign val="baseline"/>
        <sz val="11"/>
        <color rgb="FF252525"/>
        <name val="Times New Roman"/>
        <family val="1"/>
        <scheme val="none"/>
      </font>
      <alignment horizontal="left" vertical="bottom" textRotation="0" wrapText="1" indent="1" justifyLastLine="0" shrinkToFit="0" readingOrder="0"/>
    </dxf>
    <dxf>
      <font>
        <b val="0"/>
        <i val="0"/>
        <strike val="0"/>
        <condense val="0"/>
        <extend val="0"/>
        <outline val="0"/>
        <shadow val="0"/>
        <u val="none"/>
        <vertAlign val="baseline"/>
        <sz val="11"/>
        <color rgb="FF252525"/>
        <name val="Times New Roman"/>
        <family val="1"/>
        <scheme val="none"/>
      </font>
      <alignment horizontal="left" vertical="bottom" textRotation="0" wrapText="1" indent="2" justifyLastLine="0" shrinkToFit="0" readingOrder="0"/>
    </dxf>
    <dxf>
      <border outline="0">
        <bottom style="thin">
          <color rgb="FF4D4D4D"/>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Growth!$A$9:$B$9</c:f>
              <c:strCache>
                <c:ptCount val="2"/>
                <c:pt idx="0">
                  <c:v>Net Interest Margin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Growth!$C$4:$H$4</c:f>
              <c:strCache>
                <c:ptCount val="6"/>
                <c:pt idx="0">
                  <c:v>Dec 31, 2015</c:v>
                </c:pt>
                <c:pt idx="1">
                  <c:v>Dec 31, 2016</c:v>
                </c:pt>
                <c:pt idx="2">
                  <c:v>Dec 31, 2017</c:v>
                </c:pt>
                <c:pt idx="3">
                  <c:v>Dec 31, 2018</c:v>
                </c:pt>
                <c:pt idx="4">
                  <c:v>Dec 31, 2019</c:v>
                </c:pt>
                <c:pt idx="5">
                  <c:v>Dec 31, 2020</c:v>
                </c:pt>
              </c:strCache>
            </c:strRef>
          </c:cat>
          <c:val>
            <c:numRef>
              <c:f>Growth!$C$9:$H$9</c:f>
              <c:numCache>
                <c:formatCode>0.0%</c:formatCode>
                <c:ptCount val="6"/>
                <c:pt idx="0">
                  <c:v>3.2099999999999997E-2</c:v>
                </c:pt>
                <c:pt idx="1">
                  <c:v>3.2000000000000001E-2</c:v>
                </c:pt>
                <c:pt idx="2">
                  <c:v>3.1300000000000001E-2</c:v>
                </c:pt>
                <c:pt idx="3">
                  <c:v>2.9600000000000001E-2</c:v>
                </c:pt>
                <c:pt idx="4">
                  <c:v>2.8299999999999999E-2</c:v>
                </c:pt>
                <c:pt idx="5">
                  <c:v>2.7199999999999998E-2</c:v>
                </c:pt>
              </c:numCache>
            </c:numRef>
          </c:val>
          <c:smooth val="0"/>
          <c:extLst>
            <c:ext xmlns:c16="http://schemas.microsoft.com/office/drawing/2014/chart" uri="{C3380CC4-5D6E-409C-BE32-E72D297353CC}">
              <c16:uniqueId val="{00000000-9FB8-4EAC-9AC3-BBF5E5070A4B}"/>
            </c:ext>
          </c:extLst>
        </c:ser>
        <c:dLbls>
          <c:showLegendKey val="0"/>
          <c:showVal val="0"/>
          <c:showCatName val="0"/>
          <c:showSerName val="0"/>
          <c:showPercent val="0"/>
          <c:showBubbleSize val="0"/>
        </c:dLbls>
        <c:marker val="1"/>
        <c:smooth val="0"/>
        <c:axId val="722283920"/>
        <c:axId val="722286872"/>
      </c:lineChart>
      <c:catAx>
        <c:axId val="7222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86872"/>
        <c:crosses val="autoZero"/>
        <c:auto val="1"/>
        <c:lblAlgn val="ctr"/>
        <c:lblOffset val="100"/>
        <c:noMultiLvlLbl val="0"/>
      </c:catAx>
      <c:valAx>
        <c:axId val="722286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8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 PE'!$L$4</c:f>
              <c:strCache>
                <c:ptCount val="1"/>
                <c:pt idx="0">
                  <c:v>y</c:v>
                </c:pt>
              </c:strCache>
            </c:strRef>
          </c:tx>
          <c:spPr>
            <a:ln w="25400" cap="rnd">
              <a:noFill/>
              <a:round/>
            </a:ln>
            <a:effectLst/>
          </c:spPr>
          <c:marker>
            <c:symbol val="diamond"/>
            <c:size val="6"/>
            <c:spPr>
              <a:solidFill>
                <a:schemeClr val="lt1"/>
              </a:solidFill>
              <a:ln w="15875">
                <a:solidFill>
                  <a:schemeClr val="accent1"/>
                </a:solidFill>
                <a:round/>
              </a:ln>
              <a:effectLst/>
            </c:spPr>
          </c:marker>
          <c:xVal>
            <c:numRef>
              <c:f>' PE'!$K$5:$K$15</c:f>
              <c:numCache>
                <c:formatCode>General</c:formatCode>
                <c:ptCount val="11"/>
                <c:pt idx="0">
                  <c:v>1.48</c:v>
                </c:pt>
                <c:pt idx="1">
                  <c:v>1.21</c:v>
                </c:pt>
                <c:pt idx="2">
                  <c:v>1.1000000000000001</c:v>
                </c:pt>
                <c:pt idx="3">
                  <c:v>1.96</c:v>
                </c:pt>
                <c:pt idx="4">
                  <c:v>1.29</c:v>
                </c:pt>
                <c:pt idx="5">
                  <c:v>1.08</c:v>
                </c:pt>
                <c:pt idx="6">
                  <c:v>1.24</c:v>
                </c:pt>
                <c:pt idx="7">
                  <c:v>1.71</c:v>
                </c:pt>
                <c:pt idx="8">
                  <c:v>2.25</c:v>
                </c:pt>
                <c:pt idx="9">
                  <c:v>1.46</c:v>
                </c:pt>
                <c:pt idx="10">
                  <c:v>0.77</c:v>
                </c:pt>
              </c:numCache>
            </c:numRef>
          </c:xVal>
          <c:yVal>
            <c:numRef>
              <c:f>' PE'!$L$5:$L$15</c:f>
              <c:numCache>
                <c:formatCode>0.0</c:formatCode>
                <c:ptCount val="11"/>
                <c:pt idx="0">
                  <c:v>15.2</c:v>
                </c:pt>
                <c:pt idx="1">
                  <c:v>14.7</c:v>
                </c:pt>
                <c:pt idx="2">
                  <c:v>20.3</c:v>
                </c:pt>
                <c:pt idx="3">
                  <c:v>10.3</c:v>
                </c:pt>
                <c:pt idx="4">
                  <c:v>17.8</c:v>
                </c:pt>
                <c:pt idx="5">
                  <c:v>17.5</c:v>
                </c:pt>
                <c:pt idx="6">
                  <c:v>16</c:v>
                </c:pt>
                <c:pt idx="7">
                  <c:v>13.8</c:v>
                </c:pt>
                <c:pt idx="8" formatCode="0.00">
                  <c:v>9.4499999999999993</c:v>
                </c:pt>
                <c:pt idx="9">
                  <c:v>13.9</c:v>
                </c:pt>
                <c:pt idx="10">
                  <c:v>18.399999999999999</c:v>
                </c:pt>
              </c:numCache>
            </c:numRef>
          </c:yVal>
          <c:smooth val="0"/>
          <c:extLst>
            <c:ext xmlns:c16="http://schemas.microsoft.com/office/drawing/2014/chart" uri="{C3380CC4-5D6E-409C-BE32-E72D297353CC}">
              <c16:uniqueId val="{00000000-9282-4694-AF05-70134F06C9D7}"/>
            </c:ext>
          </c:extLst>
        </c:ser>
        <c:dLbls>
          <c:showLegendKey val="0"/>
          <c:showVal val="0"/>
          <c:showCatName val="0"/>
          <c:showSerName val="0"/>
          <c:showPercent val="0"/>
          <c:showBubbleSize val="0"/>
        </c:dLbls>
        <c:axId val="682551064"/>
        <c:axId val="682551392"/>
      </c:scatterChart>
      <c:valAx>
        <c:axId val="6825510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82551392"/>
        <c:crosses val="autoZero"/>
        <c:crossBetween val="midCat"/>
      </c:valAx>
      <c:valAx>
        <c:axId val="682551392"/>
        <c:scaling>
          <c:orientation val="minMax"/>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8255106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v>ROE Regression</c:v>
          </c:tx>
          <c:spPr>
            <a:ln w="25400" cap="rnd">
              <a:noFill/>
              <a:round/>
            </a:ln>
            <a:effectLst/>
          </c:spPr>
          <c:marker>
            <c:symbol val="diamond"/>
            <c:size val="6"/>
            <c:spPr>
              <a:solidFill>
                <a:schemeClr val="lt1"/>
              </a:solidFill>
              <a:ln w="15875">
                <a:solidFill>
                  <a:schemeClr val="accent1"/>
                </a:solidFill>
                <a:round/>
              </a:ln>
              <a:effectLst/>
            </c:spPr>
          </c:marker>
          <c:xVal>
            <c:numRef>
              <c:f>'PVB vs ROE'!$D$5:$D$15</c:f>
              <c:numCache>
                <c:formatCode>0.00</c:formatCode>
                <c:ptCount val="11"/>
                <c:pt idx="0">
                  <c:v>8.4222386</c:v>
                </c:pt>
                <c:pt idx="1">
                  <c:v>9.9146881999999987</c:v>
                </c:pt>
                <c:pt idx="2">
                  <c:v>10.264219399999998</c:v>
                </c:pt>
                <c:pt idx="3">
                  <c:v>12.0789194</c:v>
                </c:pt>
                <c:pt idx="4">
                  <c:v>15.147677400000001</c:v>
                </c:pt>
                <c:pt idx="5">
                  <c:v>12.488816000000002</c:v>
                </c:pt>
                <c:pt idx="6">
                  <c:v>9.6780843999999995</c:v>
                </c:pt>
                <c:pt idx="7">
                  <c:v>6.9166613999999997</c:v>
                </c:pt>
                <c:pt idx="8">
                  <c:v>8.6652296</c:v>
                </c:pt>
                <c:pt idx="9">
                  <c:v>11.082796599999998</c:v>
                </c:pt>
                <c:pt idx="10">
                  <c:v>12.665995399999998</c:v>
                </c:pt>
              </c:numCache>
            </c:numRef>
          </c:xVal>
          <c:yVal>
            <c:numRef>
              <c:f>'PVB vs ROE'!$C$5:$C$15</c:f>
              <c:numCache>
                <c:formatCode>0.0</c:formatCode>
                <c:ptCount val="11"/>
                <c:pt idx="0">
                  <c:v>1.3</c:v>
                </c:pt>
                <c:pt idx="1">
                  <c:v>1.5</c:v>
                </c:pt>
                <c:pt idx="2">
                  <c:v>2.1</c:v>
                </c:pt>
                <c:pt idx="3">
                  <c:v>1.2</c:v>
                </c:pt>
                <c:pt idx="4">
                  <c:v>2.2999999999999998</c:v>
                </c:pt>
                <c:pt idx="5">
                  <c:v>2.2000000000000002</c:v>
                </c:pt>
                <c:pt idx="6">
                  <c:v>1.5</c:v>
                </c:pt>
                <c:pt idx="7">
                  <c:v>0.8</c:v>
                </c:pt>
                <c:pt idx="8">
                  <c:v>0.8</c:v>
                </c:pt>
                <c:pt idx="9">
                  <c:v>1.5</c:v>
                </c:pt>
                <c:pt idx="10">
                  <c:v>2.2999999999999998</c:v>
                </c:pt>
              </c:numCache>
            </c:numRef>
          </c:yVal>
          <c:smooth val="0"/>
          <c:extLst>
            <c:ext xmlns:c16="http://schemas.microsoft.com/office/drawing/2014/chart" uri="{C3380CC4-5D6E-409C-BE32-E72D297353CC}">
              <c16:uniqueId val="{00000004-4B02-48DF-B6F9-E8A8E6BDDC09}"/>
            </c:ext>
          </c:extLst>
        </c:ser>
        <c:dLbls>
          <c:showLegendKey val="0"/>
          <c:showVal val="0"/>
          <c:showCatName val="0"/>
          <c:showSerName val="0"/>
          <c:showPercent val="0"/>
          <c:showBubbleSize val="0"/>
        </c:dLbls>
        <c:axId val="814746464"/>
        <c:axId val="814744168"/>
      </c:scatterChart>
      <c:valAx>
        <c:axId val="814746464"/>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14744168"/>
        <c:crosses val="autoZero"/>
        <c:crossBetween val="midCat"/>
      </c:valAx>
      <c:valAx>
        <c:axId val="814744168"/>
        <c:scaling>
          <c:orientation val="minMax"/>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1474646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ROE  Residual Plot</a:t>
            </a:r>
          </a:p>
        </c:rich>
      </c:tx>
      <c:overlay val="0"/>
    </c:title>
    <c:autoTitleDeleted val="0"/>
    <c:plotArea>
      <c:layout/>
      <c:scatterChart>
        <c:scatterStyle val="lineMarker"/>
        <c:varyColors val="0"/>
        <c:ser>
          <c:idx val="0"/>
          <c:order val="0"/>
          <c:spPr>
            <a:ln w="19050">
              <a:noFill/>
            </a:ln>
          </c:spPr>
          <c:xVal>
            <c:numRef>
              <c:f>'PVB vs ROE'!$D$5:$D$15</c:f>
              <c:numCache>
                <c:formatCode>0.00</c:formatCode>
                <c:ptCount val="11"/>
                <c:pt idx="0">
                  <c:v>8.4222386</c:v>
                </c:pt>
                <c:pt idx="1">
                  <c:v>9.9146881999999987</c:v>
                </c:pt>
                <c:pt idx="2">
                  <c:v>10.264219399999998</c:v>
                </c:pt>
                <c:pt idx="3">
                  <c:v>12.0789194</c:v>
                </c:pt>
                <c:pt idx="4">
                  <c:v>15.147677400000001</c:v>
                </c:pt>
                <c:pt idx="5">
                  <c:v>12.488816000000002</c:v>
                </c:pt>
                <c:pt idx="6">
                  <c:v>9.6780843999999995</c:v>
                </c:pt>
                <c:pt idx="7">
                  <c:v>6.9166613999999997</c:v>
                </c:pt>
                <c:pt idx="8">
                  <c:v>8.6652296</c:v>
                </c:pt>
                <c:pt idx="9">
                  <c:v>11.082796599999998</c:v>
                </c:pt>
                <c:pt idx="10">
                  <c:v>12.665995399999998</c:v>
                </c:pt>
              </c:numCache>
            </c:numRef>
          </c:xVal>
          <c:yVal>
            <c:numRef>
              <c:f>'PVB vs ROE'!$C$49:$C$59</c:f>
              <c:numCache>
                <c:formatCode>General</c:formatCode>
                <c:ptCount val="11"/>
                <c:pt idx="0">
                  <c:v>0.13287634387332181</c:v>
                </c:pt>
                <c:pt idx="1">
                  <c:v>5.0985557895136147E-2</c:v>
                </c:pt>
                <c:pt idx="2">
                  <c:v>0.58496682956293777</c:v>
                </c:pt>
                <c:pt idx="3">
                  <c:v>-0.65778994380791134</c:v>
                </c:pt>
                <c:pt idx="4">
                  <c:v>-0.13741059203405337</c:v>
                </c:pt>
                <c:pt idx="5">
                  <c:v>0.26478963627051399</c:v>
                </c:pt>
                <c:pt idx="6">
                  <c:v>9.5674793060883223E-2</c:v>
                </c:pt>
                <c:pt idx="7">
                  <c:v>-8.2753356279476442E-2</c:v>
                </c:pt>
                <c:pt idx="8">
                  <c:v>-0.41301929238509882</c:v>
                </c:pt>
                <c:pt idx="9">
                  <c:v>-0.16964433472148599</c:v>
                </c:pt>
                <c:pt idx="10">
                  <c:v>0.33132435856522813</c:v>
                </c:pt>
              </c:numCache>
            </c:numRef>
          </c:yVal>
          <c:smooth val="0"/>
          <c:extLst>
            <c:ext xmlns:c16="http://schemas.microsoft.com/office/drawing/2014/chart" uri="{C3380CC4-5D6E-409C-BE32-E72D297353CC}">
              <c16:uniqueId val="{00000001-C14E-46DB-8C7B-2C998F59C802}"/>
            </c:ext>
          </c:extLst>
        </c:ser>
        <c:dLbls>
          <c:showLegendKey val="0"/>
          <c:showVal val="0"/>
          <c:showCatName val="0"/>
          <c:showSerName val="0"/>
          <c:showPercent val="0"/>
          <c:showBubbleSize val="0"/>
        </c:dLbls>
        <c:axId val="551438352"/>
        <c:axId val="551435728"/>
      </c:scatterChart>
      <c:valAx>
        <c:axId val="551438352"/>
        <c:scaling>
          <c:orientation val="minMax"/>
        </c:scaling>
        <c:delete val="0"/>
        <c:axPos val="b"/>
        <c:title>
          <c:tx>
            <c:rich>
              <a:bodyPr/>
              <a:lstStyle/>
              <a:p>
                <a:pPr>
                  <a:defRPr/>
                </a:pPr>
                <a:r>
                  <a:rPr lang="en-US"/>
                  <a:t>ROE</a:t>
                </a:r>
              </a:p>
            </c:rich>
          </c:tx>
          <c:overlay val="0"/>
        </c:title>
        <c:numFmt formatCode="0.00" sourceLinked="1"/>
        <c:majorTickMark val="out"/>
        <c:minorTickMark val="none"/>
        <c:tickLblPos val="nextTo"/>
        <c:crossAx val="551435728"/>
        <c:crosses val="autoZero"/>
        <c:crossBetween val="midCat"/>
      </c:valAx>
      <c:valAx>
        <c:axId val="55143572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514383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ROE Line Fit  Plot</a:t>
            </a:r>
          </a:p>
        </c:rich>
      </c:tx>
      <c:overlay val="0"/>
    </c:title>
    <c:autoTitleDeleted val="0"/>
    <c:plotArea>
      <c:layout/>
      <c:scatterChart>
        <c:scatterStyle val="lineMarker"/>
        <c:varyColors val="0"/>
        <c:ser>
          <c:idx val="0"/>
          <c:order val="0"/>
          <c:tx>
            <c:v>PVB</c:v>
          </c:tx>
          <c:spPr>
            <a:ln w="19050">
              <a:noFill/>
            </a:ln>
          </c:spPr>
          <c:xVal>
            <c:numRef>
              <c:f>'PVB vs ROE'!$D$5:$D$15</c:f>
              <c:numCache>
                <c:formatCode>0.00</c:formatCode>
                <c:ptCount val="11"/>
                <c:pt idx="0">
                  <c:v>8.4222386</c:v>
                </c:pt>
                <c:pt idx="1">
                  <c:v>9.9146881999999987</c:v>
                </c:pt>
                <c:pt idx="2">
                  <c:v>10.264219399999998</c:v>
                </c:pt>
                <c:pt idx="3">
                  <c:v>12.0789194</c:v>
                </c:pt>
                <c:pt idx="4">
                  <c:v>15.147677400000001</c:v>
                </c:pt>
                <c:pt idx="5">
                  <c:v>12.488816000000002</c:v>
                </c:pt>
                <c:pt idx="6">
                  <c:v>9.6780843999999995</c:v>
                </c:pt>
                <c:pt idx="7">
                  <c:v>6.9166613999999997</c:v>
                </c:pt>
                <c:pt idx="8">
                  <c:v>8.6652296</c:v>
                </c:pt>
                <c:pt idx="9">
                  <c:v>11.082796599999998</c:v>
                </c:pt>
                <c:pt idx="10">
                  <c:v>12.665995399999998</c:v>
                </c:pt>
              </c:numCache>
            </c:numRef>
          </c:xVal>
          <c:yVal>
            <c:numRef>
              <c:f>'PVB vs ROE'!$C$5:$C$15</c:f>
              <c:numCache>
                <c:formatCode>0.0</c:formatCode>
                <c:ptCount val="11"/>
                <c:pt idx="0">
                  <c:v>1.3</c:v>
                </c:pt>
                <c:pt idx="1">
                  <c:v>1.5</c:v>
                </c:pt>
                <c:pt idx="2">
                  <c:v>2.1</c:v>
                </c:pt>
                <c:pt idx="3">
                  <c:v>1.2</c:v>
                </c:pt>
                <c:pt idx="4">
                  <c:v>2.2999999999999998</c:v>
                </c:pt>
                <c:pt idx="5">
                  <c:v>2.2000000000000002</c:v>
                </c:pt>
                <c:pt idx="6">
                  <c:v>1.5</c:v>
                </c:pt>
                <c:pt idx="7">
                  <c:v>0.8</c:v>
                </c:pt>
                <c:pt idx="8">
                  <c:v>0.8</c:v>
                </c:pt>
                <c:pt idx="9">
                  <c:v>1.5</c:v>
                </c:pt>
                <c:pt idx="10">
                  <c:v>2.2999999999999998</c:v>
                </c:pt>
              </c:numCache>
            </c:numRef>
          </c:yVal>
          <c:smooth val="0"/>
          <c:extLst>
            <c:ext xmlns:c16="http://schemas.microsoft.com/office/drawing/2014/chart" uri="{C3380CC4-5D6E-409C-BE32-E72D297353CC}">
              <c16:uniqueId val="{00000001-466D-4B5E-ACF5-698BE43A59B8}"/>
            </c:ext>
          </c:extLst>
        </c:ser>
        <c:ser>
          <c:idx val="1"/>
          <c:order val="1"/>
          <c:tx>
            <c:v>Predicted PVB</c:v>
          </c:tx>
          <c:spPr>
            <a:ln w="19050">
              <a:noFill/>
            </a:ln>
          </c:spPr>
          <c:xVal>
            <c:numRef>
              <c:f>'PVB vs ROE'!$D$5:$D$15</c:f>
              <c:numCache>
                <c:formatCode>0.00</c:formatCode>
                <c:ptCount val="11"/>
                <c:pt idx="0">
                  <c:v>8.4222386</c:v>
                </c:pt>
                <c:pt idx="1">
                  <c:v>9.9146881999999987</c:v>
                </c:pt>
                <c:pt idx="2">
                  <c:v>10.264219399999998</c:v>
                </c:pt>
                <c:pt idx="3">
                  <c:v>12.0789194</c:v>
                </c:pt>
                <c:pt idx="4">
                  <c:v>15.147677400000001</c:v>
                </c:pt>
                <c:pt idx="5">
                  <c:v>12.488816000000002</c:v>
                </c:pt>
                <c:pt idx="6">
                  <c:v>9.6780843999999995</c:v>
                </c:pt>
                <c:pt idx="7">
                  <c:v>6.9166613999999997</c:v>
                </c:pt>
                <c:pt idx="8">
                  <c:v>8.6652296</c:v>
                </c:pt>
                <c:pt idx="9">
                  <c:v>11.082796599999998</c:v>
                </c:pt>
                <c:pt idx="10">
                  <c:v>12.665995399999998</c:v>
                </c:pt>
              </c:numCache>
            </c:numRef>
          </c:xVal>
          <c:yVal>
            <c:numRef>
              <c:f>'PVB vs ROE'!$B$49:$B$59</c:f>
              <c:numCache>
                <c:formatCode>General</c:formatCode>
                <c:ptCount val="11"/>
                <c:pt idx="0">
                  <c:v>1.1671236561266782</c:v>
                </c:pt>
                <c:pt idx="1">
                  <c:v>1.4490144421048639</c:v>
                </c:pt>
                <c:pt idx="2">
                  <c:v>1.5150331704370623</c:v>
                </c:pt>
                <c:pt idx="3">
                  <c:v>1.8577899438079113</c:v>
                </c:pt>
                <c:pt idx="4">
                  <c:v>2.4374105920340532</c:v>
                </c:pt>
                <c:pt idx="5">
                  <c:v>1.9352103637294862</c:v>
                </c:pt>
                <c:pt idx="6">
                  <c:v>1.4043252069391168</c:v>
                </c:pt>
                <c:pt idx="7">
                  <c:v>0.88275335627947649</c:v>
                </c:pt>
                <c:pt idx="8">
                  <c:v>1.2130192923850989</c:v>
                </c:pt>
                <c:pt idx="9">
                  <c:v>1.669644334721486</c:v>
                </c:pt>
                <c:pt idx="10">
                  <c:v>1.9686756414347717</c:v>
                </c:pt>
              </c:numCache>
            </c:numRef>
          </c:yVal>
          <c:smooth val="0"/>
          <c:extLst>
            <c:ext xmlns:c16="http://schemas.microsoft.com/office/drawing/2014/chart" uri="{C3380CC4-5D6E-409C-BE32-E72D297353CC}">
              <c16:uniqueId val="{00000002-466D-4B5E-ACF5-698BE43A59B8}"/>
            </c:ext>
          </c:extLst>
        </c:ser>
        <c:dLbls>
          <c:showLegendKey val="0"/>
          <c:showVal val="0"/>
          <c:showCatName val="0"/>
          <c:showSerName val="0"/>
          <c:showPercent val="0"/>
          <c:showBubbleSize val="0"/>
        </c:dLbls>
        <c:axId val="548011640"/>
        <c:axId val="548008032"/>
      </c:scatterChart>
      <c:valAx>
        <c:axId val="548011640"/>
        <c:scaling>
          <c:orientation val="minMax"/>
        </c:scaling>
        <c:delete val="0"/>
        <c:axPos val="b"/>
        <c:title>
          <c:tx>
            <c:rich>
              <a:bodyPr/>
              <a:lstStyle/>
              <a:p>
                <a:pPr>
                  <a:defRPr/>
                </a:pPr>
                <a:r>
                  <a:rPr lang="en-US"/>
                  <a:t>ROE</a:t>
                </a:r>
              </a:p>
            </c:rich>
          </c:tx>
          <c:overlay val="0"/>
        </c:title>
        <c:numFmt formatCode="0.00" sourceLinked="1"/>
        <c:majorTickMark val="out"/>
        <c:minorTickMark val="none"/>
        <c:tickLblPos val="nextTo"/>
        <c:crossAx val="548008032"/>
        <c:crosses val="autoZero"/>
        <c:crossBetween val="midCat"/>
      </c:valAx>
      <c:valAx>
        <c:axId val="548008032"/>
        <c:scaling>
          <c:orientation val="minMax"/>
        </c:scaling>
        <c:delete val="0"/>
        <c:axPos val="l"/>
        <c:title>
          <c:tx>
            <c:rich>
              <a:bodyPr/>
              <a:lstStyle/>
              <a:p>
                <a:pPr>
                  <a:defRPr/>
                </a:pPr>
                <a:r>
                  <a:rPr lang="en-US"/>
                  <a:t>PVB</a:t>
                </a:r>
              </a:p>
            </c:rich>
          </c:tx>
          <c:overlay val="0"/>
        </c:title>
        <c:numFmt formatCode="0.0" sourceLinked="1"/>
        <c:majorTickMark val="out"/>
        <c:minorTickMark val="none"/>
        <c:tickLblPos val="nextTo"/>
        <c:crossAx val="54801164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'PVB vs ROE'!$F$49:$F$59</c:f>
              <c:numCache>
                <c:formatCode>General</c:formatCode>
                <c:ptCount val="11"/>
                <c:pt idx="0">
                  <c:v>4.5454545454545459</c:v>
                </c:pt>
                <c:pt idx="1">
                  <c:v>13.636363636363637</c:v>
                </c:pt>
                <c:pt idx="2">
                  <c:v>22.72727272727273</c:v>
                </c:pt>
                <c:pt idx="3">
                  <c:v>31.81818181818182</c:v>
                </c:pt>
                <c:pt idx="4">
                  <c:v>40.909090909090914</c:v>
                </c:pt>
                <c:pt idx="5">
                  <c:v>50.000000000000007</c:v>
                </c:pt>
                <c:pt idx="6">
                  <c:v>59.090909090909093</c:v>
                </c:pt>
                <c:pt idx="7">
                  <c:v>68.181818181818187</c:v>
                </c:pt>
                <c:pt idx="8">
                  <c:v>77.27272727272728</c:v>
                </c:pt>
                <c:pt idx="9">
                  <c:v>86.363636363636374</c:v>
                </c:pt>
                <c:pt idx="10">
                  <c:v>95.454545454545467</c:v>
                </c:pt>
              </c:numCache>
            </c:numRef>
          </c:xVal>
          <c:yVal>
            <c:numRef>
              <c:f>'PVB vs ROE'!$G$49:$G$59</c:f>
              <c:numCache>
                <c:formatCode>General</c:formatCode>
                <c:ptCount val="11"/>
                <c:pt idx="0">
                  <c:v>0.8</c:v>
                </c:pt>
                <c:pt idx="1">
                  <c:v>0.8</c:v>
                </c:pt>
                <c:pt idx="2">
                  <c:v>1.2</c:v>
                </c:pt>
                <c:pt idx="3">
                  <c:v>1.3</c:v>
                </c:pt>
                <c:pt idx="4">
                  <c:v>1.5</c:v>
                </c:pt>
                <c:pt idx="5">
                  <c:v>1.5</c:v>
                </c:pt>
                <c:pt idx="6">
                  <c:v>1.5</c:v>
                </c:pt>
                <c:pt idx="7">
                  <c:v>2.1</c:v>
                </c:pt>
                <c:pt idx="8">
                  <c:v>2.2000000000000002</c:v>
                </c:pt>
                <c:pt idx="9">
                  <c:v>2.2999999999999998</c:v>
                </c:pt>
                <c:pt idx="10">
                  <c:v>2.2999999999999998</c:v>
                </c:pt>
              </c:numCache>
            </c:numRef>
          </c:yVal>
          <c:smooth val="0"/>
          <c:extLst>
            <c:ext xmlns:c16="http://schemas.microsoft.com/office/drawing/2014/chart" uri="{C3380CC4-5D6E-409C-BE32-E72D297353CC}">
              <c16:uniqueId val="{00000001-261E-4ADC-BB32-96EB75825953}"/>
            </c:ext>
          </c:extLst>
        </c:ser>
        <c:dLbls>
          <c:showLegendKey val="0"/>
          <c:showVal val="0"/>
          <c:showCatName val="0"/>
          <c:showSerName val="0"/>
          <c:showPercent val="0"/>
          <c:showBubbleSize val="0"/>
        </c:dLbls>
        <c:axId val="548919904"/>
        <c:axId val="644856280"/>
      </c:scatterChart>
      <c:valAx>
        <c:axId val="54891990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644856280"/>
        <c:crosses val="autoZero"/>
        <c:crossBetween val="midCat"/>
      </c:valAx>
      <c:valAx>
        <c:axId val="644856280"/>
        <c:scaling>
          <c:orientation val="minMax"/>
        </c:scaling>
        <c:delete val="0"/>
        <c:axPos val="l"/>
        <c:title>
          <c:tx>
            <c:rich>
              <a:bodyPr/>
              <a:lstStyle/>
              <a:p>
                <a:pPr>
                  <a:defRPr/>
                </a:pPr>
                <a:r>
                  <a:rPr lang="en-US"/>
                  <a:t>PVB</a:t>
                </a:r>
              </a:p>
            </c:rich>
          </c:tx>
          <c:overlay val="0"/>
        </c:title>
        <c:numFmt formatCode="General" sourceLinked="1"/>
        <c:majorTickMark val="out"/>
        <c:minorTickMark val="none"/>
        <c:tickLblPos val="nextTo"/>
        <c:crossAx val="5489199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'PVB vs ROE'!$D$4</c:f>
              <c:strCache>
                <c:ptCount val="1"/>
                <c:pt idx="0">
                  <c:v>ROE</c:v>
                </c:pt>
              </c:strCache>
            </c:strRef>
          </c:tx>
          <c:spPr>
            <a:ln w="19050" cap="rnd">
              <a:noFill/>
              <a:round/>
            </a:ln>
            <a:effectLst/>
          </c:spPr>
          <c:marker>
            <c:symbol val="circle"/>
            <c:size val="5"/>
            <c:spPr>
              <a:solidFill>
                <a:schemeClr val="accent1"/>
              </a:solidFill>
              <a:ln w="9525">
                <a:solidFill>
                  <a:schemeClr val="accent1"/>
                </a:solidFill>
              </a:ln>
              <a:effectLst/>
            </c:spPr>
          </c:marker>
          <c:xVal>
            <c:numRef>
              <c:f>'PVB vs ROE'!$C$5:$C$15</c:f>
              <c:numCache>
                <c:formatCode>0.0</c:formatCode>
                <c:ptCount val="11"/>
                <c:pt idx="0">
                  <c:v>1.3</c:v>
                </c:pt>
                <c:pt idx="1">
                  <c:v>1.5</c:v>
                </c:pt>
                <c:pt idx="2">
                  <c:v>2.1</c:v>
                </c:pt>
                <c:pt idx="3">
                  <c:v>1.2</c:v>
                </c:pt>
                <c:pt idx="4">
                  <c:v>2.2999999999999998</c:v>
                </c:pt>
                <c:pt idx="5">
                  <c:v>2.2000000000000002</c:v>
                </c:pt>
                <c:pt idx="6">
                  <c:v>1.5</c:v>
                </c:pt>
                <c:pt idx="7">
                  <c:v>0.8</c:v>
                </c:pt>
                <c:pt idx="8">
                  <c:v>0.8</c:v>
                </c:pt>
                <c:pt idx="9">
                  <c:v>1.5</c:v>
                </c:pt>
                <c:pt idx="10">
                  <c:v>2.2999999999999998</c:v>
                </c:pt>
              </c:numCache>
            </c:numRef>
          </c:xVal>
          <c:yVal>
            <c:numRef>
              <c:f>'PVB vs ROE'!$D$5:$D$15</c:f>
              <c:numCache>
                <c:formatCode>0.00</c:formatCode>
                <c:ptCount val="11"/>
                <c:pt idx="0">
                  <c:v>8.4222386</c:v>
                </c:pt>
                <c:pt idx="1">
                  <c:v>9.9146881999999987</c:v>
                </c:pt>
                <c:pt idx="2">
                  <c:v>10.264219399999998</c:v>
                </c:pt>
                <c:pt idx="3">
                  <c:v>12.0789194</c:v>
                </c:pt>
                <c:pt idx="4">
                  <c:v>15.147677400000001</c:v>
                </c:pt>
                <c:pt idx="5">
                  <c:v>12.488816000000002</c:v>
                </c:pt>
                <c:pt idx="6">
                  <c:v>9.6780843999999995</c:v>
                </c:pt>
                <c:pt idx="7">
                  <c:v>6.9166613999999997</c:v>
                </c:pt>
                <c:pt idx="8">
                  <c:v>8.6652296</c:v>
                </c:pt>
                <c:pt idx="9">
                  <c:v>11.082796599999998</c:v>
                </c:pt>
                <c:pt idx="10">
                  <c:v>12.665995399999998</c:v>
                </c:pt>
              </c:numCache>
            </c:numRef>
          </c:yVal>
          <c:smooth val="0"/>
          <c:extLst>
            <c:ext xmlns:c16="http://schemas.microsoft.com/office/drawing/2014/chart" uri="{C3380CC4-5D6E-409C-BE32-E72D297353CC}">
              <c16:uniqueId val="{00000000-5507-4E37-8459-EA72D4B904E6}"/>
            </c:ext>
          </c:extLst>
        </c:ser>
        <c:dLbls>
          <c:showLegendKey val="0"/>
          <c:showVal val="0"/>
          <c:showCatName val="0"/>
          <c:showSerName val="0"/>
          <c:showPercent val="0"/>
          <c:showBubbleSize val="0"/>
        </c:dLbls>
        <c:axId val="596013032"/>
        <c:axId val="596012704"/>
      </c:scatterChart>
      <c:valAx>
        <c:axId val="5960130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12704"/>
        <c:crosses val="autoZero"/>
        <c:crossBetween val="midCat"/>
      </c:valAx>
      <c:valAx>
        <c:axId val="596012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13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Companies!$M$1</c:f>
              <c:strCache>
                <c:ptCount val="1"/>
                <c:pt idx="0">
                  <c:v>Net Interest Margin</c:v>
                </c:pt>
              </c:strCache>
            </c:strRef>
          </c:tx>
          <c:spPr>
            <a:solidFill>
              <a:srgbClr val="4472C4"/>
            </a:solidFill>
            <a:ln w="25400">
              <a:noFill/>
            </a:ln>
          </c:spPr>
          <c:invertIfNegative val="0"/>
          <c:cat>
            <c:strRef>
              <c:f>Companies!$B$2:$B$12</c:f>
              <c:strCache>
                <c:ptCount val="11"/>
                <c:pt idx="0">
                  <c:v>Northern Trust Corporation</c:v>
                </c:pt>
                <c:pt idx="1">
                  <c:v>State Street Corporation</c:v>
                </c:pt>
                <c:pt idx="2">
                  <c:v>Commerce Bancshares, Inc.</c:v>
                </c:pt>
                <c:pt idx="3">
                  <c:v>Fifth Third Bancorp</c:v>
                </c:pt>
                <c:pt idx="4">
                  <c:v>SVB Financial Group</c:v>
                </c:pt>
                <c:pt idx="5">
                  <c:v>Truist Financial Corporation</c:v>
                </c:pt>
                <c:pt idx="6">
                  <c:v>M&amp;T Bank Corporation</c:v>
                </c:pt>
                <c:pt idx="7">
                  <c:v>Huntington Bancshares Incorporated</c:v>
                </c:pt>
                <c:pt idx="8">
                  <c:v>Citizens Financial Group, Inc.</c:v>
                </c:pt>
                <c:pt idx="9">
                  <c:v>First Republic Bank</c:v>
                </c:pt>
                <c:pt idx="10">
                  <c:v>Ally Financial Inc.</c:v>
                </c:pt>
              </c:strCache>
            </c:strRef>
          </c:cat>
          <c:val>
            <c:numRef>
              <c:f>Companies!$M$2:$M$12</c:f>
              <c:numCache>
                <c:formatCode>0.00</c:formatCode>
                <c:ptCount val="11"/>
                <c:pt idx="0">
                  <c:v>1.306</c:v>
                </c:pt>
                <c:pt idx="1">
                  <c:v>1.268</c:v>
                </c:pt>
                <c:pt idx="2">
                  <c:v>3.2380000000000004</c:v>
                </c:pt>
                <c:pt idx="3">
                  <c:v>3.0640000000000001</c:v>
                </c:pt>
                <c:pt idx="4">
                  <c:v>3.0840000000000001</c:v>
                </c:pt>
                <c:pt idx="5">
                  <c:v>3.41</c:v>
                </c:pt>
                <c:pt idx="6">
                  <c:v>3.4780000000000002</c:v>
                </c:pt>
                <c:pt idx="7">
                  <c:v>3.2399999999999998</c:v>
                </c:pt>
                <c:pt idx="8">
                  <c:v>2.992</c:v>
                </c:pt>
                <c:pt idx="9">
                  <c:v>3.0660000000000003</c:v>
                </c:pt>
                <c:pt idx="10">
                  <c:v>2.54</c:v>
                </c:pt>
              </c:numCache>
            </c:numRef>
          </c:val>
          <c:extLst>
            <c:ext xmlns:c16="http://schemas.microsoft.com/office/drawing/2014/chart" uri="{C3380CC4-5D6E-409C-BE32-E72D297353CC}">
              <c16:uniqueId val="{00000000-1FB2-478A-9108-4997D5A6C8AA}"/>
            </c:ext>
          </c:extLst>
        </c:ser>
        <c:dLbls>
          <c:showLegendKey val="0"/>
          <c:showVal val="0"/>
          <c:showCatName val="0"/>
          <c:showSerName val="0"/>
          <c:showPercent val="0"/>
          <c:showBubbleSize val="0"/>
        </c:dLbls>
        <c:gapWidth val="182"/>
        <c:axId val="683417688"/>
        <c:axId val="1"/>
      </c:barChart>
      <c:catAx>
        <c:axId val="683417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176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Companies!$S$1</c:f>
              <c:strCache>
                <c:ptCount val="1"/>
                <c:pt idx="0">
                  <c:v>Return on Risk-Weighted Assets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Companies!$B$2:$B$12</c:f>
              <c:strCache>
                <c:ptCount val="11"/>
                <c:pt idx="0">
                  <c:v>Northern Trust Corporation</c:v>
                </c:pt>
                <c:pt idx="1">
                  <c:v>State Street Corporation</c:v>
                </c:pt>
                <c:pt idx="2">
                  <c:v>Commerce Bancshares, Inc.</c:v>
                </c:pt>
                <c:pt idx="3">
                  <c:v>Fifth Third Bancorp</c:v>
                </c:pt>
                <c:pt idx="4">
                  <c:v>SVB Financial Group</c:v>
                </c:pt>
                <c:pt idx="5">
                  <c:v>Truist Financial Corporation</c:v>
                </c:pt>
                <c:pt idx="6">
                  <c:v>M&amp;T Bank Corporation</c:v>
                </c:pt>
                <c:pt idx="7">
                  <c:v>Huntington Bancshares Incorporated</c:v>
                </c:pt>
                <c:pt idx="8">
                  <c:v>Citizens Financial Group, Inc.</c:v>
                </c:pt>
                <c:pt idx="9">
                  <c:v>First Republic Bank</c:v>
                </c:pt>
                <c:pt idx="10">
                  <c:v>Ally Financial Inc.</c:v>
                </c:pt>
              </c:strCache>
            </c:strRef>
          </c:cat>
          <c:val>
            <c:numRef>
              <c:f>Companies!$S$2:$S$12</c:f>
              <c:numCache>
                <c:formatCode>0.00</c:formatCode>
                <c:ptCount val="11"/>
                <c:pt idx="0">
                  <c:v>1.8681095999999999</c:v>
                </c:pt>
                <c:pt idx="1">
                  <c:v>2.2450898000000001</c:v>
                </c:pt>
                <c:pt idx="2">
                  <c:v>1.7801690000000001</c:v>
                </c:pt>
                <c:pt idx="3">
                  <c:v>1.6119752000000003</c:v>
                </c:pt>
                <c:pt idx="4">
                  <c:v>1.8296485999999998</c:v>
                </c:pt>
                <c:pt idx="5">
                  <c:v>1.3237730000000001</c:v>
                </c:pt>
                <c:pt idx="6">
                  <c:v>1.5312846</c:v>
                </c:pt>
                <c:pt idx="7">
                  <c:v>1.3619895999999998</c:v>
                </c:pt>
                <c:pt idx="8">
                  <c:v>1.0768552</c:v>
                </c:pt>
                <c:pt idx="9">
                  <c:v>1.2223565999999999</c:v>
                </c:pt>
                <c:pt idx="10">
                  <c:v>0.8341900000000001</c:v>
                </c:pt>
              </c:numCache>
            </c:numRef>
          </c:val>
          <c:extLst>
            <c:ext xmlns:c16="http://schemas.microsoft.com/office/drawing/2014/chart" uri="{C3380CC4-5D6E-409C-BE32-E72D297353CC}">
              <c16:uniqueId val="{00000000-5BA8-4690-BC5D-965524320EC3}"/>
            </c:ext>
          </c:extLst>
        </c:ser>
        <c:dLbls>
          <c:dLblPos val="inEnd"/>
          <c:showLegendKey val="0"/>
          <c:showVal val="1"/>
          <c:showCatName val="0"/>
          <c:showSerName val="0"/>
          <c:showPercent val="0"/>
          <c:showBubbleSize val="0"/>
        </c:dLbls>
        <c:gapWidth val="100"/>
        <c:axId val="683427856"/>
        <c:axId val="1"/>
      </c:barChart>
      <c:catAx>
        <c:axId val="68342785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342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Companies!$V$1</c:f>
              <c:strCache>
                <c:ptCount val="1"/>
                <c:pt idx="0">
                  <c:v>Efficiency Ratio</c:v>
                </c:pt>
              </c:strCache>
            </c:strRef>
          </c:tx>
          <c:spPr>
            <a:solidFill>
              <a:srgbClr val="4472C4"/>
            </a:solidFill>
            <a:ln w="25400">
              <a:noFill/>
            </a:ln>
          </c:spPr>
          <c:invertIfNegative val="0"/>
          <c:cat>
            <c:strRef>
              <c:f>Companies!$B$2:$B$12</c:f>
              <c:strCache>
                <c:ptCount val="11"/>
                <c:pt idx="0">
                  <c:v>Northern Trust Corporation</c:v>
                </c:pt>
                <c:pt idx="1">
                  <c:v>State Street Corporation</c:v>
                </c:pt>
                <c:pt idx="2">
                  <c:v>Commerce Bancshares, Inc.</c:v>
                </c:pt>
                <c:pt idx="3">
                  <c:v>Fifth Third Bancorp</c:v>
                </c:pt>
                <c:pt idx="4">
                  <c:v>SVB Financial Group</c:v>
                </c:pt>
                <c:pt idx="5">
                  <c:v>Truist Financial Corporation</c:v>
                </c:pt>
                <c:pt idx="6">
                  <c:v>M&amp;T Bank Corporation</c:v>
                </c:pt>
                <c:pt idx="7">
                  <c:v>Huntington Bancshares Incorporated</c:v>
                </c:pt>
                <c:pt idx="8">
                  <c:v>Citizens Financial Group, Inc.</c:v>
                </c:pt>
                <c:pt idx="9">
                  <c:v>First Republic Bank</c:v>
                </c:pt>
                <c:pt idx="10">
                  <c:v>Ally Financial Inc.</c:v>
                </c:pt>
              </c:strCache>
            </c:strRef>
          </c:cat>
          <c:val>
            <c:numRef>
              <c:f>Companies!$V$2:$V$12</c:f>
              <c:numCache>
                <c:formatCode>0.00</c:formatCode>
                <c:ptCount val="11"/>
                <c:pt idx="0">
                  <c:v>69.180585400000012</c:v>
                </c:pt>
                <c:pt idx="1">
                  <c:v>72.857516000000004</c:v>
                </c:pt>
                <c:pt idx="2">
                  <c:v>59.94</c:v>
                </c:pt>
                <c:pt idx="3">
                  <c:v>57.620000000000005</c:v>
                </c:pt>
                <c:pt idx="4">
                  <c:v>50.233999999999995</c:v>
                </c:pt>
                <c:pt idx="5">
                  <c:v>57.959999999999994</c:v>
                </c:pt>
                <c:pt idx="6">
                  <c:v>55.923999999999999</c:v>
                </c:pt>
                <c:pt idx="7">
                  <c:v>61.14</c:v>
                </c:pt>
                <c:pt idx="8">
                  <c:v>61.351999999999997</c:v>
                </c:pt>
                <c:pt idx="9">
                  <c:v>62</c:v>
                </c:pt>
                <c:pt idx="10">
                  <c:v>59.903857400000007</c:v>
                </c:pt>
              </c:numCache>
            </c:numRef>
          </c:val>
          <c:extLst>
            <c:ext xmlns:c16="http://schemas.microsoft.com/office/drawing/2014/chart" uri="{C3380CC4-5D6E-409C-BE32-E72D297353CC}">
              <c16:uniqueId val="{00000000-038C-46C0-B2EF-78A1961B93D1}"/>
            </c:ext>
          </c:extLst>
        </c:ser>
        <c:dLbls>
          <c:showLegendKey val="0"/>
          <c:showVal val="0"/>
          <c:showCatName val="0"/>
          <c:showSerName val="0"/>
          <c:showPercent val="0"/>
          <c:showBubbleSize val="0"/>
        </c:dLbls>
        <c:gapWidth val="182"/>
        <c:axId val="683435400"/>
        <c:axId val="1"/>
      </c:barChart>
      <c:catAx>
        <c:axId val="683435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35400"/>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Companies!$K$1</c:f>
              <c:strCache>
                <c:ptCount val="1"/>
                <c:pt idx="0">
                  <c:v>PV/B</c:v>
                </c:pt>
              </c:strCache>
            </c:strRef>
          </c:tx>
          <c:spPr>
            <a:solidFill>
              <a:srgbClr val="4472C4"/>
            </a:solidFill>
            <a:ln w="25400">
              <a:noFill/>
            </a:ln>
          </c:spPr>
          <c:invertIfNegative val="0"/>
          <c:cat>
            <c:strRef>
              <c:f>Companies!$B$2:$B$12</c:f>
              <c:strCache>
                <c:ptCount val="11"/>
                <c:pt idx="0">
                  <c:v>Northern Trust Corporation</c:v>
                </c:pt>
                <c:pt idx="1">
                  <c:v>State Street Corporation</c:v>
                </c:pt>
                <c:pt idx="2">
                  <c:v>Commerce Bancshares, Inc.</c:v>
                </c:pt>
                <c:pt idx="3">
                  <c:v>Fifth Third Bancorp</c:v>
                </c:pt>
                <c:pt idx="4">
                  <c:v>SVB Financial Group</c:v>
                </c:pt>
                <c:pt idx="5">
                  <c:v>Truist Financial Corporation</c:v>
                </c:pt>
                <c:pt idx="6">
                  <c:v>M&amp;T Bank Corporation</c:v>
                </c:pt>
                <c:pt idx="7">
                  <c:v>Huntington Bancshares Incorporated</c:v>
                </c:pt>
                <c:pt idx="8">
                  <c:v>Citizens Financial Group, Inc.</c:v>
                </c:pt>
                <c:pt idx="9">
                  <c:v>First Republic Bank</c:v>
                </c:pt>
                <c:pt idx="10">
                  <c:v>Ally Financial Inc.</c:v>
                </c:pt>
              </c:strCache>
            </c:strRef>
          </c:cat>
          <c:val>
            <c:numRef>
              <c:f>Companies!$K$2:$K$12</c:f>
              <c:numCache>
                <c:formatCode>0.0</c:formatCode>
                <c:ptCount val="11"/>
                <c:pt idx="0">
                  <c:v>2.2000000000000002</c:v>
                </c:pt>
                <c:pt idx="1">
                  <c:v>1.5</c:v>
                </c:pt>
                <c:pt idx="2">
                  <c:v>2.2999999999999998</c:v>
                </c:pt>
                <c:pt idx="3">
                  <c:v>1.2</c:v>
                </c:pt>
                <c:pt idx="4">
                  <c:v>2.2999999999999998</c:v>
                </c:pt>
                <c:pt idx="5">
                  <c:v>1.3</c:v>
                </c:pt>
                <c:pt idx="6">
                  <c:v>1.5</c:v>
                </c:pt>
                <c:pt idx="7">
                  <c:v>1.5</c:v>
                </c:pt>
                <c:pt idx="8">
                  <c:v>0.8</c:v>
                </c:pt>
                <c:pt idx="9">
                  <c:v>2.1</c:v>
                </c:pt>
                <c:pt idx="10">
                  <c:v>0.8</c:v>
                </c:pt>
              </c:numCache>
            </c:numRef>
          </c:val>
          <c:extLst>
            <c:ext xmlns:c16="http://schemas.microsoft.com/office/drawing/2014/chart" uri="{C3380CC4-5D6E-409C-BE32-E72D297353CC}">
              <c16:uniqueId val="{00000000-7484-4BC8-84B0-D192EC80F47C}"/>
            </c:ext>
          </c:extLst>
        </c:ser>
        <c:dLbls>
          <c:showLegendKey val="0"/>
          <c:showVal val="0"/>
          <c:showCatName val="0"/>
          <c:showSerName val="0"/>
          <c:showPercent val="0"/>
          <c:showBubbleSize val="0"/>
        </c:dLbls>
        <c:gapWidth val="182"/>
        <c:axId val="683436056"/>
        <c:axId val="1"/>
      </c:barChart>
      <c:catAx>
        <c:axId val="683436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36056"/>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Growth!$A$6</c:f>
              <c:strCache>
                <c:ptCount val="1"/>
                <c:pt idx="0">
                  <c:v>Net Loans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Growth!$C$4:$H$4</c:f>
              <c:strCache>
                <c:ptCount val="6"/>
                <c:pt idx="0">
                  <c:v>Dec 31, 2015</c:v>
                </c:pt>
                <c:pt idx="1">
                  <c:v>Dec 31, 2016</c:v>
                </c:pt>
                <c:pt idx="2">
                  <c:v>Dec 31, 2017</c:v>
                </c:pt>
                <c:pt idx="3">
                  <c:v>Dec 31, 2018</c:v>
                </c:pt>
                <c:pt idx="4">
                  <c:v>Dec 31, 2019</c:v>
                </c:pt>
                <c:pt idx="5">
                  <c:v>Dec 31, 2020</c:v>
                </c:pt>
              </c:strCache>
            </c:strRef>
          </c:cat>
          <c:val>
            <c:numRef>
              <c:f>Growth!$C$6:$H$6</c:f>
              <c:numCache>
                <c:formatCode>#,##0_);\(#,##0\);"—"</c:formatCode>
                <c:ptCount val="6"/>
                <c:pt idx="0">
                  <c:v>44083.569000000003</c:v>
                </c:pt>
                <c:pt idx="1">
                  <c:v>52008.317000000003</c:v>
                </c:pt>
                <c:pt idx="2">
                  <c:v>62840.214999999997</c:v>
                </c:pt>
                <c:pt idx="3">
                  <c:v>75865.282000000007</c:v>
                </c:pt>
                <c:pt idx="4">
                  <c:v>90796.831000000006</c:v>
                </c:pt>
                <c:pt idx="5">
                  <c:v>112566.265</c:v>
                </c:pt>
              </c:numCache>
            </c:numRef>
          </c:val>
          <c:smooth val="0"/>
          <c:extLst>
            <c:ext xmlns:c16="http://schemas.microsoft.com/office/drawing/2014/chart" uri="{C3380CC4-5D6E-409C-BE32-E72D297353CC}">
              <c16:uniqueId val="{00000000-265E-408E-ABC4-EFA84C517495}"/>
            </c:ext>
          </c:extLst>
        </c:ser>
        <c:dLbls>
          <c:showLegendKey val="0"/>
          <c:showVal val="0"/>
          <c:showCatName val="0"/>
          <c:showSerName val="0"/>
          <c:showPercent val="0"/>
          <c:showBubbleSize val="0"/>
        </c:dLbls>
        <c:marker val="1"/>
        <c:smooth val="0"/>
        <c:axId val="438544488"/>
        <c:axId val="438547112"/>
      </c:lineChart>
      <c:catAx>
        <c:axId val="43854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47112"/>
        <c:crosses val="autoZero"/>
        <c:auto val="1"/>
        <c:lblAlgn val="ctr"/>
        <c:lblOffset val="100"/>
        <c:noMultiLvlLbl val="0"/>
      </c:catAx>
      <c:valAx>
        <c:axId val="438547112"/>
        <c:scaling>
          <c:orientation val="minMax"/>
        </c:scaling>
        <c:delete val="0"/>
        <c:axPos val="l"/>
        <c:majorGridlines>
          <c:spPr>
            <a:ln w="9525" cap="flat" cmpd="sng" algn="ctr">
              <a:solidFill>
                <a:schemeClr val="tx1">
                  <a:lumMod val="15000"/>
                  <a:lumOff val="85000"/>
                </a:schemeClr>
              </a:solidFill>
              <a:round/>
            </a:ln>
            <a:effectLst/>
          </c:spPr>
        </c:majorGridlines>
        <c:numFmt formatCode="#,##0_);\(#,##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44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Companies!$Q$1</c:f>
              <c:strCache>
                <c:ptCount val="1"/>
                <c:pt idx="0">
                  <c:v>Return on Assets </c:v>
                </c:pt>
              </c:strCache>
            </c:strRef>
          </c:tx>
          <c:spPr>
            <a:solidFill>
              <a:schemeClr val="accent1"/>
            </a:solidFill>
            <a:ln>
              <a:noFill/>
            </a:ln>
            <a:effectLst/>
          </c:spPr>
          <c:invertIfNegative val="0"/>
          <c:cat>
            <c:strRef>
              <c:f>Companies!$B$2:$B$12</c:f>
              <c:strCache>
                <c:ptCount val="11"/>
                <c:pt idx="0">
                  <c:v>Northern Trust Corporation</c:v>
                </c:pt>
                <c:pt idx="1">
                  <c:v>State Street Corporation</c:v>
                </c:pt>
                <c:pt idx="2">
                  <c:v>Commerce Bancshares, Inc.</c:v>
                </c:pt>
                <c:pt idx="3">
                  <c:v>Fifth Third Bancorp</c:v>
                </c:pt>
                <c:pt idx="4">
                  <c:v>SVB Financial Group</c:v>
                </c:pt>
                <c:pt idx="5">
                  <c:v>Truist Financial Corporation</c:v>
                </c:pt>
                <c:pt idx="6">
                  <c:v>M&amp;T Bank Corporation</c:v>
                </c:pt>
                <c:pt idx="7">
                  <c:v>Huntington Bancshares Incorporated</c:v>
                </c:pt>
                <c:pt idx="8">
                  <c:v>Citizens Financial Group, Inc.</c:v>
                </c:pt>
                <c:pt idx="9">
                  <c:v>First Republic Bank</c:v>
                </c:pt>
                <c:pt idx="10">
                  <c:v>Ally Financial Inc.</c:v>
                </c:pt>
              </c:strCache>
            </c:strRef>
          </c:cat>
          <c:val>
            <c:numRef>
              <c:f>Companies!$Q$2:$Q$12</c:f>
              <c:numCache>
                <c:formatCode>0.00</c:formatCode>
                <c:ptCount val="11"/>
                <c:pt idx="0">
                  <c:v>0.96369459999999996</c:v>
                </c:pt>
                <c:pt idx="1">
                  <c:v>0.90734619999999988</c:v>
                </c:pt>
                <c:pt idx="2">
                  <c:v>1.3426741999999998</c:v>
                </c:pt>
                <c:pt idx="3">
                  <c:v>1.3814950000000001</c:v>
                </c:pt>
                <c:pt idx="4">
                  <c:v>1.2526272000000001</c:v>
                </c:pt>
                <c:pt idx="5">
                  <c:v>1.1284673999999999</c:v>
                </c:pt>
                <c:pt idx="6">
                  <c:v>1.2774517999999999</c:v>
                </c:pt>
                <c:pt idx="7">
                  <c:v>1.1220209999999999</c:v>
                </c:pt>
                <c:pt idx="8">
                  <c:v>0.92511359999999987</c:v>
                </c:pt>
                <c:pt idx="9">
                  <c:v>0.94024459999999999</c:v>
                </c:pt>
                <c:pt idx="10">
                  <c:v>0.70320540000000009</c:v>
                </c:pt>
              </c:numCache>
            </c:numRef>
          </c:val>
          <c:extLst>
            <c:ext xmlns:c16="http://schemas.microsoft.com/office/drawing/2014/chart" uri="{C3380CC4-5D6E-409C-BE32-E72D297353CC}">
              <c16:uniqueId val="{00000000-0F9B-418C-BF78-32571CEAFE5D}"/>
            </c:ext>
          </c:extLst>
        </c:ser>
        <c:dLbls>
          <c:showLegendKey val="0"/>
          <c:showVal val="0"/>
          <c:showCatName val="0"/>
          <c:showSerName val="0"/>
          <c:showPercent val="0"/>
          <c:showBubbleSize val="0"/>
        </c:dLbls>
        <c:gapWidth val="182"/>
        <c:axId val="753154064"/>
        <c:axId val="753146520"/>
      </c:barChart>
      <c:catAx>
        <c:axId val="75315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46520"/>
        <c:crosses val="autoZero"/>
        <c:auto val="1"/>
        <c:lblAlgn val="ctr"/>
        <c:lblOffset val="100"/>
        <c:noMultiLvlLbl val="0"/>
      </c:catAx>
      <c:valAx>
        <c:axId val="753146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5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Companies!$T$1</c:f>
              <c:strCache>
                <c:ptCount val="1"/>
                <c:pt idx="0">
                  <c:v>Return on Equity </c:v>
                </c:pt>
              </c:strCache>
            </c:strRef>
          </c:tx>
          <c:spPr>
            <a:solidFill>
              <a:schemeClr val="accent1"/>
            </a:solidFill>
            <a:ln>
              <a:noFill/>
            </a:ln>
            <a:effectLst/>
          </c:spPr>
          <c:invertIfNegative val="0"/>
          <c:cat>
            <c:strRef>
              <c:f>Companies!$B$2:$B$12</c:f>
              <c:strCache>
                <c:ptCount val="11"/>
                <c:pt idx="0">
                  <c:v>Northern Trust Corporation</c:v>
                </c:pt>
                <c:pt idx="1">
                  <c:v>State Street Corporation</c:v>
                </c:pt>
                <c:pt idx="2">
                  <c:v>Commerce Bancshares, Inc.</c:v>
                </c:pt>
                <c:pt idx="3">
                  <c:v>Fifth Third Bancorp</c:v>
                </c:pt>
                <c:pt idx="4">
                  <c:v>SVB Financial Group</c:v>
                </c:pt>
                <c:pt idx="5">
                  <c:v>Truist Financial Corporation</c:v>
                </c:pt>
                <c:pt idx="6">
                  <c:v>M&amp;T Bank Corporation</c:v>
                </c:pt>
                <c:pt idx="7">
                  <c:v>Huntington Bancshares Incorporated</c:v>
                </c:pt>
                <c:pt idx="8">
                  <c:v>Citizens Financial Group, Inc.</c:v>
                </c:pt>
                <c:pt idx="9">
                  <c:v>First Republic Bank</c:v>
                </c:pt>
                <c:pt idx="10">
                  <c:v>Ally Financial Inc.</c:v>
                </c:pt>
              </c:strCache>
            </c:strRef>
          </c:cat>
          <c:val>
            <c:numRef>
              <c:f>Companies!$T$2:$T$12</c:f>
              <c:numCache>
                <c:formatCode>0.00</c:formatCode>
                <c:ptCount val="11"/>
                <c:pt idx="0">
                  <c:v>12.488816000000002</c:v>
                </c:pt>
                <c:pt idx="1">
                  <c:v>9.9146881999999987</c:v>
                </c:pt>
                <c:pt idx="2">
                  <c:v>12.665995399999998</c:v>
                </c:pt>
                <c:pt idx="3">
                  <c:v>12.0789194</c:v>
                </c:pt>
                <c:pt idx="4">
                  <c:v>15.147677400000001</c:v>
                </c:pt>
                <c:pt idx="5">
                  <c:v>8.4222386</c:v>
                </c:pt>
                <c:pt idx="6">
                  <c:v>9.6780843999999995</c:v>
                </c:pt>
                <c:pt idx="7">
                  <c:v>11.082796599999998</c:v>
                </c:pt>
                <c:pt idx="8">
                  <c:v>6.9166613999999997</c:v>
                </c:pt>
                <c:pt idx="9">
                  <c:v>10.264219399999998</c:v>
                </c:pt>
                <c:pt idx="10">
                  <c:v>8.6652296</c:v>
                </c:pt>
              </c:numCache>
            </c:numRef>
          </c:val>
          <c:extLst>
            <c:ext xmlns:c16="http://schemas.microsoft.com/office/drawing/2014/chart" uri="{C3380CC4-5D6E-409C-BE32-E72D297353CC}">
              <c16:uniqueId val="{00000000-9D36-4C4F-BBF1-5526D018531B}"/>
            </c:ext>
          </c:extLst>
        </c:ser>
        <c:dLbls>
          <c:showLegendKey val="0"/>
          <c:showVal val="0"/>
          <c:showCatName val="0"/>
          <c:showSerName val="0"/>
          <c:showPercent val="0"/>
          <c:showBubbleSize val="0"/>
        </c:dLbls>
        <c:gapWidth val="182"/>
        <c:axId val="697094104"/>
        <c:axId val="697089184"/>
      </c:barChart>
      <c:catAx>
        <c:axId val="697094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89184"/>
        <c:crosses val="autoZero"/>
        <c:auto val="1"/>
        <c:lblAlgn val="ctr"/>
        <c:lblOffset val="100"/>
        <c:noMultiLvlLbl val="0"/>
      </c:catAx>
      <c:valAx>
        <c:axId val="6970891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094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Companies!$AE$1</c:f>
              <c:strCache>
                <c:ptCount val="1"/>
                <c:pt idx="0">
                  <c:v>Tier 1 Risk Based Capital Ratio (%)</c:v>
                </c:pt>
              </c:strCache>
            </c:strRef>
          </c:tx>
          <c:spPr>
            <a:solidFill>
              <a:schemeClr val="accent1"/>
            </a:solidFill>
            <a:ln>
              <a:noFill/>
            </a:ln>
            <a:effectLst/>
          </c:spPr>
          <c:invertIfNegative val="0"/>
          <c:cat>
            <c:strRef>
              <c:f>Companies!$A$2:$A$12</c:f>
              <c:strCache>
                <c:ptCount val="11"/>
                <c:pt idx="0">
                  <c:v>NTRS-US</c:v>
                </c:pt>
                <c:pt idx="1">
                  <c:v>STT-US</c:v>
                </c:pt>
                <c:pt idx="2">
                  <c:v>CBSH-US</c:v>
                </c:pt>
                <c:pt idx="3">
                  <c:v>FITB-US</c:v>
                </c:pt>
                <c:pt idx="4">
                  <c:v>SIVB-US</c:v>
                </c:pt>
                <c:pt idx="5">
                  <c:v>TFC-US</c:v>
                </c:pt>
                <c:pt idx="6">
                  <c:v>MTB-US</c:v>
                </c:pt>
                <c:pt idx="7">
                  <c:v>HBAN-US</c:v>
                </c:pt>
                <c:pt idx="8">
                  <c:v>CFG-US</c:v>
                </c:pt>
                <c:pt idx="9">
                  <c:v>FRC-US</c:v>
                </c:pt>
                <c:pt idx="10">
                  <c:v>ALLY-US</c:v>
                </c:pt>
              </c:strCache>
            </c:strRef>
          </c:cat>
          <c:val>
            <c:numRef>
              <c:f>Companies!$AE$2:$AE$12</c:f>
              <c:numCache>
                <c:formatCode>General</c:formatCode>
                <c:ptCount val="11"/>
                <c:pt idx="0">
                  <c:v>14.12</c:v>
                </c:pt>
                <c:pt idx="1">
                  <c:v>15.12</c:v>
                </c:pt>
                <c:pt idx="2">
                  <c:v>14.531000000000001</c:v>
                </c:pt>
                <c:pt idx="3">
                  <c:v>11.137000000000002</c:v>
                </c:pt>
                <c:pt idx="4">
                  <c:v>13.276</c:v>
                </c:pt>
                <c:pt idx="5">
                  <c:v>11.670000000000002</c:v>
                </c:pt>
                <c:pt idx="6">
                  <c:v>11.129</c:v>
                </c:pt>
                <c:pt idx="7">
                  <c:v>11.455</c:v>
                </c:pt>
                <c:pt idx="8">
                  <c:v>11.15</c:v>
                </c:pt>
                <c:pt idx="9">
                  <c:v>11.489000000000001</c:v>
                </c:pt>
                <c:pt idx="10">
                  <c:v>11.241000000000001</c:v>
                </c:pt>
              </c:numCache>
            </c:numRef>
          </c:val>
          <c:extLst>
            <c:ext xmlns:c16="http://schemas.microsoft.com/office/drawing/2014/chart" uri="{C3380CC4-5D6E-409C-BE32-E72D297353CC}">
              <c16:uniqueId val="{00000000-CB23-4032-AF83-10B44823CD25}"/>
            </c:ext>
          </c:extLst>
        </c:ser>
        <c:dLbls>
          <c:showLegendKey val="0"/>
          <c:showVal val="0"/>
          <c:showCatName val="0"/>
          <c:showSerName val="0"/>
          <c:showPercent val="0"/>
          <c:showBubbleSize val="0"/>
        </c:dLbls>
        <c:gapWidth val="219"/>
        <c:overlap val="-27"/>
        <c:axId val="723718984"/>
        <c:axId val="723720952"/>
      </c:barChart>
      <c:catAx>
        <c:axId val="72371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20952"/>
        <c:crosses val="autoZero"/>
        <c:auto val="1"/>
        <c:lblAlgn val="ctr"/>
        <c:lblOffset val="100"/>
        <c:noMultiLvlLbl val="0"/>
      </c:catAx>
      <c:valAx>
        <c:axId val="72372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18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Companies!$AJ$1</c:f>
              <c:strCache>
                <c:ptCount val="1"/>
                <c:pt idx="0">
                  <c:v>Loans/Deposits (%)</c:v>
                </c:pt>
              </c:strCache>
            </c:strRef>
          </c:tx>
          <c:spPr>
            <a:solidFill>
              <a:schemeClr val="accent1"/>
            </a:solidFill>
            <a:ln>
              <a:noFill/>
            </a:ln>
            <a:effectLst/>
          </c:spPr>
          <c:invertIfNegative val="0"/>
          <c:cat>
            <c:strRef>
              <c:f>Companies!$A$2:$A$12</c:f>
              <c:strCache>
                <c:ptCount val="11"/>
                <c:pt idx="0">
                  <c:v>NTRS-US</c:v>
                </c:pt>
                <c:pt idx="1">
                  <c:v>STT-US</c:v>
                </c:pt>
                <c:pt idx="2">
                  <c:v>CBSH-US</c:v>
                </c:pt>
                <c:pt idx="3">
                  <c:v>FITB-US</c:v>
                </c:pt>
                <c:pt idx="4">
                  <c:v>SIVB-US</c:v>
                </c:pt>
                <c:pt idx="5">
                  <c:v>TFC-US</c:v>
                </c:pt>
                <c:pt idx="6">
                  <c:v>MTB-US</c:v>
                </c:pt>
                <c:pt idx="7">
                  <c:v>HBAN-US</c:v>
                </c:pt>
                <c:pt idx="8">
                  <c:v>CFG-US</c:v>
                </c:pt>
                <c:pt idx="9">
                  <c:v>FRC-US</c:v>
                </c:pt>
                <c:pt idx="10">
                  <c:v>ALLY-US</c:v>
                </c:pt>
              </c:strCache>
            </c:strRef>
          </c:cat>
          <c:val>
            <c:numRef>
              <c:f>Companies!$AJ$2:$AJ$12</c:f>
              <c:numCache>
                <c:formatCode>General</c:formatCode>
                <c:ptCount val="11"/>
                <c:pt idx="0">
                  <c:v>29.797484100000002</c:v>
                </c:pt>
                <c:pt idx="1">
                  <c:v>14.036174900000001</c:v>
                </c:pt>
                <c:pt idx="2">
                  <c:v>69.648364100000009</c:v>
                </c:pt>
                <c:pt idx="3">
                  <c:v>84.623074799999998</c:v>
                </c:pt>
                <c:pt idx="4">
                  <c:v>53.3437512</c:v>
                </c:pt>
                <c:pt idx="5">
                  <c:v>90.715960699999997</c:v>
                </c:pt>
                <c:pt idx="6">
                  <c:v>94.432172600000015</c:v>
                </c:pt>
                <c:pt idx="7">
                  <c:v>89.645949800000011</c:v>
                </c:pt>
                <c:pt idx="8">
                  <c:v>94.099652700000007</c:v>
                </c:pt>
                <c:pt idx="9">
                  <c:v>98.592972100000011</c:v>
                </c:pt>
                <c:pt idx="10">
                  <c:v>109.6781007</c:v>
                </c:pt>
              </c:numCache>
            </c:numRef>
          </c:val>
          <c:extLst>
            <c:ext xmlns:c16="http://schemas.microsoft.com/office/drawing/2014/chart" uri="{C3380CC4-5D6E-409C-BE32-E72D297353CC}">
              <c16:uniqueId val="{00000000-A26C-4E47-AB71-545AA6F84528}"/>
            </c:ext>
          </c:extLst>
        </c:ser>
        <c:dLbls>
          <c:showLegendKey val="0"/>
          <c:showVal val="0"/>
          <c:showCatName val="0"/>
          <c:showSerName val="0"/>
          <c:showPercent val="0"/>
          <c:showBubbleSize val="0"/>
        </c:dLbls>
        <c:gapWidth val="219"/>
        <c:overlap val="-27"/>
        <c:axId val="670214448"/>
        <c:axId val="670211496"/>
      </c:barChart>
      <c:catAx>
        <c:axId val="67021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11496"/>
        <c:crosses val="autoZero"/>
        <c:auto val="1"/>
        <c:lblAlgn val="ctr"/>
        <c:lblOffset val="100"/>
        <c:noMultiLvlLbl val="0"/>
      </c:catAx>
      <c:valAx>
        <c:axId val="67021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14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Companies!$M$1</c:f>
              <c:strCache>
                <c:ptCount val="1"/>
                <c:pt idx="0">
                  <c:v>Net Interest Margin</c:v>
                </c:pt>
              </c:strCache>
            </c:strRef>
          </c:tx>
          <c:spPr>
            <a:solidFill>
              <a:schemeClr val="accent1"/>
            </a:solidFill>
            <a:ln>
              <a:noFill/>
            </a:ln>
            <a:effectLst/>
          </c:spPr>
          <c:invertIfNegative val="0"/>
          <c:cat>
            <c:strRef>
              <c:f>Companies!$A$2:$A$12</c:f>
              <c:strCache>
                <c:ptCount val="11"/>
                <c:pt idx="0">
                  <c:v>NTRS-US</c:v>
                </c:pt>
                <c:pt idx="1">
                  <c:v>STT-US</c:v>
                </c:pt>
                <c:pt idx="2">
                  <c:v>CBSH-US</c:v>
                </c:pt>
                <c:pt idx="3">
                  <c:v>FITB-US</c:v>
                </c:pt>
                <c:pt idx="4">
                  <c:v>SIVB-US</c:v>
                </c:pt>
                <c:pt idx="5">
                  <c:v>TFC-US</c:v>
                </c:pt>
                <c:pt idx="6">
                  <c:v>MTB-US</c:v>
                </c:pt>
                <c:pt idx="7">
                  <c:v>HBAN-US</c:v>
                </c:pt>
                <c:pt idx="8">
                  <c:v>CFG-US</c:v>
                </c:pt>
                <c:pt idx="9">
                  <c:v>FRC-US</c:v>
                </c:pt>
                <c:pt idx="10">
                  <c:v>ALLY-US</c:v>
                </c:pt>
              </c:strCache>
            </c:strRef>
          </c:cat>
          <c:val>
            <c:numRef>
              <c:f>Companies!$M$2:$M$12</c:f>
              <c:numCache>
                <c:formatCode>0.00</c:formatCode>
                <c:ptCount val="11"/>
                <c:pt idx="0">
                  <c:v>1.306</c:v>
                </c:pt>
                <c:pt idx="1">
                  <c:v>1.268</c:v>
                </c:pt>
                <c:pt idx="2">
                  <c:v>3.2380000000000004</c:v>
                </c:pt>
                <c:pt idx="3">
                  <c:v>3.0640000000000001</c:v>
                </c:pt>
                <c:pt idx="4">
                  <c:v>3.0840000000000001</c:v>
                </c:pt>
                <c:pt idx="5">
                  <c:v>3.41</c:v>
                </c:pt>
                <c:pt idx="6">
                  <c:v>3.4780000000000002</c:v>
                </c:pt>
                <c:pt idx="7">
                  <c:v>3.2399999999999998</c:v>
                </c:pt>
                <c:pt idx="8">
                  <c:v>2.992</c:v>
                </c:pt>
                <c:pt idx="9">
                  <c:v>3.0660000000000003</c:v>
                </c:pt>
                <c:pt idx="10">
                  <c:v>2.54</c:v>
                </c:pt>
              </c:numCache>
            </c:numRef>
          </c:val>
          <c:extLst>
            <c:ext xmlns:c16="http://schemas.microsoft.com/office/drawing/2014/chart" uri="{C3380CC4-5D6E-409C-BE32-E72D297353CC}">
              <c16:uniqueId val="{00000000-FBCA-4434-8A0E-BBAC017EBFAC}"/>
            </c:ext>
          </c:extLst>
        </c:ser>
        <c:dLbls>
          <c:showLegendKey val="0"/>
          <c:showVal val="0"/>
          <c:showCatName val="0"/>
          <c:showSerName val="0"/>
          <c:showPercent val="0"/>
          <c:showBubbleSize val="0"/>
        </c:dLbls>
        <c:gapWidth val="219"/>
        <c:overlap val="-27"/>
        <c:axId val="689951456"/>
        <c:axId val="689953424"/>
      </c:barChart>
      <c:catAx>
        <c:axId val="68995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53424"/>
        <c:crosses val="autoZero"/>
        <c:auto val="1"/>
        <c:lblAlgn val="ctr"/>
        <c:lblOffset val="100"/>
        <c:noMultiLvlLbl val="0"/>
      </c:catAx>
      <c:valAx>
        <c:axId val="689953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51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Companies!$V$1</c:f>
              <c:strCache>
                <c:ptCount val="1"/>
                <c:pt idx="0">
                  <c:v>Efficiency Ratio</c:v>
                </c:pt>
              </c:strCache>
            </c:strRef>
          </c:tx>
          <c:spPr>
            <a:solidFill>
              <a:schemeClr val="accent1"/>
            </a:solidFill>
            <a:ln>
              <a:noFill/>
            </a:ln>
            <a:effectLst/>
          </c:spPr>
          <c:invertIfNegative val="0"/>
          <c:cat>
            <c:strRef>
              <c:f>Companies!$A$2:$A$12</c:f>
              <c:strCache>
                <c:ptCount val="11"/>
                <c:pt idx="0">
                  <c:v>NTRS-US</c:v>
                </c:pt>
                <c:pt idx="1">
                  <c:v>STT-US</c:v>
                </c:pt>
                <c:pt idx="2">
                  <c:v>CBSH-US</c:v>
                </c:pt>
                <c:pt idx="3">
                  <c:v>FITB-US</c:v>
                </c:pt>
                <c:pt idx="4">
                  <c:v>SIVB-US</c:v>
                </c:pt>
                <c:pt idx="5">
                  <c:v>TFC-US</c:v>
                </c:pt>
                <c:pt idx="6">
                  <c:v>MTB-US</c:v>
                </c:pt>
                <c:pt idx="7">
                  <c:v>HBAN-US</c:v>
                </c:pt>
                <c:pt idx="8">
                  <c:v>CFG-US</c:v>
                </c:pt>
                <c:pt idx="9">
                  <c:v>FRC-US</c:v>
                </c:pt>
                <c:pt idx="10">
                  <c:v>ALLY-US</c:v>
                </c:pt>
              </c:strCache>
            </c:strRef>
          </c:cat>
          <c:val>
            <c:numRef>
              <c:f>Companies!$V$2:$V$12</c:f>
              <c:numCache>
                <c:formatCode>0.00</c:formatCode>
                <c:ptCount val="11"/>
                <c:pt idx="0">
                  <c:v>69.180585400000012</c:v>
                </c:pt>
                <c:pt idx="1">
                  <c:v>72.857516000000004</c:v>
                </c:pt>
                <c:pt idx="2">
                  <c:v>59.94</c:v>
                </c:pt>
                <c:pt idx="3">
                  <c:v>57.620000000000005</c:v>
                </c:pt>
                <c:pt idx="4">
                  <c:v>50.233999999999995</c:v>
                </c:pt>
                <c:pt idx="5">
                  <c:v>57.959999999999994</c:v>
                </c:pt>
                <c:pt idx="6">
                  <c:v>55.923999999999999</c:v>
                </c:pt>
                <c:pt idx="7">
                  <c:v>61.14</c:v>
                </c:pt>
                <c:pt idx="8">
                  <c:v>61.351999999999997</c:v>
                </c:pt>
                <c:pt idx="9">
                  <c:v>62</c:v>
                </c:pt>
                <c:pt idx="10">
                  <c:v>59.903857400000007</c:v>
                </c:pt>
              </c:numCache>
            </c:numRef>
          </c:val>
          <c:extLst>
            <c:ext xmlns:c16="http://schemas.microsoft.com/office/drawing/2014/chart" uri="{C3380CC4-5D6E-409C-BE32-E72D297353CC}">
              <c16:uniqueId val="{00000000-287B-4076-A9AA-228D804B247B}"/>
            </c:ext>
          </c:extLst>
        </c:ser>
        <c:dLbls>
          <c:showLegendKey val="0"/>
          <c:showVal val="0"/>
          <c:showCatName val="0"/>
          <c:showSerName val="0"/>
          <c:showPercent val="0"/>
          <c:showBubbleSize val="0"/>
        </c:dLbls>
        <c:gapWidth val="219"/>
        <c:overlap val="-27"/>
        <c:axId val="701712376"/>
        <c:axId val="701711720"/>
      </c:barChart>
      <c:catAx>
        <c:axId val="70171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11720"/>
        <c:crosses val="autoZero"/>
        <c:auto val="1"/>
        <c:lblAlgn val="ctr"/>
        <c:lblOffset val="100"/>
        <c:noMultiLvlLbl val="0"/>
      </c:catAx>
      <c:valAx>
        <c:axId val="701711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12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Companies!$AI$1</c:f>
              <c:strCache>
                <c:ptCount val="1"/>
                <c:pt idx="0">
                  <c:v>Invested Assets/Deposits</c:v>
                </c:pt>
              </c:strCache>
            </c:strRef>
          </c:tx>
          <c:spPr>
            <a:solidFill>
              <a:schemeClr val="accent1"/>
            </a:solidFill>
            <a:ln>
              <a:noFill/>
            </a:ln>
            <a:effectLst/>
          </c:spPr>
          <c:invertIfNegative val="0"/>
          <c:cat>
            <c:strRef>
              <c:f>Companies!$A$2:$A$12</c:f>
              <c:strCache>
                <c:ptCount val="11"/>
                <c:pt idx="0">
                  <c:v>NTRS-US</c:v>
                </c:pt>
                <c:pt idx="1">
                  <c:v>STT-US</c:v>
                </c:pt>
                <c:pt idx="2">
                  <c:v>CBSH-US</c:v>
                </c:pt>
                <c:pt idx="3">
                  <c:v>FITB-US</c:v>
                </c:pt>
                <c:pt idx="4">
                  <c:v>SIVB-US</c:v>
                </c:pt>
                <c:pt idx="5">
                  <c:v>TFC-US</c:v>
                </c:pt>
                <c:pt idx="6">
                  <c:v>MTB-US</c:v>
                </c:pt>
                <c:pt idx="7">
                  <c:v>HBAN-US</c:v>
                </c:pt>
                <c:pt idx="8">
                  <c:v>CFG-US</c:v>
                </c:pt>
                <c:pt idx="9">
                  <c:v>FRC-US</c:v>
                </c:pt>
                <c:pt idx="10">
                  <c:v>ALLY-US</c:v>
                </c:pt>
              </c:strCache>
            </c:strRef>
          </c:cat>
          <c:val>
            <c:numRef>
              <c:f>Companies!$AI$2:$AI$12</c:f>
              <c:numCache>
                <c:formatCode>General</c:formatCode>
                <c:ptCount val="11"/>
                <c:pt idx="0">
                  <c:v>54.217124999999996</c:v>
                </c:pt>
                <c:pt idx="1">
                  <c:v>97.680304800000002</c:v>
                </c:pt>
                <c:pt idx="2">
                  <c:v>50.436562899999998</c:v>
                </c:pt>
                <c:pt idx="3">
                  <c:v>37.349637600000008</c:v>
                </c:pt>
                <c:pt idx="4">
                  <c:v>51.935454500000013</c:v>
                </c:pt>
                <c:pt idx="5">
                  <c:v>32.761648000000001</c:v>
                </c:pt>
                <c:pt idx="6">
                  <c:v>22.832337800000001</c:v>
                </c:pt>
                <c:pt idx="7">
                  <c:v>31.034139099999994</c:v>
                </c:pt>
                <c:pt idx="8">
                  <c:v>25.758994999999999</c:v>
                </c:pt>
                <c:pt idx="9">
                  <c:v>21.761609300000003</c:v>
                </c:pt>
                <c:pt idx="10">
                  <c:v>33.096976599999991</c:v>
                </c:pt>
              </c:numCache>
            </c:numRef>
          </c:val>
          <c:extLst>
            <c:ext xmlns:c16="http://schemas.microsoft.com/office/drawing/2014/chart" uri="{C3380CC4-5D6E-409C-BE32-E72D297353CC}">
              <c16:uniqueId val="{00000000-28BA-4D5E-BF0D-827290F72ECB}"/>
            </c:ext>
          </c:extLst>
        </c:ser>
        <c:dLbls>
          <c:showLegendKey val="0"/>
          <c:showVal val="0"/>
          <c:showCatName val="0"/>
          <c:showSerName val="0"/>
          <c:showPercent val="0"/>
          <c:showBubbleSize val="0"/>
        </c:dLbls>
        <c:gapWidth val="219"/>
        <c:overlap val="-27"/>
        <c:axId val="323035416"/>
        <c:axId val="323035744"/>
      </c:barChart>
      <c:catAx>
        <c:axId val="32303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35744"/>
        <c:crosses val="autoZero"/>
        <c:auto val="1"/>
        <c:lblAlgn val="ctr"/>
        <c:lblOffset val="100"/>
        <c:noMultiLvlLbl val="0"/>
      </c:catAx>
      <c:valAx>
        <c:axId val="32303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35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Quality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Financial!$A$39</c:f>
              <c:strCache>
                <c:ptCount val="1"/>
                <c:pt idx="0">
                  <c:v>Loan Losses Provision/Total Loans (x)</c:v>
                </c:pt>
              </c:strCache>
            </c:strRef>
          </c:tx>
          <c:spPr>
            <a:solidFill>
              <a:schemeClr val="accent1"/>
            </a:solidFill>
            <a:ln>
              <a:noFill/>
            </a:ln>
            <a:effectLst/>
          </c:spPr>
          <c:invertIfNegative val="0"/>
          <c:val>
            <c:numRef>
              <c:f>Financial!$B$39:$K$39</c:f>
              <c:numCache>
                <c:formatCode>#,##0.00</c:formatCode>
                <c:ptCount val="10"/>
                <c:pt idx="0">
                  <c:v>2.7241000000000001E-2</c:v>
                </c:pt>
                <c:pt idx="1">
                  <c:v>3.1112000000000001E-2</c:v>
                </c:pt>
                <c:pt idx="2">
                  <c:v>5.0477000000000001E-2</c:v>
                </c:pt>
                <c:pt idx="3">
                  <c:v>1.055E-2</c:v>
                </c:pt>
                <c:pt idx="4">
                  <c:v>1.9362999999999998E-2</c:v>
                </c:pt>
                <c:pt idx="5">
                  <c:v>2.5779E-2</c:v>
                </c:pt>
                <c:pt idx="6">
                  <c:v>1.8377999999999999E-2</c:v>
                </c:pt>
                <c:pt idx="7">
                  <c:v>3.3070000000000002E-2</c:v>
                </c:pt>
                <c:pt idx="8">
                  <c:v>2.5762E-2</c:v>
                </c:pt>
                <c:pt idx="9">
                  <c:v>2.8013E-2</c:v>
                </c:pt>
              </c:numCache>
            </c:numRef>
          </c:val>
          <c:extLst>
            <c:ext xmlns:c16="http://schemas.microsoft.com/office/drawing/2014/chart" uri="{C3380CC4-5D6E-409C-BE32-E72D297353CC}">
              <c16:uniqueId val="{00000000-21FF-4B1A-B098-A55B57D9DDC1}"/>
            </c:ext>
          </c:extLst>
        </c:ser>
        <c:ser>
          <c:idx val="1"/>
          <c:order val="1"/>
          <c:tx>
            <c:strRef>
              <c:f>Financial!$A$40</c:f>
              <c:strCache>
                <c:ptCount val="1"/>
                <c:pt idx="0">
                  <c:v>Loan Losses Reserves/Total Loans (x)</c:v>
                </c:pt>
              </c:strCache>
            </c:strRef>
          </c:tx>
          <c:spPr>
            <a:solidFill>
              <a:schemeClr val="accent2"/>
            </a:solidFill>
            <a:ln>
              <a:noFill/>
            </a:ln>
            <a:effectLst/>
          </c:spPr>
          <c:invertIfNegative val="0"/>
          <c:val>
            <c:numRef>
              <c:f>Financial!$B$40:$K$40</c:f>
              <c:numCache>
                <c:formatCode>#,##0.0</c:formatCode>
                <c:ptCount val="10"/>
                <c:pt idx="0">
                  <c:v>0.57726</c:v>
                </c:pt>
                <c:pt idx="1">
                  <c:v>0.58390799999999998</c:v>
                </c:pt>
                <c:pt idx="2">
                  <c:v>0.56872100000000003</c:v>
                </c:pt>
                <c:pt idx="3">
                  <c:v>0.54638900000000001</c:v>
                </c:pt>
                <c:pt idx="4">
                  <c:v>0.56250100000000003</c:v>
                </c:pt>
                <c:pt idx="5">
                  <c:v>0.57527799999999996</c:v>
                </c:pt>
                <c:pt idx="6">
                  <c:v>0.58645000000000003</c:v>
                </c:pt>
                <c:pt idx="7">
                  <c:v>0.57872100000000004</c:v>
                </c:pt>
                <c:pt idx="8">
                  <c:v>0.57491199999999998</c:v>
                </c:pt>
                <c:pt idx="9">
                  <c:v>0.574685</c:v>
                </c:pt>
              </c:numCache>
            </c:numRef>
          </c:val>
          <c:extLst>
            <c:ext xmlns:c16="http://schemas.microsoft.com/office/drawing/2014/chart" uri="{C3380CC4-5D6E-409C-BE32-E72D297353CC}">
              <c16:uniqueId val="{00000001-21FF-4B1A-B098-A55B57D9DDC1}"/>
            </c:ext>
          </c:extLst>
        </c:ser>
        <c:ser>
          <c:idx val="2"/>
          <c:order val="2"/>
          <c:tx>
            <c:strRef>
              <c:f>Financial!$A$41</c:f>
              <c:strCache>
                <c:ptCount val="1"/>
                <c:pt idx="0">
                  <c:v>Non-Performing Loans/Total Loans (x)</c:v>
                </c:pt>
              </c:strCache>
            </c:strRef>
          </c:tx>
          <c:spPr>
            <a:solidFill>
              <a:schemeClr val="accent3"/>
            </a:solidFill>
            <a:ln>
              <a:noFill/>
            </a:ln>
            <a:effectLst/>
          </c:spPr>
          <c:invertIfNegative val="0"/>
          <c:val>
            <c:numRef>
              <c:f>Financial!$B$41:$K$41</c:f>
              <c:numCache>
                <c:formatCode>#,##0.00</c:formatCode>
                <c:ptCount val="10"/>
                <c:pt idx="0">
                  <c:v>0.156782</c:v>
                </c:pt>
                <c:pt idx="1">
                  <c:v>0.164905</c:v>
                </c:pt>
                <c:pt idx="2">
                  <c:v>0.13162399999999999</c:v>
                </c:pt>
                <c:pt idx="3">
                  <c:v>0.157694</c:v>
                </c:pt>
                <c:pt idx="4">
                  <c:v>0.15865599999999999</c:v>
                </c:pt>
                <c:pt idx="5">
                  <c:v>0.17630999999999999</c:v>
                </c:pt>
                <c:pt idx="6">
                  <c:v>6.6111000000000003E-2</c:v>
                </c:pt>
                <c:pt idx="7">
                  <c:v>6.1247000000000003E-2</c:v>
                </c:pt>
                <c:pt idx="8">
                  <c:v>5.8867999999999997E-2</c:v>
                </c:pt>
                <c:pt idx="9">
                  <c:v>7.3639999999999997E-2</c:v>
                </c:pt>
              </c:numCache>
            </c:numRef>
          </c:val>
          <c:extLst>
            <c:ext xmlns:c16="http://schemas.microsoft.com/office/drawing/2014/chart" uri="{C3380CC4-5D6E-409C-BE32-E72D297353CC}">
              <c16:uniqueId val="{00000002-21FF-4B1A-B098-A55B57D9DDC1}"/>
            </c:ext>
          </c:extLst>
        </c:ser>
        <c:dLbls>
          <c:showLegendKey val="0"/>
          <c:showVal val="0"/>
          <c:showCatName val="0"/>
          <c:showSerName val="0"/>
          <c:showPercent val="0"/>
          <c:showBubbleSize val="0"/>
        </c:dLbls>
        <c:gapWidth val="219"/>
        <c:overlap val="-27"/>
        <c:axId val="483825848"/>
        <c:axId val="483823552"/>
      </c:barChart>
      <c:catAx>
        <c:axId val="483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23552"/>
        <c:crosses val="autoZero"/>
        <c:auto val="1"/>
        <c:lblAlgn val="ctr"/>
        <c:lblOffset val="100"/>
        <c:noMultiLvlLbl val="0"/>
      </c:catAx>
      <c:valAx>
        <c:axId val="483823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25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Liquidity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Financial!$A$34</c:f>
              <c:strCache>
                <c:ptCount val="1"/>
                <c:pt idx="0">
                  <c:v>Cash &amp; Secs/Deposits (M)</c:v>
                </c:pt>
              </c:strCache>
            </c:strRef>
          </c:tx>
          <c:spPr>
            <a:solidFill>
              <a:schemeClr val="accent1"/>
            </a:solidFill>
            <a:ln>
              <a:noFill/>
            </a:ln>
            <a:effectLst/>
          </c:spPr>
          <c:invertIfNegative val="0"/>
          <c:cat>
            <c:strRef>
              <c:f>Financial!$B$8:$K$8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Financial!$B$34:$K$34</c:f>
              <c:numCache>
                <c:formatCode>#,##0.0</c:formatCode>
                <c:ptCount val="10"/>
                <c:pt idx="0">
                  <c:v>22.923528999999998</c:v>
                </c:pt>
                <c:pt idx="1">
                  <c:v>23.997828999999999</c:v>
                </c:pt>
                <c:pt idx="2">
                  <c:v>25.866078999999999</c:v>
                </c:pt>
                <c:pt idx="3">
                  <c:v>24.054931</c:v>
                </c:pt>
                <c:pt idx="4">
                  <c:v>24.150393000000001</c:v>
                </c:pt>
                <c:pt idx="5">
                  <c:v>23.368062999999999</c:v>
                </c:pt>
                <c:pt idx="6">
                  <c:v>25.554649999999999</c:v>
                </c:pt>
                <c:pt idx="7">
                  <c:v>25.950604999999999</c:v>
                </c:pt>
                <c:pt idx="8">
                  <c:v>27.683218</c:v>
                </c:pt>
                <c:pt idx="9">
                  <c:v>29.653974999999999</c:v>
                </c:pt>
              </c:numCache>
            </c:numRef>
          </c:val>
          <c:extLst>
            <c:ext xmlns:c16="http://schemas.microsoft.com/office/drawing/2014/chart" uri="{C3380CC4-5D6E-409C-BE32-E72D297353CC}">
              <c16:uniqueId val="{00000000-5AAF-4228-8381-36FED6BD2AFB}"/>
            </c:ext>
          </c:extLst>
        </c:ser>
        <c:ser>
          <c:idx val="1"/>
          <c:order val="1"/>
          <c:tx>
            <c:strRef>
              <c:f>Financial!$A$35</c:f>
              <c:strCache>
                <c:ptCount val="1"/>
                <c:pt idx="0">
                  <c:v>Invested Assets/Deposits</c:v>
                </c:pt>
              </c:strCache>
            </c:strRef>
          </c:tx>
          <c:spPr>
            <a:solidFill>
              <a:schemeClr val="accent2"/>
            </a:solidFill>
            <a:ln>
              <a:noFill/>
            </a:ln>
            <a:effectLst/>
          </c:spPr>
          <c:invertIfNegative val="0"/>
          <c:cat>
            <c:strRef>
              <c:f>Financial!$B$8:$K$8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Financial!$B$35:$K$35</c:f>
              <c:numCache>
                <c:formatCode>#,##0.0</c:formatCode>
                <c:ptCount val="10"/>
                <c:pt idx="0">
                  <c:v>19.388059999999999</c:v>
                </c:pt>
                <c:pt idx="1">
                  <c:v>20.852547000000001</c:v>
                </c:pt>
                <c:pt idx="2">
                  <c:v>21.650815999999999</c:v>
                </c:pt>
                <c:pt idx="3">
                  <c:v>22.169326000000002</c:v>
                </c:pt>
                <c:pt idx="4">
                  <c:v>21.605378000000002</c:v>
                </c:pt>
                <c:pt idx="5">
                  <c:v>20.707097000000001</c:v>
                </c:pt>
                <c:pt idx="6">
                  <c:v>21.029102000000002</c:v>
                </c:pt>
                <c:pt idx="7">
                  <c:v>22.395022000000001</c:v>
                </c:pt>
                <c:pt idx="8">
                  <c:v>23.652085</c:v>
                </c:pt>
                <c:pt idx="9">
                  <c:v>24.16666</c:v>
                </c:pt>
              </c:numCache>
            </c:numRef>
          </c:val>
          <c:extLst>
            <c:ext xmlns:c16="http://schemas.microsoft.com/office/drawing/2014/chart" uri="{C3380CC4-5D6E-409C-BE32-E72D297353CC}">
              <c16:uniqueId val="{00000001-5AAF-4228-8381-36FED6BD2AFB}"/>
            </c:ext>
          </c:extLst>
        </c:ser>
        <c:ser>
          <c:idx val="2"/>
          <c:order val="2"/>
          <c:tx>
            <c:strRef>
              <c:f>Financial!$A$36</c:f>
              <c:strCache>
                <c:ptCount val="1"/>
                <c:pt idx="0">
                  <c:v>Loans/Deposits (%)</c:v>
                </c:pt>
              </c:strCache>
            </c:strRef>
          </c:tx>
          <c:spPr>
            <a:solidFill>
              <a:schemeClr val="accent3"/>
            </a:solidFill>
            <a:ln>
              <a:noFill/>
            </a:ln>
            <a:effectLst/>
          </c:spPr>
          <c:invertIfNegative val="0"/>
          <c:cat>
            <c:strRef>
              <c:f>Financial!$B$8:$K$8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Financial!$B$36:$K$36</c:f>
              <c:numCache>
                <c:formatCode>#,##0.0</c:formatCode>
                <c:ptCount val="10"/>
                <c:pt idx="0">
                  <c:v>100.343164</c:v>
                </c:pt>
                <c:pt idx="1">
                  <c:v>101.50331300000001</c:v>
                </c:pt>
                <c:pt idx="2">
                  <c:v>101.69995</c:v>
                </c:pt>
                <c:pt idx="3">
                  <c:v>100.736227</c:v>
                </c:pt>
                <c:pt idx="4">
                  <c:v>100.681623</c:v>
                </c:pt>
                <c:pt idx="5">
                  <c:v>98.569524000000001</c:v>
                </c:pt>
                <c:pt idx="6">
                  <c:v>94.673561000000007</c:v>
                </c:pt>
                <c:pt idx="7">
                  <c:v>95.955195000000003</c:v>
                </c:pt>
                <c:pt idx="8">
                  <c:v>96.748555999999994</c:v>
                </c:pt>
                <c:pt idx="9">
                  <c:v>95.018608</c:v>
                </c:pt>
              </c:numCache>
            </c:numRef>
          </c:val>
          <c:extLst>
            <c:ext xmlns:c16="http://schemas.microsoft.com/office/drawing/2014/chart" uri="{C3380CC4-5D6E-409C-BE32-E72D297353CC}">
              <c16:uniqueId val="{00000002-5AAF-4228-8381-36FED6BD2AFB}"/>
            </c:ext>
          </c:extLst>
        </c:ser>
        <c:ser>
          <c:idx val="3"/>
          <c:order val="3"/>
          <c:tx>
            <c:strRef>
              <c:f>Financial!$A$37</c:f>
              <c:strCache>
                <c:ptCount val="1"/>
                <c:pt idx="0">
                  <c:v>Invested Assets+Loans/Deposits</c:v>
                </c:pt>
              </c:strCache>
            </c:strRef>
          </c:tx>
          <c:spPr>
            <a:solidFill>
              <a:schemeClr val="accent4"/>
            </a:solidFill>
            <a:ln>
              <a:noFill/>
            </a:ln>
            <a:effectLst/>
          </c:spPr>
          <c:invertIfNegative val="0"/>
          <c:cat>
            <c:strRef>
              <c:f>Financial!$B$8:$K$8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Financial!$B$37:$K$37</c:f>
              <c:numCache>
                <c:formatCode>#,##0.0</c:formatCode>
                <c:ptCount val="10"/>
                <c:pt idx="0">
                  <c:v>119.151983</c:v>
                </c:pt>
                <c:pt idx="1">
                  <c:v>121.763175</c:v>
                </c:pt>
                <c:pt idx="2">
                  <c:v>122.77237700000001</c:v>
                </c:pt>
                <c:pt idx="3">
                  <c:v>122.355141</c:v>
                </c:pt>
                <c:pt idx="4">
                  <c:v>121.72066599999999</c:v>
                </c:pt>
                <c:pt idx="5">
                  <c:v>118.709571</c:v>
                </c:pt>
                <c:pt idx="6">
                  <c:v>115.14744899999999</c:v>
                </c:pt>
                <c:pt idx="7">
                  <c:v>117.794904</c:v>
                </c:pt>
                <c:pt idx="8">
                  <c:v>119.84442300000001</c:v>
                </c:pt>
                <c:pt idx="9">
                  <c:v>118.639211</c:v>
                </c:pt>
              </c:numCache>
            </c:numRef>
          </c:val>
          <c:extLst>
            <c:ext xmlns:c16="http://schemas.microsoft.com/office/drawing/2014/chart" uri="{C3380CC4-5D6E-409C-BE32-E72D297353CC}">
              <c16:uniqueId val="{00000003-5AAF-4228-8381-36FED6BD2AFB}"/>
            </c:ext>
          </c:extLst>
        </c:ser>
        <c:dLbls>
          <c:showLegendKey val="0"/>
          <c:showVal val="0"/>
          <c:showCatName val="0"/>
          <c:showSerName val="0"/>
          <c:showPercent val="0"/>
          <c:showBubbleSize val="0"/>
        </c:dLbls>
        <c:gapWidth val="219"/>
        <c:overlap val="-27"/>
        <c:axId val="676697496"/>
        <c:axId val="676697824"/>
      </c:barChart>
      <c:catAx>
        <c:axId val="67669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97824"/>
        <c:crosses val="autoZero"/>
        <c:auto val="1"/>
        <c:lblAlgn val="ctr"/>
        <c:lblOffset val="100"/>
        <c:noMultiLvlLbl val="0"/>
      </c:catAx>
      <c:valAx>
        <c:axId val="6766978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97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Capital Adequacy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Financial!$A$44</c:f>
              <c:strCache>
                <c:ptCount val="1"/>
                <c:pt idx="0">
                  <c:v>Tier 1 Risk Based Capital Ratio (%)</c:v>
                </c:pt>
              </c:strCache>
            </c:strRef>
          </c:tx>
          <c:spPr>
            <a:ln w="28575" cap="rnd">
              <a:solidFill>
                <a:schemeClr val="accent1"/>
              </a:solidFill>
              <a:round/>
            </a:ln>
            <a:effectLst/>
          </c:spPr>
          <c:marker>
            <c:symbol val="none"/>
          </c:marker>
          <c:cat>
            <c:strRef>
              <c:f>Financial!$B$8:$K$8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Financial!$B$44:$K$44</c:f>
              <c:numCache>
                <c:formatCode>#,##0.0</c:formatCode>
                <c:ptCount val="10"/>
                <c:pt idx="0">
                  <c:v>11.5</c:v>
                </c:pt>
                <c:pt idx="1">
                  <c:v>11.04</c:v>
                </c:pt>
                <c:pt idx="2">
                  <c:v>11.14</c:v>
                </c:pt>
                <c:pt idx="3">
                  <c:v>11.21</c:v>
                </c:pt>
                <c:pt idx="4">
                  <c:v>11.05</c:v>
                </c:pt>
                <c:pt idx="5">
                  <c:v>11.39</c:v>
                </c:pt>
                <c:pt idx="6">
                  <c:v>11.82</c:v>
                </c:pt>
                <c:pt idx="7">
                  <c:v>11.7</c:v>
                </c:pt>
                <c:pt idx="8">
                  <c:v>12.14</c:v>
                </c:pt>
                <c:pt idx="9">
                  <c:v>11.9</c:v>
                </c:pt>
              </c:numCache>
            </c:numRef>
          </c:val>
          <c:smooth val="0"/>
          <c:extLst>
            <c:ext xmlns:c16="http://schemas.microsoft.com/office/drawing/2014/chart" uri="{C3380CC4-5D6E-409C-BE32-E72D297353CC}">
              <c16:uniqueId val="{00000000-6C12-4CFD-ACDB-4D51339510CE}"/>
            </c:ext>
          </c:extLst>
        </c:ser>
        <c:ser>
          <c:idx val="1"/>
          <c:order val="1"/>
          <c:tx>
            <c:strRef>
              <c:f>Financial!$A$45</c:f>
              <c:strCache>
                <c:ptCount val="1"/>
                <c:pt idx="0">
                  <c:v>Total Capital Adequacy Ratio (%)</c:v>
                </c:pt>
              </c:strCache>
            </c:strRef>
          </c:tx>
          <c:spPr>
            <a:ln w="28575" cap="rnd">
              <a:solidFill>
                <a:schemeClr val="accent2"/>
              </a:solidFill>
              <a:round/>
            </a:ln>
            <a:effectLst/>
          </c:spPr>
          <c:marker>
            <c:symbol val="none"/>
          </c:marker>
          <c:cat>
            <c:strRef>
              <c:f>Financial!$B$8:$K$8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Financial!$B$45:$K$45</c:f>
              <c:numCache>
                <c:formatCode>#,##0.0</c:formatCode>
                <c:ptCount val="10"/>
                <c:pt idx="0">
                  <c:v>12.94</c:v>
                </c:pt>
                <c:pt idx="1">
                  <c:v>12.49</c:v>
                </c:pt>
                <c:pt idx="2">
                  <c:v>12.62</c:v>
                </c:pt>
                <c:pt idx="3">
                  <c:v>12.73</c:v>
                </c:pt>
                <c:pt idx="4">
                  <c:v>12.61</c:v>
                </c:pt>
                <c:pt idx="5">
                  <c:v>13.02</c:v>
                </c:pt>
                <c:pt idx="6">
                  <c:v>13.5</c:v>
                </c:pt>
                <c:pt idx="7">
                  <c:v>13.43</c:v>
                </c:pt>
                <c:pt idx="8">
                  <c:v>13.9</c:v>
                </c:pt>
                <c:pt idx="9">
                  <c:v>13.68</c:v>
                </c:pt>
              </c:numCache>
            </c:numRef>
          </c:val>
          <c:smooth val="0"/>
          <c:extLst>
            <c:ext xmlns:c16="http://schemas.microsoft.com/office/drawing/2014/chart" uri="{C3380CC4-5D6E-409C-BE32-E72D297353CC}">
              <c16:uniqueId val="{00000001-6C12-4CFD-ACDB-4D51339510CE}"/>
            </c:ext>
          </c:extLst>
        </c:ser>
        <c:dLbls>
          <c:showLegendKey val="0"/>
          <c:showVal val="0"/>
          <c:showCatName val="0"/>
          <c:showSerName val="0"/>
          <c:showPercent val="0"/>
          <c:showBubbleSize val="0"/>
        </c:dLbls>
        <c:smooth val="0"/>
        <c:axId val="704437656"/>
        <c:axId val="704439296"/>
      </c:lineChart>
      <c:catAx>
        <c:axId val="70443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39296"/>
        <c:crosses val="autoZero"/>
        <c:auto val="1"/>
        <c:lblAlgn val="ctr"/>
        <c:lblOffset val="100"/>
        <c:noMultiLvlLbl val="0"/>
      </c:catAx>
      <c:valAx>
        <c:axId val="704439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37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Growth!$A$17</c:f>
              <c:strCache>
                <c:ptCount val="1"/>
                <c:pt idx="0">
                  <c:v>Wealth Management &amp; Other Fees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Growth!$C$4:$H$4</c:f>
              <c:strCache>
                <c:ptCount val="6"/>
                <c:pt idx="0">
                  <c:v>Dec 31, 2015</c:v>
                </c:pt>
                <c:pt idx="1">
                  <c:v>Dec 31, 2016</c:v>
                </c:pt>
                <c:pt idx="2">
                  <c:v>Dec 31, 2017</c:v>
                </c:pt>
                <c:pt idx="3">
                  <c:v>Dec 31, 2018</c:v>
                </c:pt>
                <c:pt idx="4">
                  <c:v>Dec 31, 2019</c:v>
                </c:pt>
                <c:pt idx="5">
                  <c:v>Dec 31, 2020</c:v>
                </c:pt>
              </c:strCache>
            </c:strRef>
          </c:cat>
          <c:val>
            <c:numRef>
              <c:f>Growth!$C$17:$H$17</c:f>
              <c:numCache>
                <c:formatCode>General</c:formatCode>
                <c:ptCount val="6"/>
                <c:pt idx="0">
                  <c:v>325.10000000000002</c:v>
                </c:pt>
                <c:pt idx="1">
                  <c:v>394.8</c:v>
                </c:pt>
                <c:pt idx="2">
                  <c:v>460.5</c:v>
                </c:pt>
                <c:pt idx="3">
                  <c:v>545</c:v>
                </c:pt>
                <c:pt idx="4">
                  <c:v>576.4</c:v>
                </c:pt>
                <c:pt idx="5">
                  <c:v>654.20000000000005</c:v>
                </c:pt>
              </c:numCache>
            </c:numRef>
          </c:val>
          <c:smooth val="0"/>
          <c:extLst>
            <c:ext xmlns:c16="http://schemas.microsoft.com/office/drawing/2014/chart" uri="{C3380CC4-5D6E-409C-BE32-E72D297353CC}">
              <c16:uniqueId val="{00000000-42E8-4802-ACFE-220DAD4398DF}"/>
            </c:ext>
          </c:extLst>
        </c:ser>
        <c:dLbls>
          <c:showLegendKey val="0"/>
          <c:showVal val="0"/>
          <c:showCatName val="0"/>
          <c:showSerName val="0"/>
          <c:showPercent val="0"/>
          <c:showBubbleSize val="0"/>
        </c:dLbls>
        <c:marker val="1"/>
        <c:smooth val="0"/>
        <c:axId val="684851552"/>
        <c:axId val="684855160"/>
      </c:lineChart>
      <c:catAx>
        <c:axId val="68485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5160"/>
        <c:crosses val="autoZero"/>
        <c:auto val="1"/>
        <c:lblAlgn val="ctr"/>
        <c:lblOffset val="100"/>
        <c:noMultiLvlLbl val="0"/>
      </c:catAx>
      <c:valAx>
        <c:axId val="68485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 Cash</a:t>
            </a:r>
            <a:r>
              <a:rPr lang="en-US" baseline="0"/>
              <a:t> Flow KPI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FCF!$A$54</c:f>
              <c:strCache>
                <c:ptCount val="1"/>
                <c:pt idx="0">
                  <c:v>Free Cash Flow per Share</c:v>
                </c:pt>
              </c:strCache>
            </c:strRef>
          </c:tx>
          <c:spPr>
            <a:ln w="28575" cap="rnd">
              <a:solidFill>
                <a:schemeClr val="accent1"/>
              </a:solidFill>
              <a:round/>
            </a:ln>
            <a:effectLst/>
          </c:spPr>
          <c:marker>
            <c:symbol val="none"/>
          </c:marker>
          <c:cat>
            <c:strRef>
              <c:f>FCF!$B$52:$K$52</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FCF!$B$54:$K$54</c:f>
              <c:numCache>
                <c:formatCode>#,##0.0</c:formatCode>
                <c:ptCount val="10"/>
                <c:pt idx="0">
                  <c:v>0.92607499999999998</c:v>
                </c:pt>
                <c:pt idx="1">
                  <c:v>4.1698779999999998</c:v>
                </c:pt>
                <c:pt idx="2">
                  <c:v>6.0063009999999997</c:v>
                </c:pt>
                <c:pt idx="3">
                  <c:v>7.0889170000000004</c:v>
                </c:pt>
                <c:pt idx="4">
                  <c:v>11.208997999999999</c:v>
                </c:pt>
                <c:pt idx="5">
                  <c:v>8.3442900000000009</c:v>
                </c:pt>
                <c:pt idx="6">
                  <c:v>5.225117</c:v>
                </c:pt>
                <c:pt idx="7">
                  <c:v>5.492597</c:v>
                </c:pt>
                <c:pt idx="8">
                  <c:v>7.0245499999999996</c:v>
                </c:pt>
                <c:pt idx="9">
                  <c:v>4.0382389999999999</c:v>
                </c:pt>
              </c:numCache>
            </c:numRef>
          </c:val>
          <c:smooth val="0"/>
          <c:extLst>
            <c:ext xmlns:c16="http://schemas.microsoft.com/office/drawing/2014/chart" uri="{C3380CC4-5D6E-409C-BE32-E72D297353CC}">
              <c16:uniqueId val="{00000000-3642-46EF-AA6E-9E692428189B}"/>
            </c:ext>
          </c:extLst>
        </c:ser>
        <c:ser>
          <c:idx val="1"/>
          <c:order val="1"/>
          <c:tx>
            <c:strRef>
              <c:f>FCF!$A$55</c:f>
              <c:strCache>
                <c:ptCount val="1"/>
                <c:pt idx="0">
                  <c:v>Free Cash Flow Yield (%)</c:v>
                </c:pt>
              </c:strCache>
            </c:strRef>
          </c:tx>
          <c:spPr>
            <a:ln w="28575" cap="rnd">
              <a:solidFill>
                <a:schemeClr val="accent2"/>
              </a:solidFill>
              <a:round/>
            </a:ln>
            <a:effectLst/>
          </c:spPr>
          <c:marker>
            <c:symbol val="none"/>
          </c:marker>
          <c:cat>
            <c:strRef>
              <c:f>FCF!$B$52:$K$52</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FCF!$B$55:$K$55</c:f>
              <c:numCache>
                <c:formatCode>#,##0.0</c:formatCode>
                <c:ptCount val="10"/>
                <c:pt idx="0">
                  <c:v>0.84914299999999998</c:v>
                </c:pt>
                <c:pt idx="1">
                  <c:v>3.9342190000000001</c:v>
                </c:pt>
                <c:pt idx="2">
                  <c:v>7.2998310000000002</c:v>
                </c:pt>
                <c:pt idx="3">
                  <c:v>6.0356889999999996</c:v>
                </c:pt>
                <c:pt idx="4">
                  <c:v>11.591518000000001</c:v>
                </c:pt>
                <c:pt idx="5">
                  <c:v>8.5450999999999997</c:v>
                </c:pt>
                <c:pt idx="6">
                  <c:v>5.2011909999999997</c:v>
                </c:pt>
                <c:pt idx="7">
                  <c:v>6.320595</c:v>
                </c:pt>
                <c:pt idx="8">
                  <c:v>7.31724</c:v>
                </c:pt>
                <c:pt idx="9">
                  <c:v>4.1721659999999998</c:v>
                </c:pt>
              </c:numCache>
            </c:numRef>
          </c:val>
          <c:smooth val="0"/>
          <c:extLst>
            <c:ext xmlns:c16="http://schemas.microsoft.com/office/drawing/2014/chart" uri="{C3380CC4-5D6E-409C-BE32-E72D297353CC}">
              <c16:uniqueId val="{00000001-3642-46EF-AA6E-9E692428189B}"/>
            </c:ext>
          </c:extLst>
        </c:ser>
        <c:dLbls>
          <c:showLegendKey val="0"/>
          <c:showVal val="0"/>
          <c:showCatName val="0"/>
          <c:showSerName val="0"/>
          <c:showPercent val="0"/>
          <c:showBubbleSize val="0"/>
        </c:dLbls>
        <c:smooth val="0"/>
        <c:axId val="576821104"/>
        <c:axId val="576824384"/>
      </c:lineChart>
      <c:catAx>
        <c:axId val="5768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4384"/>
        <c:crosses val="autoZero"/>
        <c:auto val="1"/>
        <c:lblAlgn val="ctr"/>
        <c:lblOffset val="100"/>
        <c:noMultiLvlLbl val="0"/>
      </c:catAx>
      <c:valAx>
        <c:axId val="576824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Procedds from</a:t>
            </a:r>
            <a:r>
              <a:rPr lang="en-US" baseline="0"/>
              <a:t> </a:t>
            </a:r>
            <a:r>
              <a:rPr lang="en-US"/>
              <a:t>Loan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FCF!$A$22</c:f>
              <c:strCache>
                <c:ptCount val="1"/>
                <c:pt idx="0">
                  <c:v>Increase in Loans</c:v>
                </c:pt>
              </c:strCache>
            </c:strRef>
          </c:tx>
          <c:spPr>
            <a:ln w="28575" cap="rnd">
              <a:solidFill>
                <a:schemeClr val="accent1"/>
              </a:solidFill>
              <a:round/>
            </a:ln>
            <a:effectLst/>
          </c:spPr>
          <c:marker>
            <c:symbol val="none"/>
          </c:marker>
          <c:cat>
            <c:strRef>
              <c:f>FCF!$B$8:$K$8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FCF!$B$22:$K$22</c:f>
              <c:numCache>
                <c:formatCode>#,##0</c:formatCode>
                <c:ptCount val="10"/>
                <c:pt idx="0">
                  <c:v>20184.670999999998</c:v>
                </c:pt>
                <c:pt idx="1">
                  <c:v>19078.282999999999</c:v>
                </c:pt>
                <c:pt idx="2">
                  <c:v>19163.769</c:v>
                </c:pt>
                <c:pt idx="3">
                  <c:v>15451.14</c:v>
                </c:pt>
                <c:pt idx="4">
                  <c:v>14509.196</c:v>
                </c:pt>
                <c:pt idx="5">
                  <c:v>13885.897999999999</c:v>
                </c:pt>
                <c:pt idx="6">
                  <c:v>12857.876</c:v>
                </c:pt>
                <c:pt idx="7">
                  <c:v>14440.254000000001</c:v>
                </c:pt>
                <c:pt idx="8">
                  <c:v>14335.043</c:v>
                </c:pt>
                <c:pt idx="9">
                  <c:v>13754.718000000001</c:v>
                </c:pt>
              </c:numCache>
            </c:numRef>
          </c:val>
          <c:smooth val="0"/>
          <c:extLst>
            <c:ext xmlns:c16="http://schemas.microsoft.com/office/drawing/2014/chart" uri="{C3380CC4-5D6E-409C-BE32-E72D297353CC}">
              <c16:uniqueId val="{00000000-5468-4A09-8324-14254493D3D4}"/>
            </c:ext>
          </c:extLst>
        </c:ser>
        <c:ser>
          <c:idx val="1"/>
          <c:order val="1"/>
          <c:tx>
            <c:strRef>
              <c:f>FCF!$A$23</c:f>
              <c:strCache>
                <c:ptCount val="1"/>
                <c:pt idx="0">
                  <c:v>Decrease in Loans</c:v>
                </c:pt>
              </c:strCache>
            </c:strRef>
          </c:tx>
          <c:spPr>
            <a:ln w="28575" cap="rnd">
              <a:solidFill>
                <a:schemeClr val="accent2"/>
              </a:solidFill>
              <a:round/>
            </a:ln>
            <a:effectLst/>
          </c:spPr>
          <c:marker>
            <c:symbol val="none"/>
          </c:marker>
          <c:cat>
            <c:strRef>
              <c:f>FCF!$B$8:$K$8</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FCF!$B$23:$K$23</c:f>
              <c:numCache>
                <c:formatCode>#,##0</c:formatCode>
                <c:ptCount val="10"/>
                <c:pt idx="0">
                  <c:v>953.24599999999998</c:v>
                </c:pt>
                <c:pt idx="1">
                  <c:v>385.69099999999997</c:v>
                </c:pt>
                <c:pt idx="2">
                  <c:v>246.68199999999999</c:v>
                </c:pt>
                <c:pt idx="3">
                  <c:v>151.256</c:v>
                </c:pt>
                <c:pt idx="4">
                  <c:v>403.36200000000002</c:v>
                </c:pt>
                <c:pt idx="5">
                  <c:v>440.50200000000001</c:v>
                </c:pt>
                <c:pt idx="6">
                  <c:v>1117.8610000000001</c:v>
                </c:pt>
                <c:pt idx="7">
                  <c:v>1059.566</c:v>
                </c:pt>
                <c:pt idx="8">
                  <c:v>1659.8979999999999</c:v>
                </c:pt>
                <c:pt idx="9">
                  <c:v>2341.6559999999999</c:v>
                </c:pt>
              </c:numCache>
            </c:numRef>
          </c:val>
          <c:smooth val="0"/>
          <c:extLst>
            <c:ext xmlns:c16="http://schemas.microsoft.com/office/drawing/2014/chart" uri="{C3380CC4-5D6E-409C-BE32-E72D297353CC}">
              <c16:uniqueId val="{00000001-5468-4A09-8324-14254493D3D4}"/>
            </c:ext>
          </c:extLst>
        </c:ser>
        <c:dLbls>
          <c:showLegendKey val="0"/>
          <c:showVal val="0"/>
          <c:showCatName val="0"/>
          <c:showSerName val="0"/>
          <c:showPercent val="0"/>
          <c:showBubbleSize val="0"/>
        </c:dLbls>
        <c:smooth val="0"/>
        <c:axId val="667251736"/>
        <c:axId val="667253704"/>
      </c:lineChart>
      <c:catAx>
        <c:axId val="6672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3704"/>
        <c:crosses val="autoZero"/>
        <c:auto val="1"/>
        <c:lblAlgn val="ctr"/>
        <c:lblOffset val="100"/>
        <c:noMultiLvlLbl val="0"/>
      </c:catAx>
      <c:valAx>
        <c:axId val="667253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FCF!$A$53</c:f>
              <c:strCache>
                <c:ptCount val="1"/>
                <c:pt idx="0">
                  <c:v>Free Cash Flow</c:v>
                </c:pt>
              </c:strCache>
            </c:strRef>
          </c:tx>
          <c:spPr>
            <a:solidFill>
              <a:schemeClr val="accent1"/>
            </a:solidFill>
            <a:ln>
              <a:noFill/>
            </a:ln>
            <a:effectLst/>
          </c:spPr>
          <c:invertIfNegative val="0"/>
          <c:cat>
            <c:strRef>
              <c:f>FCF!$B$52:$K$52</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FCF!$B$53:$K$53</c:f>
              <c:numCache>
                <c:formatCode>#,##0.0</c:formatCode>
                <c:ptCount val="10"/>
                <c:pt idx="0">
                  <c:v>160.148</c:v>
                </c:pt>
                <c:pt idx="1">
                  <c:v>719.96699999999998</c:v>
                </c:pt>
                <c:pt idx="2">
                  <c:v>1033.318</c:v>
                </c:pt>
                <c:pt idx="3">
                  <c:v>1203.528</c:v>
                </c:pt>
                <c:pt idx="4">
                  <c:v>1898.1990000000001</c:v>
                </c:pt>
                <c:pt idx="5">
                  <c:v>1414.9580000000001</c:v>
                </c:pt>
                <c:pt idx="6">
                  <c:v>885.18700000000001</c:v>
                </c:pt>
                <c:pt idx="7">
                  <c:v>917.81299999999999</c:v>
                </c:pt>
                <c:pt idx="8">
                  <c:v>1162.549</c:v>
                </c:pt>
                <c:pt idx="9">
                  <c:v>666.36199999999997</c:v>
                </c:pt>
              </c:numCache>
            </c:numRef>
          </c:val>
          <c:extLst>
            <c:ext xmlns:c16="http://schemas.microsoft.com/office/drawing/2014/chart" uri="{C3380CC4-5D6E-409C-BE32-E72D297353CC}">
              <c16:uniqueId val="{00000000-4630-4A18-8884-E8BB7AB7F4AF}"/>
            </c:ext>
          </c:extLst>
        </c:ser>
        <c:dLbls>
          <c:showLegendKey val="0"/>
          <c:showVal val="0"/>
          <c:showCatName val="0"/>
          <c:showSerName val="0"/>
          <c:showPercent val="0"/>
          <c:showBubbleSize val="0"/>
        </c:dLbls>
        <c:gapWidth val="219"/>
        <c:overlap val="-27"/>
        <c:axId val="667260264"/>
        <c:axId val="667260592"/>
      </c:barChart>
      <c:catAx>
        <c:axId val="66726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60592"/>
        <c:crosses val="autoZero"/>
        <c:auto val="1"/>
        <c:lblAlgn val="ctr"/>
        <c:lblOffset val="100"/>
        <c:noMultiLvlLbl val="0"/>
      </c:catAx>
      <c:valAx>
        <c:axId val="667260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60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'FRC Comp'!$A$2</c:f>
              <c:strCache>
                <c:ptCount val="1"/>
                <c:pt idx="0">
                  <c:v>TFC-US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Comp'!$B$2:$K$2</c:f>
              <c:numCache>
                <c:formatCode>#,##0</c:formatCode>
                <c:ptCount val="10"/>
                <c:pt idx="0">
                  <c:v>2554</c:v>
                </c:pt>
                <c:pt idx="1">
                  <c:v>2666</c:v>
                </c:pt>
                <c:pt idx="2">
                  <c:v>2134</c:v>
                </c:pt>
                <c:pt idx="3">
                  <c:v>3047</c:v>
                </c:pt>
                <c:pt idx="4">
                  <c:v>3490</c:v>
                </c:pt>
                <c:pt idx="5">
                  <c:v>3761</c:v>
                </c:pt>
                <c:pt idx="6">
                  <c:v>4216</c:v>
                </c:pt>
                <c:pt idx="7">
                  <c:v>4295</c:v>
                </c:pt>
                <c:pt idx="8">
                  <c:v>4505</c:v>
                </c:pt>
                <c:pt idx="9">
                  <c:v>4283</c:v>
                </c:pt>
              </c:numCache>
            </c:numRef>
          </c:val>
          <c:smooth val="0"/>
          <c:extLst>
            <c:ext xmlns:c16="http://schemas.microsoft.com/office/drawing/2014/chart" uri="{C3380CC4-5D6E-409C-BE32-E72D297353CC}">
              <c16:uniqueId val="{00000000-487E-44B1-B2EA-B3A2FB359733}"/>
            </c:ext>
          </c:extLst>
        </c:ser>
        <c:ser>
          <c:idx val="1"/>
          <c:order val="1"/>
          <c:tx>
            <c:strRef>
              <c:f>'FRC Comp'!$A$3</c:f>
              <c:strCache>
                <c:ptCount val="1"/>
                <c:pt idx="0">
                  <c:v>STT-US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Comp'!$B$3:$K$3</c:f>
              <c:numCache>
                <c:formatCode>#,##0.0</c:formatCode>
                <c:ptCount val="10"/>
                <c:pt idx="0">
                  <c:v>-132.39724699999999</c:v>
                </c:pt>
                <c:pt idx="1">
                  <c:v>28.699300999999998</c:v>
                </c:pt>
                <c:pt idx="2">
                  <c:v>64.996407000000005</c:v>
                </c:pt>
                <c:pt idx="3">
                  <c:v>-47.852314</c:v>
                </c:pt>
                <c:pt idx="4">
                  <c:v>-48.118076000000002</c:v>
                </c:pt>
                <c:pt idx="5">
                  <c:v>19.107112999999998</c:v>
                </c:pt>
                <c:pt idx="6">
                  <c:v>-47.021464999999999</c:v>
                </c:pt>
                <c:pt idx="7">
                  <c:v>51.060485999999997</c:v>
                </c:pt>
                <c:pt idx="8">
                  <c:v>896.82299799999998</c:v>
                </c:pt>
                <c:pt idx="9">
                  <c:v>791.97619599999996</c:v>
                </c:pt>
              </c:numCache>
            </c:numRef>
          </c:val>
          <c:smooth val="0"/>
          <c:extLst>
            <c:ext xmlns:c16="http://schemas.microsoft.com/office/drawing/2014/chart" uri="{C3380CC4-5D6E-409C-BE32-E72D297353CC}">
              <c16:uniqueId val="{00000001-487E-44B1-B2EA-B3A2FB359733}"/>
            </c:ext>
          </c:extLst>
        </c:ser>
        <c:ser>
          <c:idx val="2"/>
          <c:order val="2"/>
          <c:tx>
            <c:strRef>
              <c:f>'FRC Comp'!$A$4</c:f>
              <c:strCache>
                <c:ptCount val="1"/>
                <c:pt idx="0">
                  <c:v>FRC-US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Comp'!$B$4:$K$4</c:f>
              <c:numCache>
                <c:formatCode>#,##0.0</c:formatCode>
                <c:ptCount val="10"/>
                <c:pt idx="0">
                  <c:v>160.148</c:v>
                </c:pt>
                <c:pt idx="1">
                  <c:v>719.96699999999998</c:v>
                </c:pt>
                <c:pt idx="2">
                  <c:v>1033.318</c:v>
                </c:pt>
                <c:pt idx="3">
                  <c:v>1203.528</c:v>
                </c:pt>
                <c:pt idx="4">
                  <c:v>1898.1990000000001</c:v>
                </c:pt>
                <c:pt idx="5">
                  <c:v>1414.9580000000001</c:v>
                </c:pt>
                <c:pt idx="6">
                  <c:v>885.18700000000001</c:v>
                </c:pt>
                <c:pt idx="7">
                  <c:v>917.81299999999999</c:v>
                </c:pt>
                <c:pt idx="8">
                  <c:v>1162.549</c:v>
                </c:pt>
                <c:pt idx="9">
                  <c:v>666.36199999999997</c:v>
                </c:pt>
              </c:numCache>
            </c:numRef>
          </c:val>
          <c:smooth val="0"/>
          <c:extLst>
            <c:ext xmlns:c16="http://schemas.microsoft.com/office/drawing/2014/chart" uri="{C3380CC4-5D6E-409C-BE32-E72D297353CC}">
              <c16:uniqueId val="{00000002-487E-44B1-B2EA-B3A2FB359733}"/>
            </c:ext>
          </c:extLst>
        </c:ser>
        <c:ser>
          <c:idx val="3"/>
          <c:order val="3"/>
          <c:tx>
            <c:strRef>
              <c:f>'FRC Comp'!$A$5</c:f>
              <c:strCache>
                <c:ptCount val="1"/>
                <c:pt idx="0">
                  <c:v>FITB-US</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Comp'!$B$5:$K$5</c:f>
              <c:numCache>
                <c:formatCode>#,##0.0</c:formatCode>
                <c:ptCount val="10"/>
                <c:pt idx="0">
                  <c:v>30.397621000000001</c:v>
                </c:pt>
                <c:pt idx="1">
                  <c:v>-31.485040999999999</c:v>
                </c:pt>
                <c:pt idx="2">
                  <c:v>-41.639724999999999</c:v>
                </c:pt>
                <c:pt idx="3">
                  <c:v>-0.83012200000000003</c:v>
                </c:pt>
                <c:pt idx="4">
                  <c:v>12.218515</c:v>
                </c:pt>
                <c:pt idx="5">
                  <c:v>1.363383</c:v>
                </c:pt>
                <c:pt idx="6">
                  <c:v>71.281647000000007</c:v>
                </c:pt>
                <c:pt idx="7">
                  <c:v>26.376920999999999</c:v>
                </c:pt>
                <c:pt idx="8">
                  <c:v>-29.470589</c:v>
                </c:pt>
                <c:pt idx="9">
                  <c:v>67.474373</c:v>
                </c:pt>
              </c:numCache>
            </c:numRef>
          </c:val>
          <c:smooth val="0"/>
          <c:extLst>
            <c:ext xmlns:c16="http://schemas.microsoft.com/office/drawing/2014/chart" uri="{C3380CC4-5D6E-409C-BE32-E72D297353CC}">
              <c16:uniqueId val="{00000003-487E-44B1-B2EA-B3A2FB359733}"/>
            </c:ext>
          </c:extLst>
        </c:ser>
        <c:ser>
          <c:idx val="4"/>
          <c:order val="4"/>
          <c:tx>
            <c:strRef>
              <c:f>'FRC Comp'!$A$6</c:f>
              <c:strCache>
                <c:ptCount val="1"/>
                <c:pt idx="0">
                  <c:v>SIVB-US</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Comp'!$B$6:$K$6</c:f>
              <c:numCache>
                <c:formatCode>#,##0.0</c:formatCode>
                <c:ptCount val="10"/>
                <c:pt idx="0">
                  <c:v>58.722465999999997</c:v>
                </c:pt>
                <c:pt idx="1">
                  <c:v>37.875121999999998</c:v>
                </c:pt>
                <c:pt idx="2">
                  <c:v>2.7412679999999998</c:v>
                </c:pt>
                <c:pt idx="3">
                  <c:v>23.764075999999999</c:v>
                </c:pt>
                <c:pt idx="4">
                  <c:v>15.099648999999999</c:v>
                </c:pt>
                <c:pt idx="5">
                  <c:v>88.680946000000006</c:v>
                </c:pt>
                <c:pt idx="6">
                  <c:v>12.565671</c:v>
                </c:pt>
                <c:pt idx="7">
                  <c:v>67.738440999999995</c:v>
                </c:pt>
                <c:pt idx="8">
                  <c:v>32.753413999999999</c:v>
                </c:pt>
                <c:pt idx="9">
                  <c:v>-13.560945</c:v>
                </c:pt>
              </c:numCache>
            </c:numRef>
          </c:val>
          <c:smooth val="0"/>
          <c:extLst>
            <c:ext xmlns:c16="http://schemas.microsoft.com/office/drawing/2014/chart" uri="{C3380CC4-5D6E-409C-BE32-E72D297353CC}">
              <c16:uniqueId val="{00000004-487E-44B1-B2EA-B3A2FB359733}"/>
            </c:ext>
          </c:extLst>
        </c:ser>
        <c:ser>
          <c:idx val="5"/>
          <c:order val="5"/>
          <c:tx>
            <c:strRef>
              <c:f>'FRC Comp'!$A$7</c:f>
              <c:strCache>
                <c:ptCount val="1"/>
                <c:pt idx="0">
                  <c:v>NTRS-US</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Comp'!$B$7:$K$7</c:f>
              <c:numCache>
                <c:formatCode>General</c:formatCode>
                <c:ptCount val="10"/>
                <c:pt idx="0">
                  <c:v>41.3</c:v>
                </c:pt>
                <c:pt idx="1">
                  <c:v>14.4</c:v>
                </c:pt>
                <c:pt idx="2">
                  <c:v>-123.5</c:v>
                </c:pt>
                <c:pt idx="3">
                  <c:v>45.8</c:v>
                </c:pt>
                <c:pt idx="4">
                  <c:v>-37.6</c:v>
                </c:pt>
                <c:pt idx="5">
                  <c:v>84.4</c:v>
                </c:pt>
                <c:pt idx="6">
                  <c:v>550.9</c:v>
                </c:pt>
                <c:pt idx="7">
                  <c:v>2.5</c:v>
                </c:pt>
                <c:pt idx="8">
                  <c:v>31.5</c:v>
                </c:pt>
                <c:pt idx="9">
                  <c:v>-46.4</c:v>
                </c:pt>
              </c:numCache>
            </c:numRef>
          </c:val>
          <c:smooth val="0"/>
          <c:extLst>
            <c:ext xmlns:c16="http://schemas.microsoft.com/office/drawing/2014/chart" uri="{C3380CC4-5D6E-409C-BE32-E72D297353CC}">
              <c16:uniqueId val="{00000005-487E-44B1-B2EA-B3A2FB359733}"/>
            </c:ext>
          </c:extLst>
        </c:ser>
        <c:ser>
          <c:idx val="6"/>
          <c:order val="6"/>
          <c:tx>
            <c:strRef>
              <c:f>'FRC Comp'!$A$8</c:f>
              <c:strCache>
                <c:ptCount val="1"/>
                <c:pt idx="0">
                  <c:v>MTB-US</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Comp'!$B$8:$K$8</c:f>
              <c:numCache>
                <c:formatCode>General</c:formatCode>
                <c:ptCount val="10"/>
                <c:pt idx="0">
                  <c:v>-15.5</c:v>
                </c:pt>
                <c:pt idx="1">
                  <c:v>18.2</c:v>
                </c:pt>
                <c:pt idx="2">
                  <c:v>23</c:v>
                </c:pt>
                <c:pt idx="3">
                  <c:v>12.9</c:v>
                </c:pt>
                <c:pt idx="4">
                  <c:v>13.9</c:v>
                </c:pt>
                <c:pt idx="5">
                  <c:v>3.2</c:v>
                </c:pt>
                <c:pt idx="6">
                  <c:v>8.8000000000000007</c:v>
                </c:pt>
                <c:pt idx="7">
                  <c:v>17.3</c:v>
                </c:pt>
                <c:pt idx="8">
                  <c:v>8.9</c:v>
                </c:pt>
                <c:pt idx="9">
                  <c:v>6.6</c:v>
                </c:pt>
              </c:numCache>
            </c:numRef>
          </c:val>
          <c:smooth val="0"/>
          <c:extLst>
            <c:ext xmlns:c16="http://schemas.microsoft.com/office/drawing/2014/chart" uri="{C3380CC4-5D6E-409C-BE32-E72D297353CC}">
              <c16:uniqueId val="{00000006-487E-44B1-B2EA-B3A2FB359733}"/>
            </c:ext>
          </c:extLst>
        </c:ser>
        <c:ser>
          <c:idx val="7"/>
          <c:order val="7"/>
          <c:tx>
            <c:strRef>
              <c:f>'FRC Comp'!$A$9</c:f>
              <c:strCache>
                <c:ptCount val="1"/>
                <c:pt idx="0">
                  <c:v>CFG-US</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Comp'!$B$9:$K$9</c:f>
              <c:numCache>
                <c:formatCode>General</c:formatCode>
                <c:ptCount val="10"/>
                <c:pt idx="0">
                  <c:v>562</c:v>
                </c:pt>
                <c:pt idx="1">
                  <c:v>835</c:v>
                </c:pt>
                <c:pt idx="2" formatCode="#,##0.00">
                  <c:v>1641</c:v>
                </c:pt>
                <c:pt idx="3" formatCode="#,##0.00">
                  <c:v>2268</c:v>
                </c:pt>
                <c:pt idx="4" formatCode="#,##0.00">
                  <c:v>1957</c:v>
                </c:pt>
                <c:pt idx="5" formatCode="#,##0.00">
                  <c:v>1215</c:v>
                </c:pt>
                <c:pt idx="6" formatCode="#,##0.00">
                  <c:v>1220</c:v>
                </c:pt>
                <c:pt idx="7" formatCode="#,##0.00">
                  <c:v>1528</c:v>
                </c:pt>
                <c:pt idx="8" formatCode="#,##0.00">
                  <c:v>1480</c:v>
                </c:pt>
                <c:pt idx="9" formatCode="#,##0.00">
                  <c:v>2453</c:v>
                </c:pt>
              </c:numCache>
            </c:numRef>
          </c:val>
          <c:smooth val="0"/>
          <c:extLst>
            <c:ext xmlns:c16="http://schemas.microsoft.com/office/drawing/2014/chart" uri="{C3380CC4-5D6E-409C-BE32-E72D297353CC}">
              <c16:uniqueId val="{00000007-487E-44B1-B2EA-B3A2FB359733}"/>
            </c:ext>
          </c:extLst>
        </c:ser>
        <c:ser>
          <c:idx val="8"/>
          <c:order val="8"/>
          <c:tx>
            <c:strRef>
              <c:f>'FRC Comp'!$A$10</c:f>
              <c:strCache>
                <c:ptCount val="1"/>
                <c:pt idx="0">
                  <c:v>ALLY-US</c:v>
                </c:pt>
              </c:strCache>
            </c:strRef>
          </c:tx>
          <c:spPr>
            <a:ln w="28575" cap="rnd">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Comp'!$B$10:$K$10</c:f>
              <c:numCache>
                <c:formatCode>#,##0.0</c:formatCode>
                <c:ptCount val="10"/>
                <c:pt idx="0">
                  <c:v>-282.27572600000002</c:v>
                </c:pt>
                <c:pt idx="1">
                  <c:v>-233.63774100000001</c:v>
                </c:pt>
                <c:pt idx="2">
                  <c:v>-181.85841400000001</c:v>
                </c:pt>
                <c:pt idx="3">
                  <c:v>-97.053047000000007</c:v>
                </c:pt>
                <c:pt idx="4" formatCode="General">
                  <c:v>0</c:v>
                </c:pt>
                <c:pt idx="5">
                  <c:v>401.526703</c:v>
                </c:pt>
                <c:pt idx="6" formatCode="General">
                  <c:v>0</c:v>
                </c:pt>
                <c:pt idx="7">
                  <c:v>288.549622</c:v>
                </c:pt>
                <c:pt idx="8">
                  <c:v>-100.361664</c:v>
                </c:pt>
                <c:pt idx="9">
                  <c:v>-71.767241999999996</c:v>
                </c:pt>
              </c:numCache>
            </c:numRef>
          </c:val>
          <c:smooth val="0"/>
          <c:extLst>
            <c:ext xmlns:c16="http://schemas.microsoft.com/office/drawing/2014/chart" uri="{C3380CC4-5D6E-409C-BE32-E72D297353CC}">
              <c16:uniqueId val="{00000008-487E-44B1-B2EA-B3A2FB359733}"/>
            </c:ext>
          </c:extLst>
        </c:ser>
        <c:ser>
          <c:idx val="9"/>
          <c:order val="9"/>
          <c:tx>
            <c:strRef>
              <c:f>'FRC Comp'!$A$11</c:f>
              <c:strCache>
                <c:ptCount val="1"/>
                <c:pt idx="0">
                  <c:v>HBAN-US</c:v>
                </c:pt>
              </c:strCache>
            </c:strRef>
          </c:tx>
          <c:spPr>
            <a:ln w="28575" cap="rnd">
              <a:solidFill>
                <a:schemeClr val="accent4">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Comp'!$B$11:$K$11</c:f>
              <c:numCache>
                <c:formatCode>#,##0.0</c:formatCode>
                <c:ptCount val="10"/>
                <c:pt idx="0">
                  <c:v>20.813106999999999</c:v>
                </c:pt>
                <c:pt idx="1">
                  <c:v>-25.445544999999999</c:v>
                </c:pt>
                <c:pt idx="2">
                  <c:v>-18.248531</c:v>
                </c:pt>
                <c:pt idx="3">
                  <c:v>-10.445387</c:v>
                </c:pt>
                <c:pt idx="4">
                  <c:v>-20.873611</c:v>
                </c:pt>
                <c:pt idx="5">
                  <c:v>5.7700719999999999</c:v>
                </c:pt>
                <c:pt idx="6">
                  <c:v>18.576069</c:v>
                </c:pt>
                <c:pt idx="7">
                  <c:v>10.875956</c:v>
                </c:pt>
                <c:pt idx="8">
                  <c:v>31.857792</c:v>
                </c:pt>
                <c:pt idx="9">
                  <c:v>39.458477000000002</c:v>
                </c:pt>
              </c:numCache>
            </c:numRef>
          </c:val>
          <c:smooth val="0"/>
          <c:extLst>
            <c:ext xmlns:c16="http://schemas.microsoft.com/office/drawing/2014/chart" uri="{C3380CC4-5D6E-409C-BE32-E72D297353CC}">
              <c16:uniqueId val="{00000009-487E-44B1-B2EA-B3A2FB359733}"/>
            </c:ext>
          </c:extLst>
        </c:ser>
        <c:ser>
          <c:idx val="10"/>
          <c:order val="10"/>
          <c:tx>
            <c:strRef>
              <c:f>'FRC Comp'!$A$12</c:f>
              <c:strCache>
                <c:ptCount val="1"/>
                <c:pt idx="0">
                  <c:v>CBSH-US</c:v>
                </c:pt>
              </c:strCache>
            </c:strRef>
          </c:tx>
          <c:spPr>
            <a:ln w="28575" cap="rnd">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'FRC Comp'!$B$1:$K$1</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Comp'!$B$12:$K$12</c:f>
              <c:numCache>
                <c:formatCode>General</c:formatCode>
                <c:ptCount val="10"/>
                <c:pt idx="0">
                  <c:v>26.2</c:v>
                </c:pt>
                <c:pt idx="1">
                  <c:v>-4.5</c:v>
                </c:pt>
                <c:pt idx="2">
                  <c:v>-18.7</c:v>
                </c:pt>
                <c:pt idx="3">
                  <c:v>-14.5</c:v>
                </c:pt>
                <c:pt idx="4">
                  <c:v>-13.3</c:v>
                </c:pt>
                <c:pt idx="5">
                  <c:v>-7.7</c:v>
                </c:pt>
                <c:pt idx="6">
                  <c:v>19.399999999999999</c:v>
                </c:pt>
                <c:pt idx="7">
                  <c:v>33.700000000000003</c:v>
                </c:pt>
                <c:pt idx="8">
                  <c:v>32.200000000000003</c:v>
                </c:pt>
                <c:pt idx="9">
                  <c:v>36.6</c:v>
                </c:pt>
              </c:numCache>
            </c:numRef>
          </c:val>
          <c:smooth val="0"/>
          <c:extLst>
            <c:ext xmlns:c16="http://schemas.microsoft.com/office/drawing/2014/chart" uri="{C3380CC4-5D6E-409C-BE32-E72D297353CC}">
              <c16:uniqueId val="{0000000A-487E-44B1-B2EA-B3A2FB359733}"/>
            </c:ext>
          </c:extLst>
        </c:ser>
        <c:dLbls>
          <c:dLblPos val="ctr"/>
          <c:showLegendKey val="0"/>
          <c:showVal val="1"/>
          <c:showCatName val="0"/>
          <c:showSerName val="0"/>
          <c:showPercent val="0"/>
          <c:showBubbleSize val="0"/>
        </c:dLbls>
        <c:smooth val="0"/>
        <c:axId val="471491128"/>
        <c:axId val="466142408"/>
      </c:lineChart>
      <c:catAx>
        <c:axId val="4714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42408"/>
        <c:crosses val="autoZero"/>
        <c:auto val="1"/>
        <c:lblAlgn val="ctr"/>
        <c:lblOffset val="100"/>
        <c:noMultiLvlLbl val="0"/>
      </c:catAx>
      <c:valAx>
        <c:axId val="466142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91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Net Interest</a:t>
            </a:r>
            <a:r>
              <a:rPr lang="en-US" baseline="0"/>
              <a:t> Margin</a:t>
            </a:r>
            <a:r>
              <a:rPr lang="en-US" sz="1400" b="1" i="0" u="none" strike="noStrike" cap="none"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'FRC Comp'!$A$18</c:f>
              <c:strCache>
                <c:ptCount val="1"/>
                <c:pt idx="0">
                  <c:v>TFC-US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Comp'!$B$18:$K$18</c:f>
              <c:numCache>
                <c:formatCode>#,##0.0</c:formatCode>
                <c:ptCount val="10"/>
                <c:pt idx="0">
                  <c:v>3.1</c:v>
                </c:pt>
                <c:pt idx="1">
                  <c:v>3.13</c:v>
                </c:pt>
                <c:pt idx="2">
                  <c:v>3.58</c:v>
                </c:pt>
                <c:pt idx="3">
                  <c:v>-0.01</c:v>
                </c:pt>
                <c:pt idx="4">
                  <c:v>3.37</c:v>
                </c:pt>
                <c:pt idx="5">
                  <c:v>3.42</c:v>
                </c:pt>
                <c:pt idx="6">
                  <c:v>3.51</c:v>
                </c:pt>
                <c:pt idx="7">
                  <c:v>3.49</c:v>
                </c:pt>
                <c:pt idx="8">
                  <c:v>3.47</c:v>
                </c:pt>
                <c:pt idx="9">
                  <c:v>3.45</c:v>
                </c:pt>
              </c:numCache>
            </c:numRef>
          </c:val>
          <c:smooth val="0"/>
          <c:extLst>
            <c:ext xmlns:c16="http://schemas.microsoft.com/office/drawing/2014/chart" uri="{C3380CC4-5D6E-409C-BE32-E72D297353CC}">
              <c16:uniqueId val="{00000000-0447-4355-81A5-EC3953A4BAF3}"/>
            </c:ext>
          </c:extLst>
        </c:ser>
        <c:ser>
          <c:idx val="1"/>
          <c:order val="1"/>
          <c:tx>
            <c:strRef>
              <c:f>'FRC Comp'!$A$19</c:f>
              <c:strCache>
                <c:ptCount val="1"/>
                <c:pt idx="0">
                  <c:v>STT-US</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Comp'!$B$19:$K$19</c:f>
              <c:numCache>
                <c:formatCode>#,##0.0</c:formatCode>
                <c:ptCount val="10"/>
                <c:pt idx="0">
                  <c:v>0.85</c:v>
                </c:pt>
                <c:pt idx="1">
                  <c:v>0.93</c:v>
                </c:pt>
                <c:pt idx="2">
                  <c:v>1.3</c:v>
                </c:pt>
                <c:pt idx="3">
                  <c:v>1.36</c:v>
                </c:pt>
                <c:pt idx="4">
                  <c:v>1.42</c:v>
                </c:pt>
                <c:pt idx="5">
                  <c:v>1.38</c:v>
                </c:pt>
                <c:pt idx="6">
                  <c:v>1.54</c:v>
                </c:pt>
                <c:pt idx="7">
                  <c:v>1.55</c:v>
                </c:pt>
                <c:pt idx="8">
                  <c:v>1.48</c:v>
                </c:pt>
                <c:pt idx="9">
                  <c:v>1.46</c:v>
                </c:pt>
              </c:numCache>
            </c:numRef>
          </c:val>
          <c:smooth val="0"/>
          <c:extLst>
            <c:ext xmlns:c16="http://schemas.microsoft.com/office/drawing/2014/chart" uri="{C3380CC4-5D6E-409C-BE32-E72D297353CC}">
              <c16:uniqueId val="{00000001-0447-4355-81A5-EC3953A4BAF3}"/>
            </c:ext>
          </c:extLst>
        </c:ser>
        <c:ser>
          <c:idx val="2"/>
          <c:order val="2"/>
          <c:tx>
            <c:strRef>
              <c:f>'FRC Comp'!$A$20</c:f>
              <c:strCache>
                <c:ptCount val="1"/>
                <c:pt idx="0">
                  <c:v>FRC-US</c:v>
                </c:pt>
              </c:strCache>
            </c:strRef>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Comp'!$B$20:$K$20</c:f>
              <c:numCache>
                <c:formatCode>#,##0.0</c:formatCode>
                <c:ptCount val="10"/>
                <c:pt idx="0">
                  <c:v>2.71</c:v>
                </c:pt>
                <c:pt idx="1">
                  <c:v>2.7</c:v>
                </c:pt>
                <c:pt idx="2">
                  <c:v>2.74</c:v>
                </c:pt>
                <c:pt idx="3">
                  <c:v>2.73</c:v>
                </c:pt>
                <c:pt idx="4">
                  <c:v>2.8</c:v>
                </c:pt>
                <c:pt idx="5">
                  <c:v>2.85</c:v>
                </c:pt>
                <c:pt idx="6">
                  <c:v>2.97</c:v>
                </c:pt>
                <c:pt idx="7">
                  <c:v>2.98</c:v>
                </c:pt>
                <c:pt idx="8">
                  <c:v>2.94</c:v>
                </c:pt>
                <c:pt idx="9">
                  <c:v>2.95</c:v>
                </c:pt>
              </c:numCache>
            </c:numRef>
          </c:val>
          <c:smooth val="0"/>
          <c:extLst>
            <c:ext xmlns:c16="http://schemas.microsoft.com/office/drawing/2014/chart" uri="{C3380CC4-5D6E-409C-BE32-E72D297353CC}">
              <c16:uniqueId val="{00000002-0447-4355-81A5-EC3953A4BAF3}"/>
            </c:ext>
          </c:extLst>
        </c:ser>
        <c:ser>
          <c:idx val="3"/>
          <c:order val="3"/>
          <c:tx>
            <c:strRef>
              <c:f>'FRC Comp'!$A$21</c:f>
              <c:strCache>
                <c:ptCount val="1"/>
                <c:pt idx="0">
                  <c:v>FITB-US</c:v>
                </c:pt>
              </c:strCache>
            </c:strRef>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Comp'!$B$21:$K$21</c:f>
              <c:numCache>
                <c:formatCode>#,##0.0</c:formatCode>
                <c:ptCount val="10"/>
                <c:pt idx="0">
                  <c:v>2.58</c:v>
                </c:pt>
                <c:pt idx="1">
                  <c:v>2.75</c:v>
                </c:pt>
                <c:pt idx="2">
                  <c:v>3.28</c:v>
                </c:pt>
                <c:pt idx="3">
                  <c:v>3.27</c:v>
                </c:pt>
                <c:pt idx="4">
                  <c:v>3.32</c:v>
                </c:pt>
                <c:pt idx="5">
                  <c:v>3.37</c:v>
                </c:pt>
                <c:pt idx="6">
                  <c:v>3.28</c:v>
                </c:pt>
                <c:pt idx="7">
                  <c:v>3.29</c:v>
                </c:pt>
                <c:pt idx="8">
                  <c:v>2.87</c:v>
                </c:pt>
                <c:pt idx="9">
                  <c:v>3.21</c:v>
                </c:pt>
              </c:numCache>
            </c:numRef>
          </c:val>
          <c:smooth val="0"/>
          <c:extLst>
            <c:ext xmlns:c16="http://schemas.microsoft.com/office/drawing/2014/chart" uri="{C3380CC4-5D6E-409C-BE32-E72D297353CC}">
              <c16:uniqueId val="{00000003-0447-4355-81A5-EC3953A4BAF3}"/>
            </c:ext>
          </c:extLst>
        </c:ser>
        <c:ser>
          <c:idx val="4"/>
          <c:order val="4"/>
          <c:tx>
            <c:strRef>
              <c:f>'FRC Comp'!$A$22</c:f>
              <c:strCache>
                <c:ptCount val="1"/>
                <c:pt idx="0">
                  <c:v>SIVB-US</c:v>
                </c:pt>
              </c:strCache>
            </c:strRef>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Comp'!$B$22:$K$22</c:f>
              <c:numCache>
                <c:formatCode>#,##0.0</c:formatCode>
                <c:ptCount val="10"/>
                <c:pt idx="0">
                  <c:v>2.5299999999999998</c:v>
                </c:pt>
                <c:pt idx="1">
                  <c:v>2.8</c:v>
                </c:pt>
                <c:pt idx="2">
                  <c:v>3.12</c:v>
                </c:pt>
                <c:pt idx="3">
                  <c:v>3.26</c:v>
                </c:pt>
                <c:pt idx="4">
                  <c:v>3.34</c:v>
                </c:pt>
                <c:pt idx="5">
                  <c:v>3.68</c:v>
                </c:pt>
                <c:pt idx="6">
                  <c:v>3.81</c:v>
                </c:pt>
                <c:pt idx="7">
                  <c:v>3.69</c:v>
                </c:pt>
                <c:pt idx="8">
                  <c:v>3.62</c:v>
                </c:pt>
                <c:pt idx="9">
                  <c:v>3.59</c:v>
                </c:pt>
              </c:numCache>
            </c:numRef>
          </c:val>
          <c:smooth val="0"/>
          <c:extLst>
            <c:ext xmlns:c16="http://schemas.microsoft.com/office/drawing/2014/chart" uri="{C3380CC4-5D6E-409C-BE32-E72D297353CC}">
              <c16:uniqueId val="{00000004-0447-4355-81A5-EC3953A4BAF3}"/>
            </c:ext>
          </c:extLst>
        </c:ser>
        <c:ser>
          <c:idx val="5"/>
          <c:order val="5"/>
          <c:tx>
            <c:strRef>
              <c:f>'FRC Comp'!$A$23</c:f>
              <c:strCache>
                <c:ptCount val="1"/>
                <c:pt idx="0">
                  <c:v>NTRS-US</c:v>
                </c:pt>
              </c:strCache>
            </c:strRef>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Comp'!$B$23:$K$23</c:f>
              <c:numCache>
                <c:formatCode>#,##0.0</c:formatCode>
                <c:ptCount val="10"/>
                <c:pt idx="0">
                  <c:v>1.03</c:v>
                </c:pt>
                <c:pt idx="1">
                  <c:v>1.22</c:v>
                </c:pt>
                <c:pt idx="2">
                  <c:v>1.51</c:v>
                </c:pt>
                <c:pt idx="3">
                  <c:v>1.55</c:v>
                </c:pt>
                <c:pt idx="4">
                  <c:v>1.58</c:v>
                </c:pt>
                <c:pt idx="5">
                  <c:v>1.58</c:v>
                </c:pt>
                <c:pt idx="6">
                  <c:v>1.55</c:v>
                </c:pt>
                <c:pt idx="7">
                  <c:v>-0.01</c:v>
                </c:pt>
                <c:pt idx="8">
                  <c:v>1.47</c:v>
                </c:pt>
                <c:pt idx="9">
                  <c:v>1.48</c:v>
                </c:pt>
              </c:numCache>
            </c:numRef>
          </c:val>
          <c:smooth val="0"/>
          <c:extLst>
            <c:ext xmlns:c16="http://schemas.microsoft.com/office/drawing/2014/chart" uri="{C3380CC4-5D6E-409C-BE32-E72D297353CC}">
              <c16:uniqueId val="{00000005-0447-4355-81A5-EC3953A4BAF3}"/>
            </c:ext>
          </c:extLst>
        </c:ser>
        <c:ser>
          <c:idx val="6"/>
          <c:order val="6"/>
          <c:tx>
            <c:strRef>
              <c:f>'FRC Comp'!$A$24</c:f>
              <c:strCache>
                <c:ptCount val="1"/>
                <c:pt idx="0">
                  <c:v>MTB-US</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Comp'!$B$24:$K$24</c:f>
              <c:numCache>
                <c:formatCode>#,##0.0</c:formatCode>
                <c:ptCount val="10"/>
                <c:pt idx="0">
                  <c:v>2.95</c:v>
                </c:pt>
                <c:pt idx="1">
                  <c:v>3.13</c:v>
                </c:pt>
                <c:pt idx="2">
                  <c:v>3.65</c:v>
                </c:pt>
                <c:pt idx="3">
                  <c:v>3.64</c:v>
                </c:pt>
                <c:pt idx="4">
                  <c:v>3.78</c:v>
                </c:pt>
                <c:pt idx="5">
                  <c:v>3.91</c:v>
                </c:pt>
                <c:pt idx="6">
                  <c:v>4.04</c:v>
                </c:pt>
                <c:pt idx="7">
                  <c:v>3.92</c:v>
                </c:pt>
                <c:pt idx="8">
                  <c:v>3.88</c:v>
                </c:pt>
                <c:pt idx="9">
                  <c:v>3.83</c:v>
                </c:pt>
              </c:numCache>
            </c:numRef>
          </c:val>
          <c:smooth val="0"/>
          <c:extLst>
            <c:ext xmlns:c16="http://schemas.microsoft.com/office/drawing/2014/chart" uri="{C3380CC4-5D6E-409C-BE32-E72D297353CC}">
              <c16:uniqueId val="{00000006-0447-4355-81A5-EC3953A4BAF3}"/>
            </c:ext>
          </c:extLst>
        </c:ser>
        <c:ser>
          <c:idx val="7"/>
          <c:order val="7"/>
          <c:tx>
            <c:strRef>
              <c:f>'FRC Comp'!$A$25</c:f>
              <c:strCache>
                <c:ptCount val="1"/>
                <c:pt idx="0">
                  <c:v>CFG-US</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Comp'!$B$25:$K$25</c:f>
              <c:numCache>
                <c:formatCode>#,##0.0</c:formatCode>
                <c:ptCount val="10"/>
                <c:pt idx="0">
                  <c:v>2.83</c:v>
                </c:pt>
                <c:pt idx="1">
                  <c:v>2.88</c:v>
                </c:pt>
                <c:pt idx="2">
                  <c:v>3.1</c:v>
                </c:pt>
                <c:pt idx="3">
                  <c:v>3.04</c:v>
                </c:pt>
                <c:pt idx="4">
                  <c:v>3.12</c:v>
                </c:pt>
                <c:pt idx="5">
                  <c:v>3.2</c:v>
                </c:pt>
                <c:pt idx="7">
                  <c:v>0.01</c:v>
                </c:pt>
                <c:pt idx="8">
                  <c:v>3.19</c:v>
                </c:pt>
                <c:pt idx="9">
                  <c:v>3.18</c:v>
                </c:pt>
              </c:numCache>
            </c:numRef>
          </c:val>
          <c:smooth val="0"/>
          <c:extLst>
            <c:ext xmlns:c16="http://schemas.microsoft.com/office/drawing/2014/chart" uri="{C3380CC4-5D6E-409C-BE32-E72D297353CC}">
              <c16:uniqueId val="{00000007-0447-4355-81A5-EC3953A4BAF3}"/>
            </c:ext>
          </c:extLst>
        </c:ser>
        <c:ser>
          <c:idx val="8"/>
          <c:order val="8"/>
          <c:tx>
            <c:strRef>
              <c:f>'FRC Comp'!$A$26</c:f>
              <c:strCache>
                <c:ptCount val="1"/>
                <c:pt idx="0">
                  <c:v>ALLY-US</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Comp'!$B$26:$K$26</c:f>
              <c:numCache>
                <c:formatCode>#,##0.0</c:formatCode>
                <c:ptCount val="10"/>
                <c:pt idx="0">
                  <c:v>2.65</c:v>
                </c:pt>
                <c:pt idx="1">
                  <c:v>2.23</c:v>
                </c:pt>
                <c:pt idx="2">
                  <c:v>2.4500000000000002</c:v>
                </c:pt>
                <c:pt idx="3">
                  <c:v>2.64</c:v>
                </c:pt>
                <c:pt idx="4">
                  <c:v>2.7</c:v>
                </c:pt>
                <c:pt idx="5">
                  <c:v>2.4300000000000002</c:v>
                </c:pt>
                <c:pt idx="6">
                  <c:v>2.46</c:v>
                </c:pt>
                <c:pt idx="7">
                  <c:v>2.66</c:v>
                </c:pt>
                <c:pt idx="8">
                  <c:v>2.5</c:v>
                </c:pt>
                <c:pt idx="9">
                  <c:v>2.5299999999999998</c:v>
                </c:pt>
              </c:numCache>
            </c:numRef>
          </c:val>
          <c:smooth val="0"/>
          <c:extLst>
            <c:ext xmlns:c16="http://schemas.microsoft.com/office/drawing/2014/chart" uri="{C3380CC4-5D6E-409C-BE32-E72D297353CC}">
              <c16:uniqueId val="{00000008-0447-4355-81A5-EC3953A4BAF3}"/>
            </c:ext>
          </c:extLst>
        </c:ser>
        <c:ser>
          <c:idx val="9"/>
          <c:order val="9"/>
          <c:tx>
            <c:strRef>
              <c:f>'FRC Comp'!$A$27</c:f>
              <c:strCache>
                <c:ptCount val="1"/>
                <c:pt idx="0">
                  <c:v>HBAN-US</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Comp'!$B$27:$K$27</c:f>
              <c:numCache>
                <c:formatCode>#,##0.0</c:formatCode>
                <c:ptCount val="10"/>
                <c:pt idx="0">
                  <c:v>2.96</c:v>
                </c:pt>
                <c:pt idx="1">
                  <c:v>2.94</c:v>
                </c:pt>
                <c:pt idx="2">
                  <c:v>3.14</c:v>
                </c:pt>
                <c:pt idx="3">
                  <c:v>3.12</c:v>
                </c:pt>
                <c:pt idx="4">
                  <c:v>3.2</c:v>
                </c:pt>
                <c:pt idx="5">
                  <c:v>3.31</c:v>
                </c:pt>
                <c:pt idx="6">
                  <c:v>3.39</c:v>
                </c:pt>
                <c:pt idx="7">
                  <c:v>3.41</c:v>
                </c:pt>
                <c:pt idx="8">
                  <c:v>3.32</c:v>
                </c:pt>
                <c:pt idx="9">
                  <c:v>3.29</c:v>
                </c:pt>
              </c:numCache>
            </c:numRef>
          </c:val>
          <c:smooth val="0"/>
          <c:extLst>
            <c:ext xmlns:c16="http://schemas.microsoft.com/office/drawing/2014/chart" uri="{C3380CC4-5D6E-409C-BE32-E72D297353CC}">
              <c16:uniqueId val="{00000009-0447-4355-81A5-EC3953A4BAF3}"/>
            </c:ext>
          </c:extLst>
        </c:ser>
        <c:ser>
          <c:idx val="10"/>
          <c:order val="10"/>
          <c:tx>
            <c:strRef>
              <c:f>'FRC Comp'!$A$28</c:f>
              <c:strCache>
                <c:ptCount val="1"/>
                <c:pt idx="0">
                  <c:v>CBSH-US</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Comp'!$B$17:$K$17</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Comp'!$B$28:$K$28</c:f>
              <c:numCache>
                <c:formatCode>#,##0.0</c:formatCode>
                <c:ptCount val="10"/>
                <c:pt idx="0">
                  <c:v>2.97</c:v>
                </c:pt>
                <c:pt idx="1">
                  <c:v>2.94</c:v>
                </c:pt>
                <c:pt idx="2">
                  <c:v>3.33</c:v>
                </c:pt>
                <c:pt idx="3">
                  <c:v>3.36</c:v>
                </c:pt>
                <c:pt idx="4">
                  <c:v>3.43</c:v>
                </c:pt>
                <c:pt idx="5">
                  <c:v>3.61</c:v>
                </c:pt>
                <c:pt idx="6">
                  <c:v>3.52</c:v>
                </c:pt>
                <c:pt idx="7">
                  <c:v>0.02</c:v>
                </c:pt>
                <c:pt idx="8">
                  <c:v>3.52</c:v>
                </c:pt>
                <c:pt idx="9">
                  <c:v>3.65</c:v>
                </c:pt>
              </c:numCache>
            </c:numRef>
          </c:val>
          <c:smooth val="0"/>
          <c:extLst>
            <c:ext xmlns:c16="http://schemas.microsoft.com/office/drawing/2014/chart" uri="{C3380CC4-5D6E-409C-BE32-E72D297353CC}">
              <c16:uniqueId val="{0000000A-0447-4355-81A5-EC3953A4BAF3}"/>
            </c:ext>
          </c:extLst>
        </c:ser>
        <c:dLbls>
          <c:dLblPos val="ctr"/>
          <c:showLegendKey val="0"/>
          <c:showVal val="1"/>
          <c:showCatName val="0"/>
          <c:showSerName val="0"/>
          <c:showPercent val="0"/>
          <c:showBubbleSize val="0"/>
        </c:dLbls>
        <c:smooth val="0"/>
        <c:axId val="662479328"/>
        <c:axId val="662478672"/>
      </c:lineChart>
      <c:catAx>
        <c:axId val="662479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2478672"/>
        <c:crosses val="autoZero"/>
        <c:auto val="1"/>
        <c:lblAlgn val="ctr"/>
        <c:lblOffset val="100"/>
        <c:noMultiLvlLbl val="0"/>
      </c:catAx>
      <c:valAx>
        <c:axId val="662478672"/>
        <c:scaling>
          <c:orientation val="minMax"/>
          <c:max val="4.5"/>
          <c:min val="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2479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0" i="0" u="none" strike="noStrike" cap="none" baseline="0">
                <a:effectLst/>
              </a:rPr>
              <a:t>Efficiency Ratio</a:t>
            </a:r>
            <a:r>
              <a:rPr lang="en-US" sz="1400" b="1" i="0" u="none" strike="noStrike" cap="none"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'FRC Comp'!$A$34</c:f>
              <c:strCache>
                <c:ptCount val="1"/>
                <c:pt idx="0">
                  <c:v>TFC-US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Comp'!$B$34:$K$34</c:f>
              <c:numCache>
                <c:formatCode>#,##0.0</c:formatCode>
                <c:ptCount val="10"/>
                <c:pt idx="0">
                  <c:v>60.604303000000002</c:v>
                </c:pt>
                <c:pt idx="1">
                  <c:v>59.054281000000003</c:v>
                </c:pt>
                <c:pt idx="2">
                  <c:v>58.213586999999997</c:v>
                </c:pt>
                <c:pt idx="3">
                  <c:v>59.217343</c:v>
                </c:pt>
                <c:pt idx="4">
                  <c:v>56.916550999999998</c:v>
                </c:pt>
                <c:pt idx="5">
                  <c:v>57.258620999999998</c:v>
                </c:pt>
                <c:pt idx="6">
                  <c:v>58.200553999999997</c:v>
                </c:pt>
                <c:pt idx="7">
                  <c:v>58.744705000000003</c:v>
                </c:pt>
                <c:pt idx="8">
                  <c:v>60.428916999999998</c:v>
                </c:pt>
                <c:pt idx="9">
                  <c:v>60.660766000000002</c:v>
                </c:pt>
              </c:numCache>
            </c:numRef>
          </c:val>
          <c:smooth val="0"/>
          <c:extLst>
            <c:ext xmlns:c16="http://schemas.microsoft.com/office/drawing/2014/chart" uri="{C3380CC4-5D6E-409C-BE32-E72D297353CC}">
              <c16:uniqueId val="{00000000-1920-4052-9C6D-F80D3C2E2C3E}"/>
            </c:ext>
          </c:extLst>
        </c:ser>
        <c:ser>
          <c:idx val="1"/>
          <c:order val="1"/>
          <c:tx>
            <c:strRef>
              <c:f>'FRC Comp'!$A$35</c:f>
              <c:strCache>
                <c:ptCount val="1"/>
                <c:pt idx="0">
                  <c:v>STT-US</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Comp'!$B$35:$K$35</c:f>
              <c:numCache>
                <c:formatCode>#,##0.0</c:formatCode>
                <c:ptCount val="10"/>
                <c:pt idx="0">
                  <c:v>72.447577999999993</c:v>
                </c:pt>
                <c:pt idx="1">
                  <c:v>72.267994999999999</c:v>
                </c:pt>
                <c:pt idx="2">
                  <c:v>73.487318999999999</c:v>
                </c:pt>
                <c:pt idx="3">
                  <c:v>75.146593999999993</c:v>
                </c:pt>
                <c:pt idx="4">
                  <c:v>75.910034999999993</c:v>
                </c:pt>
                <c:pt idx="5">
                  <c:v>74.842200000000005</c:v>
                </c:pt>
                <c:pt idx="6">
                  <c:v>75.240750000000006</c:v>
                </c:pt>
                <c:pt idx="7">
                  <c:v>73.923464999999993</c:v>
                </c:pt>
                <c:pt idx="8">
                  <c:v>72.647274999999993</c:v>
                </c:pt>
                <c:pt idx="9">
                  <c:v>72.113381000000004</c:v>
                </c:pt>
              </c:numCache>
            </c:numRef>
          </c:val>
          <c:smooth val="0"/>
          <c:extLst>
            <c:ext xmlns:c16="http://schemas.microsoft.com/office/drawing/2014/chart" uri="{C3380CC4-5D6E-409C-BE32-E72D297353CC}">
              <c16:uniqueId val="{00000001-1920-4052-9C6D-F80D3C2E2C3E}"/>
            </c:ext>
          </c:extLst>
        </c:ser>
        <c:ser>
          <c:idx val="2"/>
          <c:order val="2"/>
          <c:tx>
            <c:strRef>
              <c:f>'FRC Comp'!$A$36</c:f>
              <c:strCache>
                <c:ptCount val="1"/>
                <c:pt idx="0">
                  <c:v>FRC-US</c:v>
                </c:pt>
              </c:strCache>
            </c:strRef>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Comp'!$B$36:$K$36</c:f>
              <c:numCache>
                <c:formatCode>#,##0.0</c:formatCode>
                <c:ptCount val="10"/>
                <c:pt idx="0">
                  <c:v>62.900773999999998</c:v>
                </c:pt>
                <c:pt idx="1">
                  <c:v>63.761752000000001</c:v>
                </c:pt>
                <c:pt idx="2">
                  <c:v>64.560533000000007</c:v>
                </c:pt>
                <c:pt idx="3">
                  <c:v>64.582160999999999</c:v>
                </c:pt>
                <c:pt idx="4">
                  <c:v>64.303920000000005</c:v>
                </c:pt>
                <c:pt idx="5">
                  <c:v>64.141022000000007</c:v>
                </c:pt>
                <c:pt idx="6">
                  <c:v>63.792251</c:v>
                </c:pt>
                <c:pt idx="7">
                  <c:v>63.312660999999999</c:v>
                </c:pt>
                <c:pt idx="8">
                  <c:v>63.664439999999999</c:v>
                </c:pt>
                <c:pt idx="9">
                  <c:v>63.498842000000003</c:v>
                </c:pt>
              </c:numCache>
            </c:numRef>
          </c:val>
          <c:smooth val="0"/>
          <c:extLst>
            <c:ext xmlns:c16="http://schemas.microsoft.com/office/drawing/2014/chart" uri="{C3380CC4-5D6E-409C-BE32-E72D297353CC}">
              <c16:uniqueId val="{00000002-1920-4052-9C6D-F80D3C2E2C3E}"/>
            </c:ext>
          </c:extLst>
        </c:ser>
        <c:ser>
          <c:idx val="3"/>
          <c:order val="3"/>
          <c:tx>
            <c:strRef>
              <c:f>'FRC Comp'!$A$37</c:f>
              <c:strCache>
                <c:ptCount val="1"/>
                <c:pt idx="0">
                  <c:v>FITB-US</c:v>
                </c:pt>
              </c:strCache>
            </c:strRef>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Comp'!$B$37:$K$37</c:f>
              <c:numCache>
                <c:formatCode>#,##0.0</c:formatCode>
                <c:ptCount val="10"/>
                <c:pt idx="0">
                  <c:v>60.218297</c:v>
                </c:pt>
                <c:pt idx="1">
                  <c:v>55.465924999999999</c:v>
                </c:pt>
                <c:pt idx="2">
                  <c:v>56.658104999999999</c:v>
                </c:pt>
                <c:pt idx="3">
                  <c:v>54.335769999999997</c:v>
                </c:pt>
                <c:pt idx="4">
                  <c:v>53.093645000000002</c:v>
                </c:pt>
                <c:pt idx="5">
                  <c:v>54.721029999999999</c:v>
                </c:pt>
                <c:pt idx="6">
                  <c:v>52.792458000000003</c:v>
                </c:pt>
                <c:pt idx="7">
                  <c:v>54.374907999999998</c:v>
                </c:pt>
                <c:pt idx="8">
                  <c:v>58.070720999999999</c:v>
                </c:pt>
                <c:pt idx="9">
                  <c:v>50.621761999999997</c:v>
                </c:pt>
              </c:numCache>
            </c:numRef>
          </c:val>
          <c:smooth val="0"/>
          <c:extLst>
            <c:ext xmlns:c16="http://schemas.microsoft.com/office/drawing/2014/chart" uri="{C3380CC4-5D6E-409C-BE32-E72D297353CC}">
              <c16:uniqueId val="{00000003-1920-4052-9C6D-F80D3C2E2C3E}"/>
            </c:ext>
          </c:extLst>
        </c:ser>
        <c:ser>
          <c:idx val="4"/>
          <c:order val="4"/>
          <c:tx>
            <c:strRef>
              <c:f>'FRC Comp'!$A$38</c:f>
              <c:strCache>
                <c:ptCount val="1"/>
                <c:pt idx="0">
                  <c:v>SIVB-US</c:v>
                </c:pt>
              </c:strCache>
            </c:strRef>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Comp'!$B$38:$K$38</c:f>
              <c:numCache>
                <c:formatCode>#,##0.0</c:formatCode>
                <c:ptCount val="10"/>
                <c:pt idx="0">
                  <c:v>50.440339999999999</c:v>
                </c:pt>
                <c:pt idx="1">
                  <c:v>51.908225999999999</c:v>
                </c:pt>
                <c:pt idx="2">
                  <c:v>49.435710999999998</c:v>
                </c:pt>
                <c:pt idx="3">
                  <c:v>47.659204000000003</c:v>
                </c:pt>
                <c:pt idx="4">
                  <c:v>45.273099000000002</c:v>
                </c:pt>
                <c:pt idx="5">
                  <c:v>44.008802000000003</c:v>
                </c:pt>
                <c:pt idx="6">
                  <c:v>44.359364999999997</c:v>
                </c:pt>
                <c:pt idx="7">
                  <c:v>44.021161999999997</c:v>
                </c:pt>
                <c:pt idx="8">
                  <c:v>45.471690000000002</c:v>
                </c:pt>
                <c:pt idx="9">
                  <c:v>46.601863000000002</c:v>
                </c:pt>
              </c:numCache>
            </c:numRef>
          </c:val>
          <c:smooth val="0"/>
          <c:extLst>
            <c:ext xmlns:c16="http://schemas.microsoft.com/office/drawing/2014/chart" uri="{C3380CC4-5D6E-409C-BE32-E72D297353CC}">
              <c16:uniqueId val="{00000004-1920-4052-9C6D-F80D3C2E2C3E}"/>
            </c:ext>
          </c:extLst>
        </c:ser>
        <c:ser>
          <c:idx val="5"/>
          <c:order val="5"/>
          <c:tx>
            <c:strRef>
              <c:f>'FRC Comp'!$A$39</c:f>
              <c:strCache>
                <c:ptCount val="1"/>
                <c:pt idx="0">
                  <c:v>NTRS-US</c:v>
                </c:pt>
              </c:strCache>
            </c:strRef>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Comp'!$B$39:$K$39</c:f>
              <c:numCache>
                <c:formatCode>#,##0.0</c:formatCode>
                <c:ptCount val="10"/>
                <c:pt idx="0">
                  <c:v>69.705224999999999</c:v>
                </c:pt>
                <c:pt idx="1">
                  <c:v>68.208027000000001</c:v>
                </c:pt>
                <c:pt idx="2">
                  <c:v>67.690443000000002</c:v>
                </c:pt>
                <c:pt idx="3">
                  <c:v>68.370591000000005</c:v>
                </c:pt>
                <c:pt idx="4">
                  <c:v>68.008589999999998</c:v>
                </c:pt>
                <c:pt idx="5">
                  <c:v>68.166794999999993</c:v>
                </c:pt>
                <c:pt idx="6">
                  <c:v>68.064102000000005</c:v>
                </c:pt>
                <c:pt idx="7">
                  <c:v>67.517253999999994</c:v>
                </c:pt>
                <c:pt idx="8">
                  <c:v>68.081034000000002</c:v>
                </c:pt>
                <c:pt idx="9">
                  <c:v>68.447576999999995</c:v>
                </c:pt>
              </c:numCache>
            </c:numRef>
          </c:val>
          <c:smooth val="0"/>
          <c:extLst>
            <c:ext xmlns:c16="http://schemas.microsoft.com/office/drawing/2014/chart" uri="{C3380CC4-5D6E-409C-BE32-E72D297353CC}">
              <c16:uniqueId val="{00000005-1920-4052-9C6D-F80D3C2E2C3E}"/>
            </c:ext>
          </c:extLst>
        </c:ser>
        <c:ser>
          <c:idx val="6"/>
          <c:order val="6"/>
          <c:tx>
            <c:strRef>
              <c:f>'FRC Comp'!$A$40</c:f>
              <c:strCache>
                <c:ptCount val="1"/>
                <c:pt idx="0">
                  <c:v>MTB-US</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Comp'!$B$40:$K$40</c:f>
              <c:numCache>
                <c:formatCode>#,##0.0</c:formatCode>
                <c:ptCount val="10"/>
                <c:pt idx="0">
                  <c:v>55.242050999999996</c:v>
                </c:pt>
                <c:pt idx="1">
                  <c:v>55.468960000000003</c:v>
                </c:pt>
                <c:pt idx="2">
                  <c:v>57.203591000000003</c:v>
                </c:pt>
                <c:pt idx="3">
                  <c:v>57.019278</c:v>
                </c:pt>
                <c:pt idx="4">
                  <c:v>54.738408</c:v>
                </c:pt>
                <c:pt idx="5">
                  <c:v>53.787382000000001</c:v>
                </c:pt>
                <c:pt idx="6">
                  <c:v>51.455725000000001</c:v>
                </c:pt>
                <c:pt idx="7">
                  <c:v>53.365194000000002</c:v>
                </c:pt>
                <c:pt idx="8">
                  <c:v>56.989669999999997</c:v>
                </c:pt>
                <c:pt idx="9">
                  <c:v>58.220996999999997</c:v>
                </c:pt>
              </c:numCache>
            </c:numRef>
          </c:val>
          <c:smooth val="0"/>
          <c:extLst>
            <c:ext xmlns:c16="http://schemas.microsoft.com/office/drawing/2014/chart" uri="{C3380CC4-5D6E-409C-BE32-E72D297353CC}">
              <c16:uniqueId val="{00000006-1920-4052-9C6D-F80D3C2E2C3E}"/>
            </c:ext>
          </c:extLst>
        </c:ser>
        <c:ser>
          <c:idx val="7"/>
          <c:order val="7"/>
          <c:tx>
            <c:strRef>
              <c:f>'FRC Comp'!$A$41</c:f>
              <c:strCache>
                <c:ptCount val="1"/>
                <c:pt idx="0">
                  <c:v>CFG-US</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Comp'!$B$41:$K$41</c:f>
              <c:numCache>
                <c:formatCode>#,##0.0</c:formatCode>
                <c:ptCount val="10"/>
                <c:pt idx="0">
                  <c:v>55.439036000000002</c:v>
                </c:pt>
                <c:pt idx="1">
                  <c:v>55.245333000000002</c:v>
                </c:pt>
                <c:pt idx="2">
                  <c:v>56.518124</c:v>
                </c:pt>
                <c:pt idx="3">
                  <c:v>57.528089999999999</c:v>
                </c:pt>
                <c:pt idx="4">
                  <c:v>55.954568000000002</c:v>
                </c:pt>
                <c:pt idx="5">
                  <c:v>56.566324999999999</c:v>
                </c:pt>
                <c:pt idx="6">
                  <c:v>56.825397000000002</c:v>
                </c:pt>
                <c:pt idx="7">
                  <c:v>57.620252999999998</c:v>
                </c:pt>
                <c:pt idx="8">
                  <c:v>58.385620000000003</c:v>
                </c:pt>
                <c:pt idx="9">
                  <c:v>59.006531000000003</c:v>
                </c:pt>
              </c:numCache>
            </c:numRef>
          </c:val>
          <c:smooth val="0"/>
          <c:extLst>
            <c:ext xmlns:c16="http://schemas.microsoft.com/office/drawing/2014/chart" uri="{C3380CC4-5D6E-409C-BE32-E72D297353CC}">
              <c16:uniqueId val="{00000007-1920-4052-9C6D-F80D3C2E2C3E}"/>
            </c:ext>
          </c:extLst>
        </c:ser>
        <c:ser>
          <c:idx val="8"/>
          <c:order val="8"/>
          <c:tx>
            <c:strRef>
              <c:f>'FRC Comp'!$A$42</c:f>
              <c:strCache>
                <c:ptCount val="1"/>
                <c:pt idx="0">
                  <c:v>ALLY-US</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Comp'!$B$42:$K$42</c:f>
              <c:numCache>
                <c:formatCode>#,##0.0</c:formatCode>
                <c:ptCount val="10"/>
                <c:pt idx="0">
                  <c:v>64.324933000000001</c:v>
                </c:pt>
                <c:pt idx="1">
                  <c:v>63.785080000000001</c:v>
                </c:pt>
                <c:pt idx="2">
                  <c:v>63.876033999999997</c:v>
                </c:pt>
                <c:pt idx="3">
                  <c:v>61.305298000000001</c:v>
                </c:pt>
                <c:pt idx="4">
                  <c:v>62.067022999999999</c:v>
                </c:pt>
                <c:pt idx="5">
                  <c:v>62.523138000000003</c:v>
                </c:pt>
                <c:pt idx="6">
                  <c:v>62.751871000000001</c:v>
                </c:pt>
                <c:pt idx="7">
                  <c:v>64.490398999999996</c:v>
                </c:pt>
                <c:pt idx="8">
                  <c:v>63.786068</c:v>
                </c:pt>
                <c:pt idx="9">
                  <c:v>63.872664</c:v>
                </c:pt>
              </c:numCache>
            </c:numRef>
          </c:val>
          <c:smooth val="0"/>
          <c:extLst>
            <c:ext xmlns:c16="http://schemas.microsoft.com/office/drawing/2014/chart" uri="{C3380CC4-5D6E-409C-BE32-E72D297353CC}">
              <c16:uniqueId val="{00000008-1920-4052-9C6D-F80D3C2E2C3E}"/>
            </c:ext>
          </c:extLst>
        </c:ser>
        <c:ser>
          <c:idx val="9"/>
          <c:order val="9"/>
          <c:tx>
            <c:strRef>
              <c:f>'FRC Comp'!$A$43</c:f>
              <c:strCache>
                <c:ptCount val="1"/>
                <c:pt idx="0">
                  <c:v>HBAN-US</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Comp'!$B$43:$K$43</c:f>
              <c:numCache>
                <c:formatCode>#,##0.0</c:formatCode>
                <c:ptCount val="10"/>
                <c:pt idx="0">
                  <c:v>55.493274</c:v>
                </c:pt>
                <c:pt idx="1">
                  <c:v>55.295985000000002</c:v>
                </c:pt>
                <c:pt idx="2">
                  <c:v>55.914951000000002</c:v>
                </c:pt>
                <c:pt idx="3">
                  <c:v>57.211961000000002</c:v>
                </c:pt>
                <c:pt idx="4">
                  <c:v>57.389972</c:v>
                </c:pt>
                <c:pt idx="5">
                  <c:v>58.149684000000001</c:v>
                </c:pt>
                <c:pt idx="6">
                  <c:v>58.020327000000002</c:v>
                </c:pt>
                <c:pt idx="7">
                  <c:v>58.368715000000002</c:v>
                </c:pt>
                <c:pt idx="8">
                  <c:v>56.713963999999997</c:v>
                </c:pt>
                <c:pt idx="9">
                  <c:v>58.165754</c:v>
                </c:pt>
              </c:numCache>
            </c:numRef>
          </c:val>
          <c:smooth val="0"/>
          <c:extLst>
            <c:ext xmlns:c16="http://schemas.microsoft.com/office/drawing/2014/chart" uri="{C3380CC4-5D6E-409C-BE32-E72D297353CC}">
              <c16:uniqueId val="{00000009-1920-4052-9C6D-F80D3C2E2C3E}"/>
            </c:ext>
          </c:extLst>
        </c:ser>
        <c:ser>
          <c:idx val="10"/>
          <c:order val="10"/>
          <c:tx>
            <c:strRef>
              <c:f>'FRC Comp'!$A$44</c:f>
              <c:strCache>
                <c:ptCount val="1"/>
                <c:pt idx="0">
                  <c:v>CBSH-US</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'FRC Comp'!$B$33:$K$33</c:f>
              <c:strCache>
                <c:ptCount val="10"/>
                <c:pt idx="0">
                  <c:v>SEP '20</c:v>
                </c:pt>
                <c:pt idx="1">
                  <c:v>JUN '20</c:v>
                </c:pt>
                <c:pt idx="2">
                  <c:v>MAR '20</c:v>
                </c:pt>
                <c:pt idx="3">
                  <c:v>DEC '19</c:v>
                </c:pt>
                <c:pt idx="4">
                  <c:v>SEP '19</c:v>
                </c:pt>
                <c:pt idx="5">
                  <c:v>JUN '19</c:v>
                </c:pt>
                <c:pt idx="6">
                  <c:v>MAR '19</c:v>
                </c:pt>
                <c:pt idx="7">
                  <c:v>DEC '18</c:v>
                </c:pt>
                <c:pt idx="8">
                  <c:v>SEP '18</c:v>
                </c:pt>
                <c:pt idx="9">
                  <c:v>JUN '18</c:v>
                </c:pt>
              </c:strCache>
            </c:strRef>
          </c:cat>
          <c:val>
            <c:numRef>
              <c:f>'FRC Comp'!$B$44:$K$44</c:f>
              <c:numCache>
                <c:formatCode>#,##0.0</c:formatCode>
                <c:ptCount val="10"/>
                <c:pt idx="0">
                  <c:v>58.363771999999997</c:v>
                </c:pt>
                <c:pt idx="1">
                  <c:v>59.244118999999998</c:v>
                </c:pt>
                <c:pt idx="2">
                  <c:v>58.282257999999999</c:v>
                </c:pt>
                <c:pt idx="3">
                  <c:v>57.201718</c:v>
                </c:pt>
                <c:pt idx="4">
                  <c:v>56.553829999999998</c:v>
                </c:pt>
                <c:pt idx="5">
                  <c:v>56.297601999999998</c:v>
                </c:pt>
                <c:pt idx="6">
                  <c:v>55.667895000000001</c:v>
                </c:pt>
                <c:pt idx="7">
                  <c:v>54.999006999999999</c:v>
                </c:pt>
                <c:pt idx="8">
                  <c:v>56.759076999999998</c:v>
                </c:pt>
                <c:pt idx="9">
                  <c:v>58.536458000000003</c:v>
                </c:pt>
              </c:numCache>
            </c:numRef>
          </c:val>
          <c:smooth val="0"/>
          <c:extLst>
            <c:ext xmlns:c16="http://schemas.microsoft.com/office/drawing/2014/chart" uri="{C3380CC4-5D6E-409C-BE32-E72D297353CC}">
              <c16:uniqueId val="{0000000A-1920-4052-9C6D-F80D3C2E2C3E}"/>
            </c:ext>
          </c:extLst>
        </c:ser>
        <c:dLbls>
          <c:dLblPos val="ctr"/>
          <c:showLegendKey val="0"/>
          <c:showVal val="1"/>
          <c:showCatName val="0"/>
          <c:showSerName val="0"/>
          <c:showPercent val="0"/>
          <c:showBubbleSize val="0"/>
        </c:dLbls>
        <c:smooth val="0"/>
        <c:axId val="674296872"/>
        <c:axId val="674303760"/>
      </c:lineChart>
      <c:catAx>
        <c:axId val="674296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303760"/>
        <c:crosses val="autoZero"/>
        <c:auto val="1"/>
        <c:lblAlgn val="ctr"/>
        <c:lblOffset val="100"/>
        <c:noMultiLvlLbl val="0"/>
      </c:catAx>
      <c:valAx>
        <c:axId val="674303760"/>
        <c:scaling>
          <c:orientation val="minMax"/>
          <c:min val="4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296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Lending Amounts by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'Credit Ex'!$B$38</c:f>
              <c:strCache>
                <c:ptCount val="1"/>
                <c:pt idx="0">
                  <c:v># of Credit Agreements</c:v>
                </c:pt>
              </c:strCache>
            </c:strRef>
          </c:tx>
          <c:spPr>
            <a:solidFill>
              <a:schemeClr val="accent1"/>
            </a:solidFill>
            <a:ln>
              <a:noFill/>
            </a:ln>
            <a:effectLst/>
          </c:spPr>
          <c:invertIfNegative val="0"/>
          <c:cat>
            <c:strRef>
              <c:f>'Credit Ex'!$A$39:$A$46</c:f>
              <c:strCache>
                <c:ptCount val="8"/>
                <c:pt idx="0">
                  <c:v>Total</c:v>
                </c:pt>
                <c:pt idx="1">
                  <c:v>Investment Services</c:v>
                </c:pt>
                <c:pt idx="2">
                  <c:v>Media and Publishing Services</c:v>
                </c:pt>
                <c:pt idx="3">
                  <c:v>Other Industries</c:v>
                </c:pt>
                <c:pt idx="4">
                  <c:v>Healthcare Services</c:v>
                </c:pt>
                <c:pt idx="5">
                  <c:v>Healthcare Equipment</c:v>
                </c:pt>
                <c:pt idx="6">
                  <c:v>Industrial Services</c:v>
                </c:pt>
                <c:pt idx="7">
                  <c:v>Upstream Energy</c:v>
                </c:pt>
              </c:strCache>
            </c:strRef>
          </c:cat>
          <c:val>
            <c:numRef>
              <c:f>'Credit Ex'!$B$39:$B$46</c:f>
              <c:numCache>
                <c:formatCode>General</c:formatCode>
                <c:ptCount val="8"/>
                <c:pt idx="0" formatCode="#,##0">
                  <c:v>10</c:v>
                </c:pt>
                <c:pt idx="1">
                  <c:v>3</c:v>
                </c:pt>
                <c:pt idx="2">
                  <c:v>1</c:v>
                </c:pt>
                <c:pt idx="3" formatCode="#,##0">
                  <c:v>1</c:v>
                </c:pt>
                <c:pt idx="4" formatCode="#,##0">
                  <c:v>2</c:v>
                </c:pt>
                <c:pt idx="5" formatCode="#,##0">
                  <c:v>1</c:v>
                </c:pt>
                <c:pt idx="6" formatCode="#,##0">
                  <c:v>1</c:v>
                </c:pt>
                <c:pt idx="7" formatCode="#,##0">
                  <c:v>1</c:v>
                </c:pt>
              </c:numCache>
            </c:numRef>
          </c:val>
          <c:extLst>
            <c:ext xmlns:c16="http://schemas.microsoft.com/office/drawing/2014/chart" uri="{C3380CC4-5D6E-409C-BE32-E72D297353CC}">
              <c16:uniqueId val="{00000000-861F-483B-BDB5-F27955F9BD30}"/>
            </c:ext>
          </c:extLst>
        </c:ser>
        <c:ser>
          <c:idx val="1"/>
          <c:order val="1"/>
          <c:tx>
            <c:strRef>
              <c:f>'Credit Ex'!$C$38</c:f>
              <c:strCache>
                <c:ptCount val="1"/>
                <c:pt idx="0">
                  <c:v>Lending Amount (mm)</c:v>
                </c:pt>
              </c:strCache>
            </c:strRef>
          </c:tx>
          <c:spPr>
            <a:solidFill>
              <a:schemeClr val="accent2"/>
            </a:solidFill>
            <a:ln>
              <a:noFill/>
            </a:ln>
            <a:effectLst/>
          </c:spPr>
          <c:invertIfNegative val="0"/>
          <c:cat>
            <c:strRef>
              <c:f>'Credit Ex'!$A$39:$A$46</c:f>
              <c:strCache>
                <c:ptCount val="8"/>
                <c:pt idx="0">
                  <c:v>Total</c:v>
                </c:pt>
                <c:pt idx="1">
                  <c:v>Investment Services</c:v>
                </c:pt>
                <c:pt idx="2">
                  <c:v>Media and Publishing Services</c:v>
                </c:pt>
                <c:pt idx="3">
                  <c:v>Other Industries</c:v>
                </c:pt>
                <c:pt idx="4">
                  <c:v>Healthcare Services</c:v>
                </c:pt>
                <c:pt idx="5">
                  <c:v>Healthcare Equipment</c:v>
                </c:pt>
                <c:pt idx="6">
                  <c:v>Industrial Services</c:v>
                </c:pt>
                <c:pt idx="7">
                  <c:v>Upstream Energy</c:v>
                </c:pt>
              </c:strCache>
            </c:strRef>
          </c:cat>
          <c:val>
            <c:numRef>
              <c:f>'Credit Ex'!$C$39:$C$46</c:f>
              <c:numCache>
                <c:formatCode>#,##0.00</c:formatCode>
                <c:ptCount val="8"/>
                <c:pt idx="0">
                  <c:v>239.7893</c:v>
                </c:pt>
                <c:pt idx="1">
                  <c:v>175</c:v>
                </c:pt>
                <c:pt idx="2">
                  <c:v>62.5</c:v>
                </c:pt>
                <c:pt idx="3">
                  <c:v>1.3257000000000001</c:v>
                </c:pt>
                <c:pt idx="4">
                  <c:v>0.4849</c:v>
                </c:pt>
                <c:pt idx="5">
                  <c:v>0.47870000000000001</c:v>
                </c:pt>
                <c:pt idx="6">
                  <c:v>0</c:v>
                </c:pt>
                <c:pt idx="7">
                  <c:v>0</c:v>
                </c:pt>
              </c:numCache>
            </c:numRef>
          </c:val>
          <c:extLst>
            <c:ext xmlns:c16="http://schemas.microsoft.com/office/drawing/2014/chart" uri="{C3380CC4-5D6E-409C-BE32-E72D297353CC}">
              <c16:uniqueId val="{00000001-861F-483B-BDB5-F27955F9BD30}"/>
            </c:ext>
          </c:extLst>
        </c:ser>
        <c:ser>
          <c:idx val="2"/>
          <c:order val="2"/>
          <c:tx>
            <c:strRef>
              <c:f>'Credit Ex'!$D$38</c:f>
              <c:strCache>
                <c:ptCount val="1"/>
                <c:pt idx="0">
                  <c:v>% of Exposure</c:v>
                </c:pt>
              </c:strCache>
            </c:strRef>
          </c:tx>
          <c:spPr>
            <a:solidFill>
              <a:schemeClr val="accent3"/>
            </a:solidFill>
            <a:ln>
              <a:noFill/>
            </a:ln>
            <a:effectLst/>
          </c:spPr>
          <c:invertIfNegative val="0"/>
          <c:cat>
            <c:strRef>
              <c:f>'Credit Ex'!$A$39:$A$46</c:f>
              <c:strCache>
                <c:ptCount val="8"/>
                <c:pt idx="0">
                  <c:v>Total</c:v>
                </c:pt>
                <c:pt idx="1">
                  <c:v>Investment Services</c:v>
                </c:pt>
                <c:pt idx="2">
                  <c:v>Media and Publishing Services</c:v>
                </c:pt>
                <c:pt idx="3">
                  <c:v>Other Industries</c:v>
                </c:pt>
                <c:pt idx="4">
                  <c:v>Healthcare Services</c:v>
                </c:pt>
                <c:pt idx="5">
                  <c:v>Healthcare Equipment</c:v>
                </c:pt>
                <c:pt idx="6">
                  <c:v>Industrial Services</c:v>
                </c:pt>
                <c:pt idx="7">
                  <c:v>Upstream Energy</c:v>
                </c:pt>
              </c:strCache>
            </c:strRef>
          </c:cat>
          <c:val>
            <c:numRef>
              <c:f>'Credit Ex'!$D$39:$D$46</c:f>
              <c:numCache>
                <c:formatCode>#,##0.00</c:formatCode>
                <c:ptCount val="8"/>
                <c:pt idx="0">
                  <c:v>100</c:v>
                </c:pt>
                <c:pt idx="1">
                  <c:v>72.980737672615106</c:v>
                </c:pt>
                <c:pt idx="2">
                  <c:v>26.0645491687911</c:v>
                </c:pt>
                <c:pt idx="3">
                  <c:v>0.55286036532906202</c:v>
                </c:pt>
                <c:pt idx="4">
                  <c:v>0.20221919827114901</c:v>
                </c:pt>
                <c:pt idx="5">
                  <c:v>0.199633594993605</c:v>
                </c:pt>
                <c:pt idx="6">
                  <c:v>0</c:v>
                </c:pt>
                <c:pt idx="7">
                  <c:v>0</c:v>
                </c:pt>
              </c:numCache>
            </c:numRef>
          </c:val>
          <c:extLst>
            <c:ext xmlns:c16="http://schemas.microsoft.com/office/drawing/2014/chart" uri="{C3380CC4-5D6E-409C-BE32-E72D297353CC}">
              <c16:uniqueId val="{00000002-861F-483B-BDB5-F27955F9BD30}"/>
            </c:ext>
          </c:extLst>
        </c:ser>
        <c:dLbls>
          <c:showLegendKey val="0"/>
          <c:showVal val="0"/>
          <c:showCatName val="0"/>
          <c:showSerName val="0"/>
          <c:showPercent val="0"/>
          <c:showBubbleSize val="0"/>
        </c:dLbls>
        <c:gapWidth val="182"/>
        <c:axId val="529651408"/>
        <c:axId val="724118448"/>
      </c:barChart>
      <c:catAx>
        <c:axId val="52965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18448"/>
        <c:crosses val="autoZero"/>
        <c:auto val="1"/>
        <c:lblAlgn val="ctr"/>
        <c:lblOffset val="100"/>
        <c:noMultiLvlLbl val="0"/>
      </c:catAx>
      <c:valAx>
        <c:axId val="724118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5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Expected growth in EPS  Residual Plot</a:t>
            </a:r>
          </a:p>
        </c:rich>
      </c:tx>
      <c:overlay val="0"/>
    </c:title>
    <c:autoTitleDeleted val="0"/>
    <c:plotArea>
      <c:layout/>
      <c:scatterChart>
        <c:scatterStyle val="lineMarker"/>
        <c:varyColors val="0"/>
        <c:ser>
          <c:idx val="0"/>
          <c:order val="0"/>
          <c:spPr>
            <a:ln w="19050">
              <a:noFill/>
            </a:ln>
          </c:spPr>
          <c:xVal>
            <c:numRef>
              <c:f>' PE'!$E$5:$E$15</c:f>
              <c:numCache>
                <c:formatCode>0.00%</c:formatCode>
                <c:ptCount val="11"/>
                <c:pt idx="0">
                  <c:v>0.16501650165016502</c:v>
                </c:pt>
                <c:pt idx="1">
                  <c:v>1.8320610687022919E-2</c:v>
                </c:pt>
                <c:pt idx="2">
                  <c:v>0.12220309810671257</c:v>
                </c:pt>
                <c:pt idx="3">
                  <c:v>0.40112994350282483</c:v>
                </c:pt>
                <c:pt idx="4">
                  <c:v>-0.10368066355624676</c:v>
                </c:pt>
                <c:pt idx="5">
                  <c:v>6.4516129032258049E-2</c:v>
                </c:pt>
                <c:pt idx="6">
                  <c:v>0.15555555555555564</c:v>
                </c:pt>
                <c:pt idx="7">
                  <c:v>0.48584905660377348</c:v>
                </c:pt>
                <c:pt idx="8">
                  <c:v>0.68032786885245888</c:v>
                </c:pt>
                <c:pt idx="9">
                  <c:v>0.52112676056338048</c:v>
                </c:pt>
                <c:pt idx="10">
                  <c:v>0.20788530465949823</c:v>
                </c:pt>
              </c:numCache>
            </c:numRef>
          </c:xVal>
          <c:yVal>
            <c:numRef>
              <c:f>' PE'!$C$57:$C$67</c:f>
              <c:numCache>
                <c:formatCode>General</c:formatCode>
                <c:ptCount val="11"/>
                <c:pt idx="0">
                  <c:v>0.18955898254586323</c:v>
                </c:pt>
                <c:pt idx="1">
                  <c:v>-2.3001343534109289</c:v>
                </c:pt>
                <c:pt idx="2">
                  <c:v>2.8851685260249376</c:v>
                </c:pt>
                <c:pt idx="3">
                  <c:v>-1.2329158927408734</c:v>
                </c:pt>
                <c:pt idx="4">
                  <c:v>0.98908436388769161</c:v>
                </c:pt>
                <c:pt idx="5">
                  <c:v>-0.17549107186168555</c:v>
                </c:pt>
                <c:pt idx="6">
                  <c:v>-0.48647361819520896</c:v>
                </c:pt>
                <c:pt idx="7">
                  <c:v>0.95835732896803272</c:v>
                </c:pt>
                <c:pt idx="8">
                  <c:v>0.34844002458100043</c:v>
                </c:pt>
                <c:pt idx="9">
                  <c:v>-0.36998496425494842</c:v>
                </c:pt>
                <c:pt idx="10">
                  <c:v>-0.80560932554389098</c:v>
                </c:pt>
              </c:numCache>
            </c:numRef>
          </c:yVal>
          <c:smooth val="0"/>
          <c:extLst>
            <c:ext xmlns:c16="http://schemas.microsoft.com/office/drawing/2014/chart" uri="{C3380CC4-5D6E-409C-BE32-E72D297353CC}">
              <c16:uniqueId val="{00000001-C6C5-4C5F-A8C7-DA61DDCB71AE}"/>
            </c:ext>
          </c:extLst>
        </c:ser>
        <c:dLbls>
          <c:showLegendKey val="0"/>
          <c:showVal val="0"/>
          <c:showCatName val="0"/>
          <c:showSerName val="0"/>
          <c:showPercent val="0"/>
          <c:showBubbleSize val="0"/>
        </c:dLbls>
        <c:axId val="770403280"/>
        <c:axId val="770402952"/>
      </c:scatterChart>
      <c:valAx>
        <c:axId val="770403280"/>
        <c:scaling>
          <c:orientation val="minMax"/>
        </c:scaling>
        <c:delete val="0"/>
        <c:axPos val="b"/>
        <c:title>
          <c:tx>
            <c:rich>
              <a:bodyPr/>
              <a:lstStyle/>
              <a:p>
                <a:pPr>
                  <a:defRPr/>
                </a:pPr>
                <a:r>
                  <a:rPr lang="en-US"/>
                  <a:t>Expected growth in EPS</a:t>
                </a:r>
              </a:p>
            </c:rich>
          </c:tx>
          <c:overlay val="0"/>
        </c:title>
        <c:numFmt formatCode="0.00%" sourceLinked="1"/>
        <c:majorTickMark val="out"/>
        <c:minorTickMark val="none"/>
        <c:tickLblPos val="nextTo"/>
        <c:crossAx val="770402952"/>
        <c:crosses val="autoZero"/>
        <c:crossBetween val="midCat"/>
      </c:valAx>
      <c:valAx>
        <c:axId val="7704029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704032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Beta  Residual Plot</a:t>
            </a:r>
          </a:p>
        </c:rich>
      </c:tx>
      <c:overlay val="0"/>
    </c:title>
    <c:autoTitleDeleted val="0"/>
    <c:plotArea>
      <c:layout/>
      <c:scatterChart>
        <c:scatterStyle val="lineMarker"/>
        <c:varyColors val="0"/>
        <c:ser>
          <c:idx val="0"/>
          <c:order val="0"/>
          <c:spPr>
            <a:ln w="19050">
              <a:noFill/>
            </a:ln>
          </c:spPr>
          <c:xVal>
            <c:numRef>
              <c:f>' PE'!$F$5:$F$15</c:f>
              <c:numCache>
                <c:formatCode>General</c:formatCode>
                <c:ptCount val="11"/>
                <c:pt idx="0">
                  <c:v>1.48</c:v>
                </c:pt>
                <c:pt idx="1">
                  <c:v>1.21</c:v>
                </c:pt>
                <c:pt idx="2">
                  <c:v>1.1000000000000001</c:v>
                </c:pt>
                <c:pt idx="3">
                  <c:v>1.96</c:v>
                </c:pt>
                <c:pt idx="4">
                  <c:v>1.29</c:v>
                </c:pt>
                <c:pt idx="5">
                  <c:v>1.08</c:v>
                </c:pt>
                <c:pt idx="6">
                  <c:v>1.24</c:v>
                </c:pt>
                <c:pt idx="7">
                  <c:v>1.71</c:v>
                </c:pt>
                <c:pt idx="8">
                  <c:v>2.25</c:v>
                </c:pt>
                <c:pt idx="9">
                  <c:v>1.46</c:v>
                </c:pt>
                <c:pt idx="10">
                  <c:v>0.77</c:v>
                </c:pt>
              </c:numCache>
            </c:numRef>
          </c:xVal>
          <c:yVal>
            <c:numRef>
              <c:f>' PE'!$C$57:$C$67</c:f>
              <c:numCache>
                <c:formatCode>General</c:formatCode>
                <c:ptCount val="11"/>
                <c:pt idx="0">
                  <c:v>0.18955898254586323</c:v>
                </c:pt>
                <c:pt idx="1">
                  <c:v>-2.3001343534109289</c:v>
                </c:pt>
                <c:pt idx="2">
                  <c:v>2.8851685260249376</c:v>
                </c:pt>
                <c:pt idx="3">
                  <c:v>-1.2329158927408734</c:v>
                </c:pt>
                <c:pt idx="4">
                  <c:v>0.98908436388769161</c:v>
                </c:pt>
                <c:pt idx="5">
                  <c:v>-0.17549107186168555</c:v>
                </c:pt>
                <c:pt idx="6">
                  <c:v>-0.48647361819520896</c:v>
                </c:pt>
                <c:pt idx="7">
                  <c:v>0.95835732896803272</c:v>
                </c:pt>
                <c:pt idx="8">
                  <c:v>0.34844002458100043</c:v>
                </c:pt>
                <c:pt idx="9">
                  <c:v>-0.36998496425494842</c:v>
                </c:pt>
                <c:pt idx="10">
                  <c:v>-0.80560932554389098</c:v>
                </c:pt>
              </c:numCache>
            </c:numRef>
          </c:yVal>
          <c:smooth val="0"/>
          <c:extLst>
            <c:ext xmlns:c16="http://schemas.microsoft.com/office/drawing/2014/chart" uri="{C3380CC4-5D6E-409C-BE32-E72D297353CC}">
              <c16:uniqueId val="{00000001-B0EE-43FF-8F63-EF3886F3867F}"/>
            </c:ext>
          </c:extLst>
        </c:ser>
        <c:dLbls>
          <c:showLegendKey val="0"/>
          <c:showVal val="0"/>
          <c:showCatName val="0"/>
          <c:showSerName val="0"/>
          <c:showPercent val="0"/>
          <c:showBubbleSize val="0"/>
        </c:dLbls>
        <c:axId val="770403608"/>
        <c:axId val="770398688"/>
      </c:scatterChart>
      <c:valAx>
        <c:axId val="770403608"/>
        <c:scaling>
          <c:orientation val="minMax"/>
        </c:scaling>
        <c:delete val="0"/>
        <c:axPos val="b"/>
        <c:title>
          <c:tx>
            <c:rich>
              <a:bodyPr/>
              <a:lstStyle/>
              <a:p>
                <a:pPr>
                  <a:defRPr/>
                </a:pPr>
                <a:r>
                  <a:rPr lang="en-US"/>
                  <a:t>Beta</a:t>
                </a:r>
              </a:p>
            </c:rich>
          </c:tx>
          <c:overlay val="0"/>
        </c:title>
        <c:numFmt formatCode="General" sourceLinked="1"/>
        <c:majorTickMark val="out"/>
        <c:minorTickMark val="none"/>
        <c:tickLblPos val="nextTo"/>
        <c:crossAx val="770398688"/>
        <c:crosses val="autoZero"/>
        <c:crossBetween val="midCat"/>
      </c:valAx>
      <c:valAx>
        <c:axId val="7703986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704036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Expected growth in EPS Line Fit  Plot</a:t>
            </a:r>
          </a:p>
        </c:rich>
      </c:tx>
      <c:overlay val="0"/>
    </c:title>
    <c:autoTitleDeleted val="0"/>
    <c:plotArea>
      <c:layout/>
      <c:scatterChart>
        <c:scatterStyle val="lineMarker"/>
        <c:varyColors val="0"/>
        <c:ser>
          <c:idx val="0"/>
          <c:order val="0"/>
          <c:tx>
            <c:v>P/E</c:v>
          </c:tx>
          <c:spPr>
            <a:ln w="19050">
              <a:noFill/>
            </a:ln>
          </c:spPr>
          <c:xVal>
            <c:numRef>
              <c:f>' PE'!$E$5:$E$15</c:f>
              <c:numCache>
                <c:formatCode>0.00%</c:formatCode>
                <c:ptCount val="11"/>
                <c:pt idx="0">
                  <c:v>0.16501650165016502</c:v>
                </c:pt>
                <c:pt idx="1">
                  <c:v>1.8320610687022919E-2</c:v>
                </c:pt>
                <c:pt idx="2">
                  <c:v>0.12220309810671257</c:v>
                </c:pt>
                <c:pt idx="3">
                  <c:v>0.40112994350282483</c:v>
                </c:pt>
                <c:pt idx="4">
                  <c:v>-0.10368066355624676</c:v>
                </c:pt>
                <c:pt idx="5">
                  <c:v>6.4516129032258049E-2</c:v>
                </c:pt>
                <c:pt idx="6">
                  <c:v>0.15555555555555564</c:v>
                </c:pt>
                <c:pt idx="7">
                  <c:v>0.48584905660377348</c:v>
                </c:pt>
                <c:pt idx="8">
                  <c:v>0.68032786885245888</c:v>
                </c:pt>
                <c:pt idx="9">
                  <c:v>0.52112676056338048</c:v>
                </c:pt>
                <c:pt idx="10">
                  <c:v>0.20788530465949823</c:v>
                </c:pt>
              </c:numCache>
            </c:numRef>
          </c:xVal>
          <c:yVal>
            <c:numRef>
              <c:f>' PE'!$C$5:$C$15</c:f>
              <c:numCache>
                <c:formatCode>0.0</c:formatCode>
                <c:ptCount val="11"/>
                <c:pt idx="0">
                  <c:v>15.2</c:v>
                </c:pt>
                <c:pt idx="1">
                  <c:v>14.7</c:v>
                </c:pt>
                <c:pt idx="2">
                  <c:v>20.3</c:v>
                </c:pt>
                <c:pt idx="3">
                  <c:v>10.3</c:v>
                </c:pt>
                <c:pt idx="4">
                  <c:v>17.8</c:v>
                </c:pt>
                <c:pt idx="5">
                  <c:v>17.5</c:v>
                </c:pt>
                <c:pt idx="6">
                  <c:v>16</c:v>
                </c:pt>
                <c:pt idx="7">
                  <c:v>13.8</c:v>
                </c:pt>
                <c:pt idx="8" formatCode="0.00">
                  <c:v>9.4499999999999993</c:v>
                </c:pt>
                <c:pt idx="9">
                  <c:v>13.9</c:v>
                </c:pt>
                <c:pt idx="10">
                  <c:v>18.399999999999999</c:v>
                </c:pt>
              </c:numCache>
            </c:numRef>
          </c:yVal>
          <c:smooth val="0"/>
          <c:extLst>
            <c:ext xmlns:c16="http://schemas.microsoft.com/office/drawing/2014/chart" uri="{C3380CC4-5D6E-409C-BE32-E72D297353CC}">
              <c16:uniqueId val="{00000001-B728-42BA-B484-9F2DA3424926}"/>
            </c:ext>
          </c:extLst>
        </c:ser>
        <c:ser>
          <c:idx val="1"/>
          <c:order val="1"/>
          <c:tx>
            <c:v>Predicted P/E</c:v>
          </c:tx>
          <c:spPr>
            <a:ln w="19050">
              <a:noFill/>
            </a:ln>
          </c:spPr>
          <c:xVal>
            <c:numRef>
              <c:f>' PE'!$E$5:$E$15</c:f>
              <c:numCache>
                <c:formatCode>0.00%</c:formatCode>
                <c:ptCount val="11"/>
                <c:pt idx="0">
                  <c:v>0.16501650165016502</c:v>
                </c:pt>
                <c:pt idx="1">
                  <c:v>1.8320610687022919E-2</c:v>
                </c:pt>
                <c:pt idx="2">
                  <c:v>0.12220309810671257</c:v>
                </c:pt>
                <c:pt idx="3">
                  <c:v>0.40112994350282483</c:v>
                </c:pt>
                <c:pt idx="4">
                  <c:v>-0.10368066355624676</c:v>
                </c:pt>
                <c:pt idx="5">
                  <c:v>6.4516129032258049E-2</c:v>
                </c:pt>
                <c:pt idx="6">
                  <c:v>0.15555555555555564</c:v>
                </c:pt>
                <c:pt idx="7">
                  <c:v>0.48584905660377348</c:v>
                </c:pt>
                <c:pt idx="8">
                  <c:v>0.68032786885245888</c:v>
                </c:pt>
                <c:pt idx="9">
                  <c:v>0.52112676056338048</c:v>
                </c:pt>
                <c:pt idx="10">
                  <c:v>0.20788530465949823</c:v>
                </c:pt>
              </c:numCache>
            </c:numRef>
          </c:xVal>
          <c:yVal>
            <c:numRef>
              <c:f>' PE'!$B$57:$B$67</c:f>
              <c:numCache>
                <c:formatCode>General</c:formatCode>
                <c:ptCount val="11"/>
                <c:pt idx="0">
                  <c:v>15.010441017454136</c:v>
                </c:pt>
                <c:pt idx="1">
                  <c:v>17.000134353410928</c:v>
                </c:pt>
                <c:pt idx="2">
                  <c:v>17.414831473975063</c:v>
                </c:pt>
                <c:pt idx="3">
                  <c:v>11.532915892740874</c:v>
                </c:pt>
                <c:pt idx="4">
                  <c:v>16.810915636112309</c:v>
                </c:pt>
                <c:pt idx="5">
                  <c:v>17.675491071861686</c:v>
                </c:pt>
                <c:pt idx="6">
                  <c:v>16.486473618195209</c:v>
                </c:pt>
                <c:pt idx="7">
                  <c:v>12.841642671031968</c:v>
                </c:pt>
                <c:pt idx="8">
                  <c:v>9.1015599754189989</c:v>
                </c:pt>
                <c:pt idx="9">
                  <c:v>14.269984964254949</c:v>
                </c:pt>
                <c:pt idx="10">
                  <c:v>19.20560932554389</c:v>
                </c:pt>
              </c:numCache>
            </c:numRef>
          </c:yVal>
          <c:smooth val="0"/>
          <c:extLst>
            <c:ext xmlns:c16="http://schemas.microsoft.com/office/drawing/2014/chart" uri="{C3380CC4-5D6E-409C-BE32-E72D297353CC}">
              <c16:uniqueId val="{00000002-B728-42BA-B484-9F2DA3424926}"/>
            </c:ext>
          </c:extLst>
        </c:ser>
        <c:dLbls>
          <c:showLegendKey val="0"/>
          <c:showVal val="0"/>
          <c:showCatName val="0"/>
          <c:showSerName val="0"/>
          <c:showPercent val="0"/>
          <c:showBubbleSize val="0"/>
        </c:dLbls>
        <c:axId val="770399016"/>
        <c:axId val="495408152"/>
      </c:scatterChart>
      <c:valAx>
        <c:axId val="770399016"/>
        <c:scaling>
          <c:orientation val="minMax"/>
        </c:scaling>
        <c:delete val="0"/>
        <c:axPos val="b"/>
        <c:title>
          <c:tx>
            <c:rich>
              <a:bodyPr/>
              <a:lstStyle/>
              <a:p>
                <a:pPr>
                  <a:defRPr/>
                </a:pPr>
                <a:r>
                  <a:rPr lang="en-US"/>
                  <a:t>Expected growth in EPS</a:t>
                </a:r>
              </a:p>
            </c:rich>
          </c:tx>
          <c:overlay val="0"/>
        </c:title>
        <c:numFmt formatCode="0.00%" sourceLinked="1"/>
        <c:majorTickMark val="out"/>
        <c:minorTickMark val="none"/>
        <c:tickLblPos val="nextTo"/>
        <c:crossAx val="495408152"/>
        <c:crosses val="autoZero"/>
        <c:crossBetween val="midCat"/>
      </c:valAx>
      <c:valAx>
        <c:axId val="495408152"/>
        <c:scaling>
          <c:orientation val="minMax"/>
        </c:scaling>
        <c:delete val="0"/>
        <c:axPos val="l"/>
        <c:title>
          <c:tx>
            <c:rich>
              <a:bodyPr/>
              <a:lstStyle/>
              <a:p>
                <a:pPr>
                  <a:defRPr/>
                </a:pPr>
                <a:r>
                  <a:rPr lang="en-US"/>
                  <a:t>P/E</a:t>
                </a:r>
              </a:p>
            </c:rich>
          </c:tx>
          <c:overlay val="0"/>
        </c:title>
        <c:numFmt formatCode="0.0" sourceLinked="1"/>
        <c:majorTickMark val="out"/>
        <c:minorTickMark val="none"/>
        <c:tickLblPos val="nextTo"/>
        <c:crossAx val="7703990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Beta Line Fit  Plot</a:t>
            </a:r>
          </a:p>
        </c:rich>
      </c:tx>
      <c:overlay val="0"/>
    </c:title>
    <c:autoTitleDeleted val="0"/>
    <c:plotArea>
      <c:layout/>
      <c:scatterChart>
        <c:scatterStyle val="lineMarker"/>
        <c:varyColors val="0"/>
        <c:ser>
          <c:idx val="0"/>
          <c:order val="0"/>
          <c:tx>
            <c:v>P/E</c:v>
          </c:tx>
          <c:spPr>
            <a:ln w="19050">
              <a:noFill/>
            </a:ln>
          </c:spPr>
          <c:xVal>
            <c:numRef>
              <c:f>' PE'!$F$5:$F$15</c:f>
              <c:numCache>
                <c:formatCode>General</c:formatCode>
                <c:ptCount val="11"/>
                <c:pt idx="0">
                  <c:v>1.48</c:v>
                </c:pt>
                <c:pt idx="1">
                  <c:v>1.21</c:v>
                </c:pt>
                <c:pt idx="2">
                  <c:v>1.1000000000000001</c:v>
                </c:pt>
                <c:pt idx="3">
                  <c:v>1.96</c:v>
                </c:pt>
                <c:pt idx="4">
                  <c:v>1.29</c:v>
                </c:pt>
                <c:pt idx="5">
                  <c:v>1.08</c:v>
                </c:pt>
                <c:pt idx="6">
                  <c:v>1.24</c:v>
                </c:pt>
                <c:pt idx="7">
                  <c:v>1.71</c:v>
                </c:pt>
                <c:pt idx="8">
                  <c:v>2.25</c:v>
                </c:pt>
                <c:pt idx="9">
                  <c:v>1.46</c:v>
                </c:pt>
                <c:pt idx="10">
                  <c:v>0.77</c:v>
                </c:pt>
              </c:numCache>
            </c:numRef>
          </c:xVal>
          <c:yVal>
            <c:numRef>
              <c:f>' PE'!$C$5:$C$15</c:f>
              <c:numCache>
                <c:formatCode>0.0</c:formatCode>
                <c:ptCount val="11"/>
                <c:pt idx="0">
                  <c:v>15.2</c:v>
                </c:pt>
                <c:pt idx="1">
                  <c:v>14.7</c:v>
                </c:pt>
                <c:pt idx="2">
                  <c:v>20.3</c:v>
                </c:pt>
                <c:pt idx="3">
                  <c:v>10.3</c:v>
                </c:pt>
                <c:pt idx="4">
                  <c:v>17.8</c:v>
                </c:pt>
                <c:pt idx="5">
                  <c:v>17.5</c:v>
                </c:pt>
                <c:pt idx="6">
                  <c:v>16</c:v>
                </c:pt>
                <c:pt idx="7">
                  <c:v>13.8</c:v>
                </c:pt>
                <c:pt idx="8" formatCode="0.00">
                  <c:v>9.4499999999999993</c:v>
                </c:pt>
                <c:pt idx="9">
                  <c:v>13.9</c:v>
                </c:pt>
                <c:pt idx="10">
                  <c:v>18.399999999999999</c:v>
                </c:pt>
              </c:numCache>
            </c:numRef>
          </c:yVal>
          <c:smooth val="0"/>
          <c:extLst>
            <c:ext xmlns:c16="http://schemas.microsoft.com/office/drawing/2014/chart" uri="{C3380CC4-5D6E-409C-BE32-E72D297353CC}">
              <c16:uniqueId val="{00000001-2955-4DC3-BE14-B794A0D33065}"/>
            </c:ext>
          </c:extLst>
        </c:ser>
        <c:ser>
          <c:idx val="1"/>
          <c:order val="1"/>
          <c:tx>
            <c:v>Predicted P/E</c:v>
          </c:tx>
          <c:spPr>
            <a:ln w="19050">
              <a:noFill/>
            </a:ln>
          </c:spPr>
          <c:xVal>
            <c:numRef>
              <c:f>' PE'!$F$5:$F$15</c:f>
              <c:numCache>
                <c:formatCode>General</c:formatCode>
                <c:ptCount val="11"/>
                <c:pt idx="0">
                  <c:v>1.48</c:v>
                </c:pt>
                <c:pt idx="1">
                  <c:v>1.21</c:v>
                </c:pt>
                <c:pt idx="2">
                  <c:v>1.1000000000000001</c:v>
                </c:pt>
                <c:pt idx="3">
                  <c:v>1.96</c:v>
                </c:pt>
                <c:pt idx="4">
                  <c:v>1.29</c:v>
                </c:pt>
                <c:pt idx="5">
                  <c:v>1.08</c:v>
                </c:pt>
                <c:pt idx="6">
                  <c:v>1.24</c:v>
                </c:pt>
                <c:pt idx="7">
                  <c:v>1.71</c:v>
                </c:pt>
                <c:pt idx="8">
                  <c:v>2.25</c:v>
                </c:pt>
                <c:pt idx="9">
                  <c:v>1.46</c:v>
                </c:pt>
                <c:pt idx="10">
                  <c:v>0.77</c:v>
                </c:pt>
              </c:numCache>
            </c:numRef>
          </c:xVal>
          <c:yVal>
            <c:numRef>
              <c:f>' PE'!$B$57:$B$67</c:f>
              <c:numCache>
                <c:formatCode>General</c:formatCode>
                <c:ptCount val="11"/>
                <c:pt idx="0">
                  <c:v>15.010441017454136</c:v>
                </c:pt>
                <c:pt idx="1">
                  <c:v>17.000134353410928</c:v>
                </c:pt>
                <c:pt idx="2">
                  <c:v>17.414831473975063</c:v>
                </c:pt>
                <c:pt idx="3">
                  <c:v>11.532915892740874</c:v>
                </c:pt>
                <c:pt idx="4">
                  <c:v>16.810915636112309</c:v>
                </c:pt>
                <c:pt idx="5">
                  <c:v>17.675491071861686</c:v>
                </c:pt>
                <c:pt idx="6">
                  <c:v>16.486473618195209</c:v>
                </c:pt>
                <c:pt idx="7">
                  <c:v>12.841642671031968</c:v>
                </c:pt>
                <c:pt idx="8">
                  <c:v>9.1015599754189989</c:v>
                </c:pt>
                <c:pt idx="9">
                  <c:v>14.269984964254949</c:v>
                </c:pt>
                <c:pt idx="10">
                  <c:v>19.20560932554389</c:v>
                </c:pt>
              </c:numCache>
            </c:numRef>
          </c:yVal>
          <c:smooth val="0"/>
          <c:extLst>
            <c:ext xmlns:c16="http://schemas.microsoft.com/office/drawing/2014/chart" uri="{C3380CC4-5D6E-409C-BE32-E72D297353CC}">
              <c16:uniqueId val="{00000002-2955-4DC3-BE14-B794A0D33065}"/>
            </c:ext>
          </c:extLst>
        </c:ser>
        <c:dLbls>
          <c:showLegendKey val="0"/>
          <c:showVal val="0"/>
          <c:showCatName val="0"/>
          <c:showSerName val="0"/>
          <c:showPercent val="0"/>
          <c:showBubbleSize val="0"/>
        </c:dLbls>
        <c:axId val="495339680"/>
        <c:axId val="495338040"/>
      </c:scatterChart>
      <c:valAx>
        <c:axId val="495339680"/>
        <c:scaling>
          <c:orientation val="minMax"/>
        </c:scaling>
        <c:delete val="0"/>
        <c:axPos val="b"/>
        <c:title>
          <c:tx>
            <c:rich>
              <a:bodyPr/>
              <a:lstStyle/>
              <a:p>
                <a:pPr>
                  <a:defRPr/>
                </a:pPr>
                <a:r>
                  <a:rPr lang="en-US"/>
                  <a:t>Beta</a:t>
                </a:r>
              </a:p>
            </c:rich>
          </c:tx>
          <c:overlay val="0"/>
        </c:title>
        <c:numFmt formatCode="General" sourceLinked="1"/>
        <c:majorTickMark val="out"/>
        <c:minorTickMark val="none"/>
        <c:tickLblPos val="nextTo"/>
        <c:crossAx val="495338040"/>
        <c:crosses val="autoZero"/>
        <c:crossBetween val="midCat"/>
      </c:valAx>
      <c:valAx>
        <c:axId val="495338040"/>
        <c:scaling>
          <c:orientation val="minMax"/>
        </c:scaling>
        <c:delete val="0"/>
        <c:axPos val="l"/>
        <c:title>
          <c:tx>
            <c:rich>
              <a:bodyPr/>
              <a:lstStyle/>
              <a:p>
                <a:pPr>
                  <a:defRPr/>
                </a:pPr>
                <a:r>
                  <a:rPr lang="en-US"/>
                  <a:t>P/E</a:t>
                </a:r>
              </a:p>
            </c:rich>
          </c:tx>
          <c:overlay val="0"/>
        </c:title>
        <c:numFmt formatCode="0.0" sourceLinked="1"/>
        <c:majorTickMark val="out"/>
        <c:minorTickMark val="none"/>
        <c:tickLblPos val="nextTo"/>
        <c:crossAx val="4953396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 PE'!$F$57:$F$67</c:f>
              <c:numCache>
                <c:formatCode>General</c:formatCode>
                <c:ptCount val="11"/>
                <c:pt idx="0">
                  <c:v>4.5454545454545459</c:v>
                </c:pt>
                <c:pt idx="1">
                  <c:v>13.636363636363637</c:v>
                </c:pt>
                <c:pt idx="2">
                  <c:v>22.72727272727273</c:v>
                </c:pt>
                <c:pt idx="3">
                  <c:v>31.81818181818182</c:v>
                </c:pt>
                <c:pt idx="4">
                  <c:v>40.909090909090914</c:v>
                </c:pt>
                <c:pt idx="5">
                  <c:v>50.000000000000007</c:v>
                </c:pt>
                <c:pt idx="6">
                  <c:v>59.090909090909093</c:v>
                </c:pt>
                <c:pt idx="7">
                  <c:v>68.181818181818187</c:v>
                </c:pt>
                <c:pt idx="8">
                  <c:v>77.27272727272728</c:v>
                </c:pt>
                <c:pt idx="9">
                  <c:v>86.363636363636374</c:v>
                </c:pt>
                <c:pt idx="10">
                  <c:v>95.454545454545467</c:v>
                </c:pt>
              </c:numCache>
            </c:numRef>
          </c:xVal>
          <c:yVal>
            <c:numRef>
              <c:f>' PE'!$G$57:$G$67</c:f>
              <c:numCache>
                <c:formatCode>General</c:formatCode>
                <c:ptCount val="11"/>
                <c:pt idx="0">
                  <c:v>9.4499999999999993</c:v>
                </c:pt>
                <c:pt idx="1">
                  <c:v>10.3</c:v>
                </c:pt>
                <c:pt idx="2">
                  <c:v>13.8</c:v>
                </c:pt>
                <c:pt idx="3">
                  <c:v>13.9</c:v>
                </c:pt>
                <c:pt idx="4">
                  <c:v>14.7</c:v>
                </c:pt>
                <c:pt idx="5">
                  <c:v>15.2</c:v>
                </c:pt>
                <c:pt idx="6">
                  <c:v>16</c:v>
                </c:pt>
                <c:pt idx="7">
                  <c:v>17.5</c:v>
                </c:pt>
                <c:pt idx="8">
                  <c:v>17.8</c:v>
                </c:pt>
                <c:pt idx="9">
                  <c:v>18.399999999999999</c:v>
                </c:pt>
                <c:pt idx="10">
                  <c:v>20.3</c:v>
                </c:pt>
              </c:numCache>
            </c:numRef>
          </c:yVal>
          <c:smooth val="0"/>
          <c:extLst>
            <c:ext xmlns:c16="http://schemas.microsoft.com/office/drawing/2014/chart" uri="{C3380CC4-5D6E-409C-BE32-E72D297353CC}">
              <c16:uniqueId val="{00000001-B4EE-4A77-A899-0FDD4EEF4D33}"/>
            </c:ext>
          </c:extLst>
        </c:ser>
        <c:dLbls>
          <c:showLegendKey val="0"/>
          <c:showVal val="0"/>
          <c:showCatName val="0"/>
          <c:showSerName val="0"/>
          <c:showPercent val="0"/>
          <c:showBubbleSize val="0"/>
        </c:dLbls>
        <c:axId val="493489072"/>
        <c:axId val="493486120"/>
      </c:scatterChart>
      <c:valAx>
        <c:axId val="49348907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93486120"/>
        <c:crosses val="autoZero"/>
        <c:crossBetween val="midCat"/>
      </c:valAx>
      <c:valAx>
        <c:axId val="493486120"/>
        <c:scaling>
          <c:orientation val="minMax"/>
        </c:scaling>
        <c:delete val="0"/>
        <c:axPos val="l"/>
        <c:title>
          <c:tx>
            <c:rich>
              <a:bodyPr/>
              <a:lstStyle/>
              <a:p>
                <a:pPr>
                  <a:defRPr/>
                </a:pPr>
                <a:r>
                  <a:rPr lang="en-US"/>
                  <a:t>P/E</a:t>
                </a:r>
              </a:p>
            </c:rich>
          </c:tx>
          <c:overlay val="0"/>
        </c:title>
        <c:numFmt formatCode="General" sourceLinked="1"/>
        <c:majorTickMark val="out"/>
        <c:minorTickMark val="none"/>
        <c:tickLblPos val="nextTo"/>
        <c:crossAx val="4934890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 PE'!$F$4</c:f>
              <c:strCache>
                <c:ptCount val="1"/>
                <c:pt idx="0">
                  <c:v>Beta</c:v>
                </c:pt>
              </c:strCache>
            </c:strRef>
          </c:tx>
          <c:spPr>
            <a:ln w="19050" cap="rnd">
              <a:noFill/>
              <a:round/>
            </a:ln>
            <a:effectLst/>
          </c:spPr>
          <c:marker>
            <c:symbol val="circle"/>
            <c:size val="5"/>
            <c:spPr>
              <a:solidFill>
                <a:schemeClr val="accent1"/>
              </a:solidFill>
              <a:ln w="9525">
                <a:solidFill>
                  <a:schemeClr val="accent1"/>
                </a:solidFill>
              </a:ln>
              <a:effectLst/>
            </c:spPr>
          </c:marker>
          <c:xVal>
            <c:numRef>
              <c:f>' PE'!$C$5:$C$15</c:f>
              <c:numCache>
                <c:formatCode>0.0</c:formatCode>
                <c:ptCount val="11"/>
                <c:pt idx="0">
                  <c:v>15.2</c:v>
                </c:pt>
                <c:pt idx="1">
                  <c:v>14.7</c:v>
                </c:pt>
                <c:pt idx="2">
                  <c:v>20.3</c:v>
                </c:pt>
                <c:pt idx="3">
                  <c:v>10.3</c:v>
                </c:pt>
                <c:pt idx="4">
                  <c:v>17.8</c:v>
                </c:pt>
                <c:pt idx="5">
                  <c:v>17.5</c:v>
                </c:pt>
                <c:pt idx="6">
                  <c:v>16</c:v>
                </c:pt>
                <c:pt idx="7">
                  <c:v>13.8</c:v>
                </c:pt>
                <c:pt idx="8" formatCode="0.00">
                  <c:v>9.4499999999999993</c:v>
                </c:pt>
                <c:pt idx="9">
                  <c:v>13.9</c:v>
                </c:pt>
                <c:pt idx="10">
                  <c:v>18.399999999999999</c:v>
                </c:pt>
              </c:numCache>
            </c:numRef>
          </c:xVal>
          <c:yVal>
            <c:numRef>
              <c:f>' PE'!$F$5:$F$15</c:f>
              <c:numCache>
                <c:formatCode>General</c:formatCode>
                <c:ptCount val="11"/>
                <c:pt idx="0">
                  <c:v>1.48</c:v>
                </c:pt>
                <c:pt idx="1">
                  <c:v>1.21</c:v>
                </c:pt>
                <c:pt idx="2">
                  <c:v>1.1000000000000001</c:v>
                </c:pt>
                <c:pt idx="3">
                  <c:v>1.96</c:v>
                </c:pt>
                <c:pt idx="4">
                  <c:v>1.29</c:v>
                </c:pt>
                <c:pt idx="5">
                  <c:v>1.08</c:v>
                </c:pt>
                <c:pt idx="6">
                  <c:v>1.24</c:v>
                </c:pt>
                <c:pt idx="7">
                  <c:v>1.71</c:v>
                </c:pt>
                <c:pt idx="8">
                  <c:v>2.25</c:v>
                </c:pt>
                <c:pt idx="9">
                  <c:v>1.46</c:v>
                </c:pt>
                <c:pt idx="10">
                  <c:v>0.77</c:v>
                </c:pt>
              </c:numCache>
            </c:numRef>
          </c:yVal>
          <c:smooth val="0"/>
          <c:extLst>
            <c:ext xmlns:c16="http://schemas.microsoft.com/office/drawing/2014/chart" uri="{C3380CC4-5D6E-409C-BE32-E72D297353CC}">
              <c16:uniqueId val="{00000000-1572-4A38-966F-117B1A33C0EC}"/>
            </c:ext>
          </c:extLst>
        </c:ser>
        <c:dLbls>
          <c:showLegendKey val="0"/>
          <c:showVal val="0"/>
          <c:showCatName val="0"/>
          <c:showSerName val="0"/>
          <c:showPercent val="0"/>
          <c:showBubbleSize val="0"/>
        </c:dLbls>
        <c:axId val="751834544"/>
        <c:axId val="751837496"/>
      </c:scatterChart>
      <c:valAx>
        <c:axId val="75183454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837496"/>
        <c:crosses val="autoZero"/>
        <c:crossBetween val="midCat"/>
      </c:valAx>
      <c:valAx>
        <c:axId val="751837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83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Changes in Working Capital</a:t>
            </a:r>
            <a:r>
              <a:rPr lang="en-US"/>
              <a:t>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8FD0CEDC-532C-4CF6-94EF-DF34CFB1E558}">
          <cx:tx>
            <cx:txData>
              <cx:f>_xlchart.v1.0</cx:f>
              <cx:v>Changes in Working Capital</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7.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1.xml"/><Relationship Id="rId1" Type="http://schemas.openxmlformats.org/officeDocument/2006/relationships/chart" Target="../charts/chart30.xml"/><Relationship Id="rId4" Type="http://schemas.openxmlformats.org/officeDocument/2006/relationships/chart" Target="../charts/chart3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3</xdr:col>
      <xdr:colOff>727982</xdr:colOff>
      <xdr:row>30</xdr:row>
      <xdr:rowOff>122474</xdr:rowOff>
    </xdr:from>
    <xdr:to>
      <xdr:col>5</xdr:col>
      <xdr:colOff>1353911</xdr:colOff>
      <xdr:row>44</xdr:row>
      <xdr:rowOff>130638</xdr:rowOff>
    </xdr:to>
    <xdr:graphicFrame macro="">
      <xdr:nvGraphicFramePr>
        <xdr:cNvPr id="2" name="Chart 1">
          <a:extLst>
            <a:ext uri="{FF2B5EF4-FFF2-40B4-BE49-F238E27FC236}">
              <a16:creationId xmlns:a16="http://schemas.microsoft.com/office/drawing/2014/main" id="{31DCCFF6-90FE-4A3A-8EC1-328116546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599912</xdr:colOff>
      <xdr:row>31</xdr:row>
      <xdr:rowOff>145684</xdr:rowOff>
    </xdr:from>
    <xdr:to>
      <xdr:col>5</xdr:col>
      <xdr:colOff>1884988</xdr:colOff>
      <xdr:row>61</xdr:row>
      <xdr:rowOff>8003</xdr:rowOff>
    </xdr:to>
    <xdr:graphicFrame macro="">
      <xdr:nvGraphicFramePr>
        <xdr:cNvPr id="3" name="Chart 2">
          <a:extLst>
            <a:ext uri="{FF2B5EF4-FFF2-40B4-BE49-F238E27FC236}">
              <a16:creationId xmlns:a16="http://schemas.microsoft.com/office/drawing/2014/main" id="{38E04FCD-5D75-4EB3-9AEC-BB1A35E7A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1030941</xdr:colOff>
      <xdr:row>30</xdr:row>
      <xdr:rowOff>33618</xdr:rowOff>
    </xdr:from>
    <xdr:to>
      <xdr:col>10</xdr:col>
      <xdr:colOff>1909802</xdr:colOff>
      <xdr:row>59</xdr:row>
      <xdr:rowOff>24893</xdr:rowOff>
    </xdr:to>
    <xdr:graphicFrame macro="">
      <xdr:nvGraphicFramePr>
        <xdr:cNvPr id="4" name="Chart 3">
          <a:extLst>
            <a:ext uri="{FF2B5EF4-FFF2-40B4-BE49-F238E27FC236}">
              <a16:creationId xmlns:a16="http://schemas.microsoft.com/office/drawing/2014/main" id="{C9C7ABC5-83B5-42BD-9775-689235A38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37550</xdr:colOff>
      <xdr:row>18</xdr:row>
      <xdr:rowOff>89296</xdr:rowOff>
    </xdr:from>
    <xdr:to>
      <xdr:col>3</xdr:col>
      <xdr:colOff>1430040</xdr:colOff>
      <xdr:row>25</xdr:row>
      <xdr:rowOff>129981</xdr:rowOff>
    </xdr:to>
    <xdr:pic>
      <xdr:nvPicPr>
        <xdr:cNvPr id="2" name="Picture 1">
          <a:extLst>
            <a:ext uri="{FF2B5EF4-FFF2-40B4-BE49-F238E27FC236}">
              <a16:creationId xmlns:a16="http://schemas.microsoft.com/office/drawing/2014/main" id="{4B1A3184-C8AC-46DF-9D43-B1D40826D538}"/>
            </a:ext>
          </a:extLst>
        </xdr:cNvPr>
        <xdr:cNvPicPr>
          <a:picLocks noChangeAspect="1"/>
        </xdr:cNvPicPr>
      </xdr:nvPicPr>
      <xdr:blipFill>
        <a:blip xmlns:r="http://schemas.openxmlformats.org/officeDocument/2006/relationships" r:embed="rId1"/>
        <a:stretch>
          <a:fillRect/>
        </a:stretch>
      </xdr:blipFill>
      <xdr:spPr>
        <a:xfrm>
          <a:off x="37550" y="3891969"/>
          <a:ext cx="4652971" cy="14254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356153</xdr:colOff>
      <xdr:row>4</xdr:row>
      <xdr:rowOff>41414</xdr:rowOff>
    </xdr:from>
    <xdr:to>
      <xdr:col>1</xdr:col>
      <xdr:colOff>496543</xdr:colOff>
      <xdr:row>9</xdr:row>
      <xdr:rowOff>79514</xdr:rowOff>
    </xdr:to>
    <xdr:pic>
      <xdr:nvPicPr>
        <xdr:cNvPr id="3" name="Picture 2" descr="H-Model Formula">
          <a:extLst>
            <a:ext uri="{FF2B5EF4-FFF2-40B4-BE49-F238E27FC236}">
              <a16:creationId xmlns:a16="http://schemas.microsoft.com/office/drawing/2014/main" id="{E7343421-A0DC-472B-863A-FE76BA16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6153" y="1051892"/>
          <a:ext cx="2857086" cy="1032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82827</xdr:colOff>
      <xdr:row>7</xdr:row>
      <xdr:rowOff>99391</xdr:rowOff>
    </xdr:from>
    <xdr:to>
      <xdr:col>11</xdr:col>
      <xdr:colOff>618023</xdr:colOff>
      <xdr:row>14</xdr:row>
      <xdr:rowOff>51125</xdr:rowOff>
    </xdr:to>
    <xdr:pic>
      <xdr:nvPicPr>
        <xdr:cNvPr id="2" name="Picture 1">
          <a:extLst>
            <a:ext uri="{FF2B5EF4-FFF2-40B4-BE49-F238E27FC236}">
              <a16:creationId xmlns:a16="http://schemas.microsoft.com/office/drawing/2014/main" id="{6F65CB81-F54A-48BC-A14F-71F72641EF56}"/>
            </a:ext>
          </a:extLst>
        </xdr:cNvPr>
        <xdr:cNvPicPr>
          <a:picLocks noChangeAspect="1"/>
        </xdr:cNvPicPr>
      </xdr:nvPicPr>
      <xdr:blipFill>
        <a:blip xmlns:r="http://schemas.openxmlformats.org/officeDocument/2006/relationships" r:embed="rId1"/>
        <a:stretch>
          <a:fillRect/>
        </a:stretch>
      </xdr:blipFill>
      <xdr:spPr>
        <a:xfrm>
          <a:off x="5830957" y="1706217"/>
          <a:ext cx="3972479" cy="13432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678760</xdr:colOff>
      <xdr:row>20</xdr:row>
      <xdr:rowOff>184702</xdr:rowOff>
    </xdr:from>
    <xdr:to>
      <xdr:col>15</xdr:col>
      <xdr:colOff>678760</xdr:colOff>
      <xdr:row>30</xdr:row>
      <xdr:rowOff>192985</xdr:rowOff>
    </xdr:to>
    <xdr:graphicFrame macro="">
      <xdr:nvGraphicFramePr>
        <xdr:cNvPr id="24" name="Chart 23">
          <a:extLst>
            <a:ext uri="{FF2B5EF4-FFF2-40B4-BE49-F238E27FC236}">
              <a16:creationId xmlns:a16="http://schemas.microsoft.com/office/drawing/2014/main" id="{EFBF66FA-4097-44AC-B868-8C86B7BB9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33</xdr:row>
      <xdr:rowOff>19050</xdr:rowOff>
    </xdr:from>
    <xdr:to>
      <xdr:col>16</xdr:col>
      <xdr:colOff>314325</xdr:colOff>
      <xdr:row>43</xdr:row>
      <xdr:rowOff>19050</xdr:rowOff>
    </xdr:to>
    <xdr:graphicFrame macro="">
      <xdr:nvGraphicFramePr>
        <xdr:cNvPr id="25" name="Chart 24">
          <a:extLst>
            <a:ext uri="{FF2B5EF4-FFF2-40B4-BE49-F238E27FC236}">
              <a16:creationId xmlns:a16="http://schemas.microsoft.com/office/drawing/2014/main" id="{FB46D553-DF90-4151-8ABE-5B6BA6BD3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314325</xdr:colOff>
      <xdr:row>35</xdr:row>
      <xdr:rowOff>19050</xdr:rowOff>
    </xdr:from>
    <xdr:to>
      <xdr:col>17</xdr:col>
      <xdr:colOff>314325</xdr:colOff>
      <xdr:row>45</xdr:row>
      <xdr:rowOff>9525</xdr:rowOff>
    </xdr:to>
    <xdr:graphicFrame macro="">
      <xdr:nvGraphicFramePr>
        <xdr:cNvPr id="26" name="Chart 25">
          <a:extLst>
            <a:ext uri="{FF2B5EF4-FFF2-40B4-BE49-F238E27FC236}">
              <a16:creationId xmlns:a16="http://schemas.microsoft.com/office/drawing/2014/main" id="{29315666-025B-4AC3-916C-8161AA8E6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314325</xdr:colOff>
      <xdr:row>37</xdr:row>
      <xdr:rowOff>19050</xdr:rowOff>
    </xdr:from>
    <xdr:to>
      <xdr:col>18</xdr:col>
      <xdr:colOff>314325</xdr:colOff>
      <xdr:row>47</xdr:row>
      <xdr:rowOff>19050</xdr:rowOff>
    </xdr:to>
    <xdr:graphicFrame macro="">
      <xdr:nvGraphicFramePr>
        <xdr:cNvPr id="27" name="Chart 26">
          <a:extLst>
            <a:ext uri="{FF2B5EF4-FFF2-40B4-BE49-F238E27FC236}">
              <a16:creationId xmlns:a16="http://schemas.microsoft.com/office/drawing/2014/main" id="{F0CCFAB7-DA0B-42D2-B51B-5B8C160A7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314325</xdr:colOff>
      <xdr:row>39</xdr:row>
      <xdr:rowOff>19050</xdr:rowOff>
    </xdr:from>
    <xdr:to>
      <xdr:col>19</xdr:col>
      <xdr:colOff>314325</xdr:colOff>
      <xdr:row>49</xdr:row>
      <xdr:rowOff>9525</xdr:rowOff>
    </xdr:to>
    <xdr:graphicFrame macro="">
      <xdr:nvGraphicFramePr>
        <xdr:cNvPr id="28" name="Chart 27">
          <a:extLst>
            <a:ext uri="{FF2B5EF4-FFF2-40B4-BE49-F238E27FC236}">
              <a16:creationId xmlns:a16="http://schemas.microsoft.com/office/drawing/2014/main" id="{BAF11536-5B8A-4CC2-BA5D-C2B677E32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596347</xdr:colOff>
      <xdr:row>21</xdr:row>
      <xdr:rowOff>156541</xdr:rowOff>
    </xdr:from>
    <xdr:to>
      <xdr:col>12</xdr:col>
      <xdr:colOff>8282</xdr:colOff>
      <xdr:row>35</xdr:row>
      <xdr:rowOff>91936</xdr:rowOff>
    </xdr:to>
    <xdr:graphicFrame macro="">
      <xdr:nvGraphicFramePr>
        <xdr:cNvPr id="2" name="Chart 1">
          <a:extLst>
            <a:ext uri="{FF2B5EF4-FFF2-40B4-BE49-F238E27FC236}">
              <a16:creationId xmlns:a16="http://schemas.microsoft.com/office/drawing/2014/main" id="{2075C213-1664-4EAA-98B8-51B86A36F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2932044</xdr:colOff>
      <xdr:row>20</xdr:row>
      <xdr:rowOff>90280</xdr:rowOff>
    </xdr:from>
    <xdr:to>
      <xdr:col>9</xdr:col>
      <xdr:colOff>712305</xdr:colOff>
      <xdr:row>34</xdr:row>
      <xdr:rowOff>42241</xdr:rowOff>
    </xdr:to>
    <xdr:graphicFrame macro="">
      <xdr:nvGraphicFramePr>
        <xdr:cNvPr id="3" name="Chart 2">
          <a:extLst>
            <a:ext uri="{FF2B5EF4-FFF2-40B4-BE49-F238E27FC236}">
              <a16:creationId xmlns:a16="http://schemas.microsoft.com/office/drawing/2014/main" id="{80197D56-1F6D-424B-B14A-AA7D4E8D6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361950</xdr:colOff>
      <xdr:row>1</xdr:row>
      <xdr:rowOff>93009</xdr:rowOff>
    </xdr:from>
    <xdr:to>
      <xdr:col>11</xdr:col>
      <xdr:colOff>644338</xdr:colOff>
      <xdr:row>14</xdr:row>
      <xdr:rowOff>132790</xdr:rowOff>
    </xdr:to>
    <xdr:graphicFrame macro="">
      <xdr:nvGraphicFramePr>
        <xdr:cNvPr id="13" name="Chart 12">
          <a:extLst>
            <a:ext uri="{FF2B5EF4-FFF2-40B4-BE49-F238E27FC236}">
              <a16:creationId xmlns:a16="http://schemas.microsoft.com/office/drawing/2014/main" id="{B0956D98-4909-4C96-A7B6-7F9A62095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466725</xdr:colOff>
      <xdr:row>16</xdr:row>
      <xdr:rowOff>104775</xdr:rowOff>
    </xdr:from>
    <xdr:to>
      <xdr:col>17</xdr:col>
      <xdr:colOff>466725</xdr:colOff>
      <xdr:row>26</xdr:row>
      <xdr:rowOff>123825</xdr:rowOff>
    </xdr:to>
    <xdr:graphicFrame macro="">
      <xdr:nvGraphicFramePr>
        <xdr:cNvPr id="2" name="Chart 1">
          <a:extLst>
            <a:ext uri="{FF2B5EF4-FFF2-40B4-BE49-F238E27FC236}">
              <a16:creationId xmlns:a16="http://schemas.microsoft.com/office/drawing/2014/main" id="{4ADF1318-9D3B-4255-992C-3A880022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11</xdr:row>
      <xdr:rowOff>114300</xdr:rowOff>
    </xdr:from>
    <xdr:to>
      <xdr:col>18</xdr:col>
      <xdr:colOff>28575</xdr:colOff>
      <xdr:row>21</xdr:row>
      <xdr:rowOff>133350</xdr:rowOff>
    </xdr:to>
    <xdr:graphicFrame macro="">
      <xdr:nvGraphicFramePr>
        <xdr:cNvPr id="3" name="Chart 2">
          <a:extLst>
            <a:ext uri="{FF2B5EF4-FFF2-40B4-BE49-F238E27FC236}">
              <a16:creationId xmlns:a16="http://schemas.microsoft.com/office/drawing/2014/main" id="{3908EE8D-96AB-45C8-BA80-516B221AD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200025</xdr:colOff>
      <xdr:row>21</xdr:row>
      <xdr:rowOff>161925</xdr:rowOff>
    </xdr:from>
    <xdr:to>
      <xdr:col>19</xdr:col>
      <xdr:colOff>200025</xdr:colOff>
      <xdr:row>31</xdr:row>
      <xdr:rowOff>171450</xdr:rowOff>
    </xdr:to>
    <xdr:graphicFrame macro="">
      <xdr:nvGraphicFramePr>
        <xdr:cNvPr id="4" name="Chart 3">
          <a:extLst>
            <a:ext uri="{FF2B5EF4-FFF2-40B4-BE49-F238E27FC236}">
              <a16:creationId xmlns:a16="http://schemas.microsoft.com/office/drawing/2014/main" id="{FD1DE199-43A4-47F7-ADD7-16F23F48C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212035</xdr:colOff>
      <xdr:row>14</xdr:row>
      <xdr:rowOff>59636</xdr:rowOff>
    </xdr:from>
    <xdr:to>
      <xdr:col>16</xdr:col>
      <xdr:colOff>660124</xdr:colOff>
      <xdr:row>28</xdr:row>
      <xdr:rowOff>12839</xdr:rowOff>
    </xdr:to>
    <xdr:graphicFrame macro="">
      <xdr:nvGraphicFramePr>
        <xdr:cNvPr id="5" name="Chart 4">
          <a:extLst>
            <a:ext uri="{FF2B5EF4-FFF2-40B4-BE49-F238E27FC236}">
              <a16:creationId xmlns:a16="http://schemas.microsoft.com/office/drawing/2014/main" id="{E5995878-19C7-4EED-A2C2-B2A689BF8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933450</xdr:colOff>
      <xdr:row>11</xdr:row>
      <xdr:rowOff>323850</xdr:rowOff>
    </xdr:from>
    <xdr:to>
      <xdr:col>4</xdr:col>
      <xdr:colOff>561975</xdr:colOff>
      <xdr:row>24</xdr:row>
      <xdr:rowOff>19050</xdr:rowOff>
    </xdr:to>
    <xdr:graphicFrame macro="">
      <xdr:nvGraphicFramePr>
        <xdr:cNvPr id="2" name="Chart 1">
          <a:extLst>
            <a:ext uri="{FF2B5EF4-FFF2-40B4-BE49-F238E27FC236}">
              <a16:creationId xmlns:a16="http://schemas.microsoft.com/office/drawing/2014/main" id="{9560B455-36F6-425F-AF34-AD4A2E747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666750</xdr:colOff>
      <xdr:row>16</xdr:row>
      <xdr:rowOff>76200</xdr:rowOff>
    </xdr:from>
    <xdr:to>
      <xdr:col>6</xdr:col>
      <xdr:colOff>2066925</xdr:colOff>
      <xdr:row>30</xdr:row>
      <xdr:rowOff>152400</xdr:rowOff>
    </xdr:to>
    <xdr:graphicFrame macro="">
      <xdr:nvGraphicFramePr>
        <xdr:cNvPr id="3" name="Chart 2">
          <a:extLst>
            <a:ext uri="{FF2B5EF4-FFF2-40B4-BE49-F238E27FC236}">
              <a16:creationId xmlns:a16="http://schemas.microsoft.com/office/drawing/2014/main" id="{A91F664F-0634-41C9-B4CA-0B0A2BAA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2066925</xdr:colOff>
      <xdr:row>16</xdr:row>
      <xdr:rowOff>85725</xdr:rowOff>
    </xdr:from>
    <xdr:to>
      <xdr:col>8</xdr:col>
      <xdr:colOff>895350</xdr:colOff>
      <xdr:row>30</xdr:row>
      <xdr:rowOff>161925</xdr:rowOff>
    </xdr:to>
    <xdr:graphicFrame macro="">
      <xdr:nvGraphicFramePr>
        <xdr:cNvPr id="4" name="Chart 3">
          <a:extLst>
            <a:ext uri="{FF2B5EF4-FFF2-40B4-BE49-F238E27FC236}">
              <a16:creationId xmlns:a16="http://schemas.microsoft.com/office/drawing/2014/main" id="{FAA8D87A-D25D-4F2D-9ED5-4A7972EF7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895350</xdr:colOff>
      <xdr:row>16</xdr:row>
      <xdr:rowOff>85725</xdr:rowOff>
    </xdr:from>
    <xdr:to>
      <xdr:col>13</xdr:col>
      <xdr:colOff>638175</xdr:colOff>
      <xdr:row>30</xdr:row>
      <xdr:rowOff>161925</xdr:rowOff>
    </xdr:to>
    <xdr:graphicFrame macro="">
      <xdr:nvGraphicFramePr>
        <xdr:cNvPr id="5" name="Chart 4">
          <a:extLst>
            <a:ext uri="{FF2B5EF4-FFF2-40B4-BE49-F238E27FC236}">
              <a16:creationId xmlns:a16="http://schemas.microsoft.com/office/drawing/2014/main" id="{F22B466B-B442-4C9B-8CEC-9BE91A625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2071687</xdr:colOff>
      <xdr:row>19</xdr:row>
      <xdr:rowOff>114306</xdr:rowOff>
    </xdr:from>
    <xdr:to>
      <xdr:col>16</xdr:col>
      <xdr:colOff>1214437</xdr:colOff>
      <xdr:row>34</xdr:row>
      <xdr:rowOff>6</xdr:rowOff>
    </xdr:to>
    <xdr:graphicFrame macro="">
      <xdr:nvGraphicFramePr>
        <xdr:cNvPr id="6" name="Chart 5">
          <a:extLst>
            <a:ext uri="{FF2B5EF4-FFF2-40B4-BE49-F238E27FC236}">
              <a16:creationId xmlns:a16="http://schemas.microsoft.com/office/drawing/2014/main" id="{D19844A5-189F-4C82-8546-7C07C227F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366712</xdr:colOff>
      <xdr:row>20</xdr:row>
      <xdr:rowOff>161931</xdr:rowOff>
    </xdr:from>
    <xdr:to>
      <xdr:col>14</xdr:col>
      <xdr:colOff>1557337</xdr:colOff>
      <xdr:row>35</xdr:row>
      <xdr:rowOff>47631</xdr:rowOff>
    </xdr:to>
    <xdr:graphicFrame macro="">
      <xdr:nvGraphicFramePr>
        <xdr:cNvPr id="7" name="Chart 6">
          <a:extLst>
            <a:ext uri="{FF2B5EF4-FFF2-40B4-BE49-F238E27FC236}">
              <a16:creationId xmlns:a16="http://schemas.microsoft.com/office/drawing/2014/main" id="{BF8EF091-3844-438C-ABD4-9EBECC1D6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1847856</xdr:colOff>
      <xdr:row>16</xdr:row>
      <xdr:rowOff>85731</xdr:rowOff>
    </xdr:from>
    <xdr:to>
      <xdr:col>29</xdr:col>
      <xdr:colOff>561981</xdr:colOff>
      <xdr:row>30</xdr:row>
      <xdr:rowOff>161931</xdr:rowOff>
    </xdr:to>
    <xdr:graphicFrame macro="">
      <xdr:nvGraphicFramePr>
        <xdr:cNvPr id="10" name="Chart 9">
          <a:extLst>
            <a:ext uri="{FF2B5EF4-FFF2-40B4-BE49-F238E27FC236}">
              <a16:creationId xmlns:a16="http://schemas.microsoft.com/office/drawing/2014/main" id="{3809DB81-7D34-4AF7-AC60-F440F8939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152400</xdr:colOff>
      <xdr:row>15</xdr:row>
      <xdr:rowOff>171456</xdr:rowOff>
    </xdr:from>
    <xdr:to>
      <xdr:col>32</xdr:col>
      <xdr:colOff>819150</xdr:colOff>
      <xdr:row>30</xdr:row>
      <xdr:rowOff>57156</xdr:rowOff>
    </xdr:to>
    <xdr:graphicFrame macro="">
      <xdr:nvGraphicFramePr>
        <xdr:cNvPr id="11" name="Chart 10">
          <a:extLst>
            <a:ext uri="{FF2B5EF4-FFF2-40B4-BE49-F238E27FC236}">
              <a16:creationId xmlns:a16="http://schemas.microsoft.com/office/drawing/2014/main" id="{977836E2-1959-45C2-B079-3BAE76558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18</xdr:row>
      <xdr:rowOff>152406</xdr:rowOff>
    </xdr:from>
    <xdr:to>
      <xdr:col>3</xdr:col>
      <xdr:colOff>685800</xdr:colOff>
      <xdr:row>33</xdr:row>
      <xdr:rowOff>38106</xdr:rowOff>
    </xdr:to>
    <xdr:graphicFrame macro="">
      <xdr:nvGraphicFramePr>
        <xdr:cNvPr id="15" name="Chart 14">
          <a:extLst>
            <a:ext uri="{FF2B5EF4-FFF2-40B4-BE49-F238E27FC236}">
              <a16:creationId xmlns:a16="http://schemas.microsoft.com/office/drawing/2014/main" id="{A2FCF4E7-1283-4136-89D8-2B3147AF0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962025</xdr:colOff>
      <xdr:row>14</xdr:row>
      <xdr:rowOff>161931</xdr:rowOff>
    </xdr:from>
    <xdr:to>
      <xdr:col>18</xdr:col>
      <xdr:colOff>1438275</xdr:colOff>
      <xdr:row>28</xdr:row>
      <xdr:rowOff>47631</xdr:rowOff>
    </xdr:to>
    <xdr:graphicFrame macro="">
      <xdr:nvGraphicFramePr>
        <xdr:cNvPr id="16" name="Chart 15">
          <a:extLst>
            <a:ext uri="{FF2B5EF4-FFF2-40B4-BE49-F238E27FC236}">
              <a16:creationId xmlns:a16="http://schemas.microsoft.com/office/drawing/2014/main" id="{BCEAA8E7-B172-4E4A-9DBF-3686861E7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647700</xdr:colOff>
      <xdr:row>13</xdr:row>
      <xdr:rowOff>314331</xdr:rowOff>
    </xdr:from>
    <xdr:to>
      <xdr:col>34</xdr:col>
      <xdr:colOff>1314450</xdr:colOff>
      <xdr:row>27</xdr:row>
      <xdr:rowOff>9531</xdr:rowOff>
    </xdr:to>
    <xdr:graphicFrame macro="">
      <xdr:nvGraphicFramePr>
        <xdr:cNvPr id="8" name="Chart 7">
          <a:extLst>
            <a:ext uri="{FF2B5EF4-FFF2-40B4-BE49-F238E27FC236}">
              <a16:creationId xmlns:a16="http://schemas.microsoft.com/office/drawing/2014/main" id="{F077B53D-7B71-46AE-BC17-732AA2530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414337</xdr:colOff>
      <xdr:row>19</xdr:row>
      <xdr:rowOff>104775</xdr:rowOff>
    </xdr:from>
    <xdr:to>
      <xdr:col>21</xdr:col>
      <xdr:colOff>109537</xdr:colOff>
      <xdr:row>33</xdr:row>
      <xdr:rowOff>180975</xdr:rowOff>
    </xdr:to>
    <xdr:graphicFrame macro="">
      <xdr:nvGraphicFramePr>
        <xdr:cNvPr id="4" name="Chart 3">
          <a:extLst>
            <a:ext uri="{FF2B5EF4-FFF2-40B4-BE49-F238E27FC236}">
              <a16:creationId xmlns:a16="http://schemas.microsoft.com/office/drawing/2014/main" id="{FD0918F2-E71F-42B4-AC15-86FC3B524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409575</xdr:colOff>
      <xdr:row>34</xdr:row>
      <xdr:rowOff>38100</xdr:rowOff>
    </xdr:from>
    <xdr:to>
      <xdr:col>21</xdr:col>
      <xdr:colOff>104775</xdr:colOff>
      <xdr:row>48</xdr:row>
      <xdr:rowOff>114300</xdr:rowOff>
    </xdr:to>
    <xdr:graphicFrame macro="">
      <xdr:nvGraphicFramePr>
        <xdr:cNvPr id="5" name="Chart 4">
          <a:extLst>
            <a:ext uri="{FF2B5EF4-FFF2-40B4-BE49-F238E27FC236}">
              <a16:creationId xmlns:a16="http://schemas.microsoft.com/office/drawing/2014/main" id="{3431BF9E-9852-4939-85FB-AB270ABB9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5</xdr:row>
      <xdr:rowOff>0</xdr:rowOff>
    </xdr:from>
    <xdr:to>
      <xdr:col>21</xdr:col>
      <xdr:colOff>190500</xdr:colOff>
      <xdr:row>19</xdr:row>
      <xdr:rowOff>76200</xdr:rowOff>
    </xdr:to>
    <xdr:graphicFrame macro="">
      <xdr:nvGraphicFramePr>
        <xdr:cNvPr id="6" name="Chart 5">
          <a:extLst>
            <a:ext uri="{FF2B5EF4-FFF2-40B4-BE49-F238E27FC236}">
              <a16:creationId xmlns:a16="http://schemas.microsoft.com/office/drawing/2014/main" id="{74448861-3555-484F-801C-BC2BC2D81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95250</xdr:colOff>
      <xdr:row>45</xdr:row>
      <xdr:rowOff>152400</xdr:rowOff>
    </xdr:from>
    <xdr:to>
      <xdr:col>19</xdr:col>
      <xdr:colOff>400050</xdr:colOff>
      <xdr:row>60</xdr:row>
      <xdr:rowOff>38100</xdr:rowOff>
    </xdr:to>
    <xdr:graphicFrame macro="">
      <xdr:nvGraphicFramePr>
        <xdr:cNvPr id="3" name="Chart 2">
          <a:extLst>
            <a:ext uri="{FF2B5EF4-FFF2-40B4-BE49-F238E27FC236}">
              <a16:creationId xmlns:a16="http://schemas.microsoft.com/office/drawing/2014/main" id="{6692F147-B765-475B-BD14-452AF221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123825</xdr:colOff>
      <xdr:row>10</xdr:row>
      <xdr:rowOff>133350</xdr:rowOff>
    </xdr:from>
    <xdr:to>
      <xdr:col>19</xdr:col>
      <xdr:colOff>428625</xdr:colOff>
      <xdr:row>25</xdr:row>
      <xdr:rowOff>19050</xdr:rowOff>
    </xdr:to>
    <xdr:graphicFrame macro="">
      <xdr:nvGraphicFramePr>
        <xdr:cNvPr id="5" name="Chart 4">
          <a:extLst>
            <a:ext uri="{FF2B5EF4-FFF2-40B4-BE49-F238E27FC236}">
              <a16:creationId xmlns:a16="http://schemas.microsoft.com/office/drawing/2014/main" id="{1B5F69B8-0948-4D51-BAB6-7B113DDCF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347662</xdr:colOff>
      <xdr:row>27</xdr:row>
      <xdr:rowOff>9525</xdr:rowOff>
    </xdr:from>
    <xdr:to>
      <xdr:col>20</xdr:col>
      <xdr:colOff>42862</xdr:colOff>
      <xdr:row>41</xdr:row>
      <xdr:rowOff>85725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2198FAF-EEB0-4147-8BC4-389214ED33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10737" y="5153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42862</xdr:colOff>
      <xdr:row>33</xdr:row>
      <xdr:rowOff>123825</xdr:rowOff>
    </xdr:from>
    <xdr:to>
      <xdr:col>22</xdr:col>
      <xdr:colOff>347662</xdr:colOff>
      <xdr:row>48</xdr:row>
      <xdr:rowOff>9525</xdr:rowOff>
    </xdr:to>
    <xdr:graphicFrame macro="">
      <xdr:nvGraphicFramePr>
        <xdr:cNvPr id="7" name="Chart 6">
          <a:extLst>
            <a:ext uri="{FF2B5EF4-FFF2-40B4-BE49-F238E27FC236}">
              <a16:creationId xmlns:a16="http://schemas.microsoft.com/office/drawing/2014/main" id="{6F4713E9-2356-4265-A9AC-A39A05785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276224</xdr:colOff>
      <xdr:row>3</xdr:row>
      <xdr:rowOff>85725</xdr:rowOff>
    </xdr:from>
    <xdr:to>
      <xdr:col>25</xdr:col>
      <xdr:colOff>533399</xdr:colOff>
      <xdr:row>27</xdr:row>
      <xdr:rowOff>38100</xdr:rowOff>
    </xdr:to>
    <xdr:graphicFrame macro="">
      <xdr:nvGraphicFramePr>
        <xdr:cNvPr id="2" name="Chart 1">
          <a:extLst>
            <a:ext uri="{FF2B5EF4-FFF2-40B4-BE49-F238E27FC236}">
              <a16:creationId xmlns:a16="http://schemas.microsoft.com/office/drawing/2014/main" id="{EDB9E27B-F55A-486F-AC22-E6B0BA8D3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166687</xdr:colOff>
      <xdr:row>4</xdr:row>
      <xdr:rowOff>38100</xdr:rowOff>
    </xdr:from>
    <xdr:to>
      <xdr:col>20</xdr:col>
      <xdr:colOff>47625</xdr:colOff>
      <xdr:row>27</xdr:row>
      <xdr:rowOff>95250</xdr:rowOff>
    </xdr:to>
    <xdr:graphicFrame macro="">
      <xdr:nvGraphicFramePr>
        <xdr:cNvPr id="4" name="Chart 3">
          <a:extLst>
            <a:ext uri="{FF2B5EF4-FFF2-40B4-BE49-F238E27FC236}">
              <a16:creationId xmlns:a16="http://schemas.microsoft.com/office/drawing/2014/main" id="{A2FEC63F-EE96-4AA6-992A-5B451C114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428624</xdr:colOff>
      <xdr:row>25</xdr:row>
      <xdr:rowOff>142875</xdr:rowOff>
    </xdr:from>
    <xdr:to>
      <xdr:col>17</xdr:col>
      <xdr:colOff>38099</xdr:colOff>
      <xdr:row>47</xdr:row>
      <xdr:rowOff>152400</xdr:rowOff>
    </xdr:to>
    <xdr:graphicFrame macro="">
      <xdr:nvGraphicFramePr>
        <xdr:cNvPr id="5" name="Chart 4">
          <a:extLst>
            <a:ext uri="{FF2B5EF4-FFF2-40B4-BE49-F238E27FC236}">
              <a16:creationId xmlns:a16="http://schemas.microsoft.com/office/drawing/2014/main" id="{5E448A12-8CB6-45BC-8C4E-008A7F138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542925</xdr:colOff>
      <xdr:row>36</xdr:row>
      <xdr:rowOff>66675</xdr:rowOff>
    </xdr:from>
    <xdr:to>
      <xdr:col>6</xdr:col>
      <xdr:colOff>666750</xdr:colOff>
      <xdr:row>50</xdr:row>
      <xdr:rowOff>142875</xdr:rowOff>
    </xdr:to>
    <xdr:graphicFrame macro="">
      <xdr:nvGraphicFramePr>
        <xdr:cNvPr id="2" name="Chart 1">
          <a:extLst>
            <a:ext uri="{FF2B5EF4-FFF2-40B4-BE49-F238E27FC236}">
              <a16:creationId xmlns:a16="http://schemas.microsoft.com/office/drawing/2014/main" id="{A37C1DE5-FEFB-4C03-A393-4F5E0DE31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C5C343-E785-43F9-8800-CC89D834A557}" name="Table4" displayName="Table4" ref="A4:C8" totalsRowShown="0" tableBorderDxfId="43">
  <tableColumns count="3">
    <tableColumn id="1" xr3:uid="{894CB1E0-EC78-429B-9D23-6E15C410E950}" name="Assumptions" dataDxfId="42"/>
    <tableColumn id="2" xr3:uid="{9E96F419-68FE-487A-927D-B3F63A35C0A5}" name="Symbol" dataDxfId="41"/>
    <tableColumn id="3" xr3:uid="{0A83D910-1B85-411B-8483-7F1E26DFAC71}" name="R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0298C5A-7EDB-4F18-B59B-150778F60DAE}" name="Table10" displayName="Table10" ref="A4:D9" totalsRowShown="0" headerRowDxfId="40">
  <tableColumns count="4">
    <tableColumn id="1" xr3:uid="{BE03D7C8-6D67-4F7E-A301-5CAD9FDE4FE1}" name="Model" dataDxfId="39"/>
    <tableColumn id="2" xr3:uid="{C83D93CE-0901-4209-BFEF-3D7AD287CB1D}" name="Weight" dataDxfId="38"/>
    <tableColumn id="3" xr3:uid="{243868CB-8C61-4ED3-8225-F4E74C8B0154}" name="Implied share price" dataDxfId="37"/>
    <tableColumn id="4" xr3:uid="{BF83A662-F4C8-4EAB-BBD5-D1215753C138}" name="Weighted price"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4DA91E-E6F6-4C7D-984D-705FA41CD104}" name="Table3" displayName="Table3" ref="A4:D28" totalsRowShown="0" headerRowDxfId="35" headerRowBorderDxfId="34" tableBorderDxfId="33">
  <autoFilter ref="A4:D28" xr:uid="{5DA1036F-DB7B-415E-8432-21C455ECECF7}"/>
  <tableColumns count="4">
    <tableColumn id="1" xr3:uid="{33DA2DDA-8869-41C7-9FD1-040EEAC01E40}" name="Year" dataDxfId="32"/>
    <tableColumn id="2" xr3:uid="{BEF9EC9B-7D93-4921-BDD0-280741C999C9}" name="Value" dataDxfId="31"/>
    <tableColumn id="3" xr3:uid="{C4DB7ACE-4A47-4835-BE15-587EB82CA11F}" name="DPS(t) or TV(t)"/>
    <tableColumn id="4" xr3:uid="{5A4A9727-B87C-4185-9DFA-2C3FCEFBF08A}" name="Present value at Cost of Equity" dataDxfId="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CF6033-A08D-478D-8768-44E0221FFDCC}" name="Table38" displayName="Table38" ref="A4:D36" totalsRowShown="0" headerRowDxfId="29" headerRowBorderDxfId="28" tableBorderDxfId="27">
  <tableColumns count="4">
    <tableColumn id="1" xr3:uid="{18335BB7-DA00-4528-8772-B7643ABB721E}" name="Year" dataDxfId="26"/>
    <tableColumn id="2" xr3:uid="{CA393F34-E799-46E6-9014-34B243AB3894}" name="Value" dataDxfId="25"/>
    <tableColumn id="3" xr3:uid="{0CCC1239-D2E6-4A48-83F9-B73C6A8480A6}" name="ER(t) or TV(t)"/>
    <tableColumn id="4" xr3:uid="{724F5285-FC54-468F-8ADE-1D6F1CC16DAA}" name="Present value at Cost of Equity"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A50C78-DE91-460C-A997-20349C9B51EA}" name="Table9" displayName="Table9" ref="A4:D10" totalsRowShown="0" headerRowDxfId="23" dataDxfId="22">
  <autoFilter ref="A4:D10" xr:uid="{313CAD38-DC94-4CFB-9B67-D40202C8FF24}"/>
  <tableColumns count="4">
    <tableColumn id="1" xr3:uid="{AD4407AA-5F20-4C29-ADE3-9116828D74F5}" name="Column1" dataDxfId="21"/>
    <tableColumn id="2" xr3:uid="{0DCF5FA1-5C40-47B5-8DC7-929DFA3EFEA8}" name="Column2" dataDxfId="20"/>
    <tableColumn id="3" xr3:uid="{4F85408F-D34B-47B7-ADEB-BA7E0CFEC4EE}" name="Column3" dataDxfId="19"/>
    <tableColumn id="4" xr3:uid="{1DA07881-AB45-4432-AD49-3545A8C4148B}" name="Column4" dataDxf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6E523F-32F9-434B-A420-4AB83DA80783}" name="Table1" displayName="Table1" ref="A31:I50" totalsRowShown="0" dataDxfId="17" tableBorderDxfId="16">
  <autoFilter ref="A31:I50" xr:uid="{07ECBC02-8449-4000-83DE-82B5B1A142B0}"/>
  <tableColumns count="9">
    <tableColumn id="1" xr3:uid="{DD81743A-047B-4D60-8D0C-F9DD104D3703}" name="Column1" dataDxfId="15"/>
    <tableColumn id="2" xr3:uid="{4CF5754B-2C93-4926-BF11-B188041F1BA2}" name="Column2" dataDxfId="14"/>
    <tableColumn id="3" xr3:uid="{4D034056-1E81-41CF-A505-CC1709005954}" name="Column3" dataDxfId="13"/>
    <tableColumn id="4" xr3:uid="{AB0E03F5-18B2-46EA-93FB-EF75F7E5F58C}" name="Column4" dataDxfId="12"/>
    <tableColumn id="5" xr3:uid="{E08EB344-4679-4CE3-A452-3035181FED95}" name="Column5" dataDxfId="11"/>
    <tableColumn id="6" xr3:uid="{6EEF7DF5-900C-4538-B7DF-8F0FC0DF523F}" name="Column6" dataDxfId="10"/>
    <tableColumn id="7" xr3:uid="{D4A80C6F-3CD0-4E91-8EDC-E7582E079848}" name="Column7" dataDxfId="9"/>
    <tableColumn id="8" xr3:uid="{527380C4-E731-4350-A5C7-CF9EF875AC45}" name="Column8" dataDxfId="8"/>
    <tableColumn id="9" xr3:uid="{997FC32F-3C9E-44D3-B9F1-D1D2DBB82534}" name="Column9" dataDxf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AB90F-1C83-463A-844B-0F067A6627BD}" name="Table2" displayName="Table2" ref="A24:I42" totalsRowShown="0" tableBorderDxfId="6">
  <autoFilter ref="A24:I42" xr:uid="{DA2544AD-4A73-48EF-BF15-A653326ECE86}"/>
  <tableColumns count="9">
    <tableColumn id="1" xr3:uid="{4464858C-B026-440C-8B7C-BA1CA5E945E2}" name="Column1" dataDxfId="5"/>
    <tableColumn id="2" xr3:uid="{F9AF1BAB-7875-4CB0-947D-0339C6420B50}" name="Column2" dataDxfId="4"/>
    <tableColumn id="3" xr3:uid="{BE62477D-94BA-4DBC-8267-6A2D80E95FAA}" name="Column3" dataDxfId="3"/>
    <tableColumn id="4" xr3:uid="{1F419712-D252-458E-8029-B5B891616E54}" name="Column4" dataDxfId="2"/>
    <tableColumn id="5" xr3:uid="{69543EA7-F253-47D8-9DCF-9593362B5059}" name="Column5" dataDxfId="1"/>
    <tableColumn id="6" xr3:uid="{0111FE16-9B0F-4BAF-904C-4C52D0D50B4D}" name="Column6" dataDxfId="0"/>
    <tableColumn id="7" xr3:uid="{C6841F37-35D3-4A2C-BF5D-9B72F6B3524A}" name="Column7"/>
    <tableColumn id="8" xr3:uid="{C12A2BD5-4171-489F-8223-995560EF944B}" name="Column8"/>
    <tableColumn id="9" xr3:uid="{7B902BB7-8CFD-4FE2-B67D-D53535A33B05}" name="Column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ages.stern.nyu.edu/~adamodar/" TargetMode="External"/><Relationship Id="rId1" Type="http://schemas.openxmlformats.org/officeDocument/2006/relationships/hyperlink" Target="https://www.treasury.gov/resource-center/data-chart-center/interest-rates/pages/TextView.aspx?data=longtermrateYear&amp;year=2020"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45033-D10A-764D-ADB7-F01D4F879EBC}">
  <dimension ref="A1:G70"/>
  <sheetViews>
    <sheetView zoomScale="106" workbookViewId="0">
      <selection activeCell="E1" sqref="E1"/>
    </sheetView>
  </sheetViews>
  <sheetFormatPr defaultColWidth="20.875" defaultRowHeight="15.75" x14ac:dyDescent="0.25"/>
  <cols>
    <col min="1" max="16384" width="20.875" style="48"/>
  </cols>
  <sheetData>
    <row r="1" spans="1:7" ht="27" x14ac:dyDescent="0.35">
      <c r="A1" s="62" t="s">
        <v>77</v>
      </c>
      <c r="D1" s="50" t="s">
        <v>73</v>
      </c>
      <c r="E1" s="190">
        <v>144.87</v>
      </c>
    </row>
    <row r="2" spans="1:7" ht="21.75" x14ac:dyDescent="0.3">
      <c r="A2" s="63" t="s">
        <v>5</v>
      </c>
    </row>
    <row r="4" spans="1:7" ht="16.5" thickBot="1" x14ac:dyDescent="0.3">
      <c r="A4" s="315"/>
      <c r="B4" s="316"/>
      <c r="C4" s="317" t="s">
        <v>78</v>
      </c>
      <c r="D4" s="316"/>
      <c r="E4" s="316"/>
      <c r="F4" s="317" t="s">
        <v>6</v>
      </c>
      <c r="G4" s="316"/>
    </row>
    <row r="5" spans="1:7" ht="16.5" thickBot="1" x14ac:dyDescent="0.3">
      <c r="A5" s="39" t="s">
        <v>7</v>
      </c>
      <c r="B5" s="39" t="s">
        <v>8</v>
      </c>
      <c r="C5" s="39" t="s">
        <v>79</v>
      </c>
      <c r="D5" s="39" t="s">
        <v>80</v>
      </c>
      <c r="E5" s="39" t="s">
        <v>81</v>
      </c>
      <c r="F5" s="39" t="s">
        <v>9</v>
      </c>
      <c r="G5" s="39" t="s">
        <v>10</v>
      </c>
    </row>
    <row r="6" spans="1:7" x14ac:dyDescent="0.25">
      <c r="B6" s="49">
        <v>42401</v>
      </c>
      <c r="C6" s="105">
        <v>49.819164000000001</v>
      </c>
      <c r="F6" s="105">
        <v>175.74041700000001</v>
      </c>
    </row>
    <row r="7" spans="1:7" x14ac:dyDescent="0.25">
      <c r="A7" s="51">
        <v>1</v>
      </c>
      <c r="B7" s="49">
        <v>42430</v>
      </c>
      <c r="C7" s="105">
        <v>53.947830000000003</v>
      </c>
      <c r="E7" s="52">
        <f>(C7-C6)/C6</f>
        <v>8.2873048612377403E-2</v>
      </c>
      <c r="F7" s="105">
        <v>186.59938</v>
      </c>
      <c r="G7" s="52">
        <f>(F7-F6)/F6</f>
        <v>6.1789787377140387E-2</v>
      </c>
    </row>
    <row r="8" spans="1:7" x14ac:dyDescent="0.25">
      <c r="A8" s="51">
        <v>2</v>
      </c>
      <c r="B8" s="49">
        <v>42461</v>
      </c>
      <c r="C8" s="105">
        <v>56.926932999999998</v>
      </c>
      <c r="E8" s="52">
        <f t="shared" ref="E8:E65" si="0">(C8-C7)/C7</f>
        <v>5.5221924588996343E-2</v>
      </c>
      <c r="F8" s="105">
        <v>188.300995</v>
      </c>
      <c r="G8" s="52">
        <f t="shared" ref="G8:G65" si="1">(F8-F7)/F7</f>
        <v>9.1190817461451589E-3</v>
      </c>
    </row>
    <row r="9" spans="1:7" x14ac:dyDescent="0.25">
      <c r="A9" s="51">
        <v>3</v>
      </c>
      <c r="B9" s="49">
        <v>42491</v>
      </c>
      <c r="C9" s="105">
        <v>58.751761999999999</v>
      </c>
      <c r="E9" s="52">
        <f t="shared" si="0"/>
        <v>3.2055635247379324E-2</v>
      </c>
      <c r="F9" s="105">
        <v>191.50431800000001</v>
      </c>
      <c r="G9" s="52">
        <f t="shared" si="1"/>
        <v>1.7011715737349192E-2</v>
      </c>
    </row>
    <row r="10" spans="1:7" x14ac:dyDescent="0.25">
      <c r="A10" s="51">
        <v>4</v>
      </c>
      <c r="B10" s="49">
        <v>42522</v>
      </c>
      <c r="C10" s="105">
        <v>56.788231000000003</v>
      </c>
      <c r="E10" s="52">
        <f t="shared" si="0"/>
        <v>-3.3420801915693972E-2</v>
      </c>
      <c r="F10" s="105">
        <v>191.17575099999999</v>
      </c>
      <c r="G10" s="52">
        <f t="shared" si="1"/>
        <v>-1.715715882709344E-3</v>
      </c>
    </row>
    <row r="11" spans="1:7" x14ac:dyDescent="0.25">
      <c r="A11" s="51">
        <v>5</v>
      </c>
      <c r="B11" s="49">
        <v>42552</v>
      </c>
      <c r="C11" s="105">
        <v>58.151347999999999</v>
      </c>
      <c r="E11" s="52">
        <f t="shared" si="0"/>
        <v>2.400351227704197E-2</v>
      </c>
      <c r="F11" s="105">
        <v>199.178619</v>
      </c>
      <c r="G11" s="52">
        <f t="shared" si="1"/>
        <v>4.186131325829083E-2</v>
      </c>
    </row>
    <row r="12" spans="1:7" x14ac:dyDescent="0.25">
      <c r="A12" s="51">
        <v>6</v>
      </c>
      <c r="B12" s="49">
        <v>42583</v>
      </c>
      <c r="C12" s="105">
        <v>62.582520000000002</v>
      </c>
      <c r="E12" s="52">
        <f t="shared" si="0"/>
        <v>7.6200675520024116E-2</v>
      </c>
      <c r="F12" s="105">
        <v>199.41716</v>
      </c>
      <c r="G12" s="52">
        <f t="shared" si="1"/>
        <v>1.1976235260472304E-3</v>
      </c>
    </row>
    <row r="13" spans="1:7" x14ac:dyDescent="0.25">
      <c r="A13" s="51">
        <v>7</v>
      </c>
      <c r="B13" s="49">
        <v>42614</v>
      </c>
      <c r="C13" s="105">
        <v>62.704493999999997</v>
      </c>
      <c r="E13" s="52">
        <f t="shared" si="0"/>
        <v>1.9490106822159681E-3</v>
      </c>
      <c r="F13" s="105">
        <v>198.42639199999999</v>
      </c>
      <c r="G13" s="52">
        <f t="shared" si="1"/>
        <v>-4.9683186742806021E-3</v>
      </c>
    </row>
    <row r="14" spans="1:7" x14ac:dyDescent="0.25">
      <c r="A14" s="51">
        <v>8</v>
      </c>
      <c r="B14" s="49">
        <v>42644</v>
      </c>
      <c r="C14" s="105">
        <v>60.525173000000002</v>
      </c>
      <c r="E14" s="52">
        <f t="shared" si="0"/>
        <v>-3.4755419603577288E-2</v>
      </c>
      <c r="F14" s="105">
        <v>195.97122200000001</v>
      </c>
      <c r="G14" s="52">
        <f t="shared" si="1"/>
        <v>-1.237320285499109E-2</v>
      </c>
    </row>
    <row r="15" spans="1:7" x14ac:dyDescent="0.25">
      <c r="A15" s="51">
        <v>9</v>
      </c>
      <c r="B15" s="49">
        <v>42675</v>
      </c>
      <c r="C15" s="105">
        <v>66.739243000000002</v>
      </c>
      <c r="E15" s="52">
        <f t="shared" si="0"/>
        <v>0.10266918196169385</v>
      </c>
      <c r="F15" s="105">
        <v>203.190506</v>
      </c>
      <c r="G15" s="52">
        <f t="shared" si="1"/>
        <v>3.6838490500406162E-2</v>
      </c>
    </row>
    <row r="16" spans="1:7" x14ac:dyDescent="0.25">
      <c r="A16" s="51">
        <v>10</v>
      </c>
      <c r="B16" s="49">
        <v>42705</v>
      </c>
      <c r="C16" s="105">
        <v>75.083672000000007</v>
      </c>
      <c r="E16" s="52">
        <f t="shared" si="0"/>
        <v>0.12503032136579681</v>
      </c>
      <c r="F16" s="105">
        <v>206.09477200000001</v>
      </c>
      <c r="G16" s="52">
        <f t="shared" si="1"/>
        <v>1.4293315456382627E-2</v>
      </c>
    </row>
    <row r="17" spans="1:7" x14ac:dyDescent="0.25">
      <c r="A17" s="51">
        <v>11</v>
      </c>
      <c r="B17" s="49">
        <v>42736</v>
      </c>
      <c r="C17" s="105">
        <v>76.868256000000002</v>
      </c>
      <c r="E17" s="52">
        <f t="shared" si="0"/>
        <v>2.3767937188793792E-2</v>
      </c>
      <c r="F17" s="105">
        <v>211.01925700000001</v>
      </c>
      <c r="G17" s="52">
        <f t="shared" si="1"/>
        <v>2.389427423224498E-2</v>
      </c>
    </row>
    <row r="18" spans="1:7" x14ac:dyDescent="0.25">
      <c r="A18" s="51">
        <v>12</v>
      </c>
      <c r="B18" s="49">
        <v>42767</v>
      </c>
      <c r="C18" s="105">
        <v>76.593093999999994</v>
      </c>
      <c r="E18" s="52">
        <f t="shared" si="0"/>
        <v>-3.5796571214001364E-3</v>
      </c>
      <c r="F18" s="105">
        <v>219.31054700000001</v>
      </c>
      <c r="G18" s="52">
        <f t="shared" si="1"/>
        <v>3.9291627303947918E-2</v>
      </c>
    </row>
    <row r="19" spans="1:7" x14ac:dyDescent="0.25">
      <c r="A19" s="51">
        <v>13</v>
      </c>
      <c r="B19" s="49">
        <v>42795</v>
      </c>
      <c r="C19" s="105">
        <v>76.576751999999999</v>
      </c>
      <c r="E19" s="52">
        <f t="shared" si="0"/>
        <v>-2.1336127249272014E-4</v>
      </c>
      <c r="F19" s="105">
        <v>218.633499</v>
      </c>
      <c r="G19" s="52">
        <f t="shared" si="1"/>
        <v>-3.0871657075389695E-3</v>
      </c>
    </row>
    <row r="20" spans="1:7" x14ac:dyDescent="0.25">
      <c r="A20" s="51">
        <v>14</v>
      </c>
      <c r="B20" s="49">
        <v>42826</v>
      </c>
      <c r="C20" s="105">
        <v>89.97654</v>
      </c>
      <c r="E20" s="52">
        <f t="shared" si="0"/>
        <v>0.17498506596362301</v>
      </c>
      <c r="F20" s="105">
        <v>221.76428200000001</v>
      </c>
      <c r="G20" s="52">
        <f t="shared" si="1"/>
        <v>1.4319777226819244E-2</v>
      </c>
    </row>
    <row r="21" spans="1:7" x14ac:dyDescent="0.25">
      <c r="A21" s="51">
        <v>15</v>
      </c>
      <c r="B21" s="49">
        <v>42856</v>
      </c>
      <c r="C21" s="105">
        <v>89.791106999999997</v>
      </c>
      <c r="E21" s="52">
        <f t="shared" si="0"/>
        <v>-2.0609038756102789E-3</v>
      </c>
      <c r="F21" s="105">
        <v>224.89404300000001</v>
      </c>
      <c r="G21" s="52">
        <f t="shared" si="1"/>
        <v>1.4113007612289891E-2</v>
      </c>
    </row>
    <row r="22" spans="1:7" x14ac:dyDescent="0.25">
      <c r="A22" s="51">
        <v>16</v>
      </c>
      <c r="B22" s="49">
        <v>42887</v>
      </c>
      <c r="C22" s="105">
        <v>97.590553</v>
      </c>
      <c r="E22" s="52">
        <f t="shared" si="0"/>
        <v>8.6862120989331423E-2</v>
      </c>
      <c r="F22" s="105">
        <v>225.22936999999999</v>
      </c>
      <c r="G22" s="52">
        <f t="shared" si="1"/>
        <v>1.4910443848438358E-3</v>
      </c>
    </row>
    <row r="23" spans="1:7" x14ac:dyDescent="0.25">
      <c r="A23" s="51">
        <v>17</v>
      </c>
      <c r="B23" s="49">
        <v>42917</v>
      </c>
      <c r="C23" s="105">
        <v>97.814789000000005</v>
      </c>
      <c r="E23" s="52">
        <f t="shared" si="0"/>
        <v>2.2977224035199877E-3</v>
      </c>
      <c r="F23" s="105">
        <v>230.97970599999999</v>
      </c>
      <c r="G23" s="52">
        <f t="shared" si="1"/>
        <v>2.55310219977084E-2</v>
      </c>
    </row>
    <row r="24" spans="1:7" x14ac:dyDescent="0.25">
      <c r="A24" s="51">
        <v>18</v>
      </c>
      <c r="B24" s="49">
        <v>42948</v>
      </c>
      <c r="C24" s="105">
        <v>94.777534000000003</v>
      </c>
      <c r="E24" s="52">
        <f t="shared" si="0"/>
        <v>-3.1051081651875787E-2</v>
      </c>
      <c r="F24" s="105">
        <v>231.65364099999999</v>
      </c>
      <c r="G24" s="52">
        <f t="shared" si="1"/>
        <v>2.9177238627189185E-3</v>
      </c>
    </row>
    <row r="25" spans="1:7" x14ac:dyDescent="0.25">
      <c r="A25" s="51">
        <v>19</v>
      </c>
      <c r="B25" s="49">
        <v>42979</v>
      </c>
      <c r="C25" s="105">
        <v>102.01403000000001</v>
      </c>
      <c r="E25" s="52">
        <f t="shared" si="0"/>
        <v>7.6352440231247237E-2</v>
      </c>
      <c r="F25" s="105">
        <v>235.15432699999999</v>
      </c>
      <c r="G25" s="52">
        <f t="shared" si="1"/>
        <v>1.5111724490443049E-2</v>
      </c>
    </row>
    <row r="26" spans="1:7" x14ac:dyDescent="0.25">
      <c r="A26" s="51">
        <v>20</v>
      </c>
      <c r="B26" s="49">
        <v>43009</v>
      </c>
      <c r="C26" s="105">
        <v>95.119347000000005</v>
      </c>
      <c r="E26" s="52">
        <f t="shared" si="0"/>
        <v>-6.758563503471042E-2</v>
      </c>
      <c r="F26" s="105">
        <v>241.88999899999999</v>
      </c>
      <c r="G26" s="52">
        <f t="shared" si="1"/>
        <v>2.8643623470300823E-2</v>
      </c>
    </row>
    <row r="27" spans="1:7" x14ac:dyDescent="0.25">
      <c r="A27" s="51">
        <v>21</v>
      </c>
      <c r="B27" s="49">
        <v>43040</v>
      </c>
      <c r="C27" s="105">
        <v>93.462340999999995</v>
      </c>
      <c r="E27" s="52">
        <f t="shared" si="0"/>
        <v>-1.7420283593830913E-2</v>
      </c>
      <c r="F27" s="105">
        <v>249.28360000000001</v>
      </c>
      <c r="G27" s="52">
        <f t="shared" si="1"/>
        <v>3.0565963994236976E-2</v>
      </c>
    </row>
    <row r="28" spans="1:7" x14ac:dyDescent="0.25">
      <c r="A28" s="51">
        <v>22</v>
      </c>
      <c r="B28" s="49">
        <v>43070</v>
      </c>
      <c r="C28" s="105">
        <v>84.755866999999995</v>
      </c>
      <c r="E28" s="52">
        <f t="shared" si="0"/>
        <v>-9.3154888983574685E-2</v>
      </c>
      <c r="F28" s="105">
        <v>251.02380400000001</v>
      </c>
      <c r="G28" s="52">
        <f t="shared" si="1"/>
        <v>6.9808202384753978E-3</v>
      </c>
    </row>
    <row r="29" spans="1:7" x14ac:dyDescent="0.25">
      <c r="A29" s="51">
        <v>23</v>
      </c>
      <c r="B29" s="49">
        <v>43101</v>
      </c>
      <c r="C29" s="105">
        <v>87.602622999999994</v>
      </c>
      <c r="E29" s="52">
        <f t="shared" si="0"/>
        <v>3.3587716116454801E-2</v>
      </c>
      <c r="F29" s="105">
        <v>266.526703</v>
      </c>
      <c r="G29" s="52">
        <f t="shared" si="1"/>
        <v>6.1758680861995E-2</v>
      </c>
    </row>
    <row r="30" spans="1:7" x14ac:dyDescent="0.25">
      <c r="A30" s="51">
        <v>24</v>
      </c>
      <c r="B30" s="49">
        <v>43132</v>
      </c>
      <c r="C30" s="105">
        <v>90.951897000000002</v>
      </c>
      <c r="E30" s="52">
        <f t="shared" si="0"/>
        <v>3.8232576666112024E-2</v>
      </c>
      <c r="F30" s="105">
        <v>256.83566300000001</v>
      </c>
      <c r="G30" s="52">
        <f t="shared" si="1"/>
        <v>-3.6360484300141542E-2</v>
      </c>
    </row>
    <row r="31" spans="1:7" x14ac:dyDescent="0.25">
      <c r="A31" s="51">
        <v>25</v>
      </c>
      <c r="B31" s="49">
        <v>43160</v>
      </c>
      <c r="C31" s="105">
        <v>90.765677999999994</v>
      </c>
      <c r="E31" s="52">
        <f t="shared" si="0"/>
        <v>-2.0474449257502384E-3</v>
      </c>
      <c r="F31" s="105">
        <v>248.79922500000001</v>
      </c>
      <c r="G31" s="52">
        <f t="shared" si="1"/>
        <v>-3.1290195084784637E-2</v>
      </c>
    </row>
    <row r="32" spans="1:7" x14ac:dyDescent="0.25">
      <c r="A32" s="51">
        <v>26</v>
      </c>
      <c r="B32" s="49">
        <v>43191</v>
      </c>
      <c r="C32" s="105">
        <v>91.020508000000007</v>
      </c>
      <c r="E32" s="52">
        <f t="shared" si="0"/>
        <v>2.8075590423068571E-3</v>
      </c>
      <c r="F32" s="105">
        <v>251.08667</v>
      </c>
      <c r="G32" s="52">
        <f t="shared" si="1"/>
        <v>9.1939394103819697E-3</v>
      </c>
    </row>
    <row r="33" spans="1:7" x14ac:dyDescent="0.25">
      <c r="A33" s="51">
        <v>27</v>
      </c>
      <c r="B33" s="49">
        <v>43221</v>
      </c>
      <c r="C33" s="105">
        <v>97.803352000000004</v>
      </c>
      <c r="E33" s="52">
        <f t="shared" si="0"/>
        <v>7.4519953239549006E-2</v>
      </c>
      <c r="F33" s="105">
        <v>257.190338</v>
      </c>
      <c r="G33" s="52">
        <f t="shared" si="1"/>
        <v>2.4309008518851274E-2</v>
      </c>
    </row>
    <row r="34" spans="1:7" x14ac:dyDescent="0.25">
      <c r="A34" s="51">
        <v>28</v>
      </c>
      <c r="B34" s="49">
        <v>43252</v>
      </c>
      <c r="C34" s="105">
        <v>95.044051999999994</v>
      </c>
      <c r="E34" s="52">
        <f t="shared" si="0"/>
        <v>-2.8212734467424085E-2</v>
      </c>
      <c r="F34" s="105">
        <v>257.51312300000001</v>
      </c>
      <c r="G34" s="52">
        <f t="shared" si="1"/>
        <v>1.2550432590512414E-3</v>
      </c>
    </row>
    <row r="35" spans="1:7" x14ac:dyDescent="0.25">
      <c r="A35" s="51">
        <v>29</v>
      </c>
      <c r="B35" s="49">
        <v>43282</v>
      </c>
      <c r="C35" s="105">
        <v>97.076706000000001</v>
      </c>
      <c r="E35" s="52">
        <f t="shared" si="0"/>
        <v>2.1386440889536232E-2</v>
      </c>
      <c r="F35" s="105">
        <v>268.25219700000002</v>
      </c>
      <c r="G35" s="52">
        <f t="shared" si="1"/>
        <v>4.1703016432292718E-2</v>
      </c>
    </row>
    <row r="36" spans="1:7" x14ac:dyDescent="0.25">
      <c r="A36" s="51">
        <v>30</v>
      </c>
      <c r="B36" s="49">
        <v>43313</v>
      </c>
      <c r="C36" s="105">
        <v>99.938736000000006</v>
      </c>
      <c r="E36" s="52">
        <f t="shared" si="0"/>
        <v>2.9482149919672844E-2</v>
      </c>
      <c r="F36" s="105">
        <v>276.814819</v>
      </c>
      <c r="G36" s="52">
        <f t="shared" si="1"/>
        <v>3.19200442559655E-2</v>
      </c>
    </row>
    <row r="37" spans="1:7" x14ac:dyDescent="0.25">
      <c r="A37" s="51">
        <v>31</v>
      </c>
      <c r="B37" s="49">
        <v>43344</v>
      </c>
      <c r="C37" s="105">
        <v>94.439598000000004</v>
      </c>
      <c r="E37" s="52">
        <f t="shared" si="0"/>
        <v>-5.5025090571487731E-2</v>
      </c>
      <c r="F37" s="105">
        <v>277.20575000000002</v>
      </c>
      <c r="G37" s="52">
        <f t="shared" si="1"/>
        <v>1.4122473696035155E-3</v>
      </c>
    </row>
    <row r="38" spans="1:7" x14ac:dyDescent="0.25">
      <c r="A38" s="51">
        <v>32</v>
      </c>
      <c r="B38" s="49">
        <v>43374</v>
      </c>
      <c r="C38" s="105">
        <v>89.511024000000006</v>
      </c>
      <c r="E38" s="52">
        <f t="shared" si="0"/>
        <v>-5.2187579197446363E-2</v>
      </c>
      <c r="F38" s="105">
        <v>259.217804</v>
      </c>
      <c r="G38" s="52">
        <f t="shared" si="1"/>
        <v>-6.489023405899777E-2</v>
      </c>
    </row>
    <row r="39" spans="1:7" x14ac:dyDescent="0.25">
      <c r="A39" s="51">
        <v>33</v>
      </c>
      <c r="B39" s="49">
        <v>43405</v>
      </c>
      <c r="C39" s="105">
        <v>97.737938</v>
      </c>
      <c r="E39" s="52">
        <f t="shared" si="0"/>
        <v>9.1909506029112048E-2</v>
      </c>
      <c r="F39" s="105">
        <v>264.026093</v>
      </c>
      <c r="G39" s="52">
        <f t="shared" si="1"/>
        <v>1.8549223571078483E-2</v>
      </c>
    </row>
    <row r="40" spans="1:7" x14ac:dyDescent="0.25">
      <c r="A40" s="51">
        <v>34</v>
      </c>
      <c r="B40" s="49">
        <v>43435</v>
      </c>
      <c r="C40" s="105">
        <v>85.662391999999997</v>
      </c>
      <c r="E40" s="52">
        <f t="shared" si="0"/>
        <v>-0.12355024310007444</v>
      </c>
      <c r="F40" s="105">
        <v>239.38108800000001</v>
      </c>
      <c r="G40" s="52">
        <f t="shared" si="1"/>
        <v>-9.3343065906747319E-2</v>
      </c>
    </row>
    <row r="41" spans="1:7" x14ac:dyDescent="0.25">
      <c r="A41" s="51">
        <v>35</v>
      </c>
      <c r="B41" s="49">
        <v>43466</v>
      </c>
      <c r="C41" s="105">
        <v>95.253822</v>
      </c>
      <c r="E41" s="52">
        <f t="shared" si="0"/>
        <v>0.11196780496159858</v>
      </c>
      <c r="F41" s="105">
        <v>260.05712899999997</v>
      </c>
      <c r="G41" s="52">
        <f t="shared" si="1"/>
        <v>8.6372909291814931E-2</v>
      </c>
    </row>
    <row r="42" spans="1:7" x14ac:dyDescent="0.25">
      <c r="A42" s="51">
        <v>36</v>
      </c>
      <c r="B42" s="49">
        <v>43497</v>
      </c>
      <c r="C42" s="105">
        <v>103.679192</v>
      </c>
      <c r="E42" s="52">
        <f t="shared" si="0"/>
        <v>8.8451778869303541E-2</v>
      </c>
      <c r="F42" s="105">
        <v>268.48703</v>
      </c>
      <c r="G42" s="52">
        <f t="shared" si="1"/>
        <v>3.2415573579603847E-2</v>
      </c>
    </row>
    <row r="43" spans="1:7" x14ac:dyDescent="0.25">
      <c r="A43" s="51">
        <v>37</v>
      </c>
      <c r="B43" s="49">
        <v>43525</v>
      </c>
      <c r="C43" s="105">
        <v>99.215187</v>
      </c>
      <c r="E43" s="52">
        <f t="shared" si="0"/>
        <v>-4.3055939324835792E-2</v>
      </c>
      <c r="F43" s="105">
        <v>272.14810199999999</v>
      </c>
      <c r="G43" s="52">
        <f t="shared" si="1"/>
        <v>1.3635936156767014E-2</v>
      </c>
    </row>
    <row r="44" spans="1:7" x14ac:dyDescent="0.25">
      <c r="A44" s="51">
        <v>38</v>
      </c>
      <c r="B44" s="49">
        <v>43556</v>
      </c>
      <c r="C44" s="105">
        <v>104.311249</v>
      </c>
      <c r="E44" s="52">
        <f t="shared" si="0"/>
        <v>5.136372922423664E-2</v>
      </c>
      <c r="F44" s="105">
        <v>284.513733</v>
      </c>
      <c r="G44" s="52">
        <f t="shared" si="1"/>
        <v>4.5437138488660149E-2</v>
      </c>
    </row>
    <row r="45" spans="1:7" x14ac:dyDescent="0.25">
      <c r="A45" s="51">
        <v>39</v>
      </c>
      <c r="B45" s="49">
        <v>43586</v>
      </c>
      <c r="C45" s="105">
        <v>95.989448999999993</v>
      </c>
      <c r="E45" s="52">
        <f t="shared" si="0"/>
        <v>-7.9778548141054381E-2</v>
      </c>
      <c r="F45" s="105">
        <v>266.36996499999998</v>
      </c>
      <c r="G45" s="52">
        <f t="shared" si="1"/>
        <v>-6.3771150196113818E-2</v>
      </c>
    </row>
    <row r="46" spans="1:7" x14ac:dyDescent="0.25">
      <c r="A46" s="51">
        <v>40</v>
      </c>
      <c r="B46" s="49">
        <v>43617</v>
      </c>
      <c r="C46" s="105">
        <v>96.612755000000007</v>
      </c>
      <c r="E46" s="52">
        <f t="shared" si="0"/>
        <v>6.4934845078651691E-3</v>
      </c>
      <c r="F46" s="105">
        <v>283.526703</v>
      </c>
      <c r="G46" s="52">
        <f t="shared" si="1"/>
        <v>6.4409431446221868E-2</v>
      </c>
    </row>
    <row r="47" spans="1:7" x14ac:dyDescent="0.25">
      <c r="A47" s="51">
        <v>41</v>
      </c>
      <c r="B47" s="49">
        <v>43647</v>
      </c>
      <c r="C47" s="105">
        <v>98.304603999999998</v>
      </c>
      <c r="E47" s="52">
        <f t="shared" si="0"/>
        <v>1.7511652576308278E-2</v>
      </c>
      <c r="F47" s="105">
        <v>289.21328699999998</v>
      </c>
      <c r="G47" s="52">
        <f t="shared" si="1"/>
        <v>2.0056608213018943E-2</v>
      </c>
    </row>
    <row r="48" spans="1:7" x14ac:dyDescent="0.25">
      <c r="A48" s="51">
        <v>42</v>
      </c>
      <c r="B48" s="49">
        <v>43678</v>
      </c>
      <c r="C48" s="105">
        <v>88.941260999999997</v>
      </c>
      <c r="E48" s="52">
        <f t="shared" si="0"/>
        <v>-9.5248265279620076E-2</v>
      </c>
      <c r="F48" s="105">
        <v>284.37088</v>
      </c>
      <c r="G48" s="52">
        <f t="shared" si="1"/>
        <v>-1.6743376662359154E-2</v>
      </c>
    </row>
    <row r="49" spans="1:7" x14ac:dyDescent="0.25">
      <c r="A49" s="51">
        <v>43</v>
      </c>
      <c r="B49" s="49">
        <v>43709</v>
      </c>
      <c r="C49" s="105">
        <v>95.860671999999994</v>
      </c>
      <c r="E49" s="52">
        <f t="shared" si="0"/>
        <v>7.7797536511203691E-2</v>
      </c>
      <c r="F49" s="105">
        <v>288.57153299999999</v>
      </c>
      <c r="G49" s="52">
        <f t="shared" si="1"/>
        <v>1.4771741044652632E-2</v>
      </c>
    </row>
    <row r="50" spans="1:7" x14ac:dyDescent="0.25">
      <c r="A50" s="51">
        <v>44</v>
      </c>
      <c r="B50" s="49">
        <v>43739</v>
      </c>
      <c r="C50" s="105">
        <v>105.436836</v>
      </c>
      <c r="E50" s="52">
        <f t="shared" si="0"/>
        <v>9.9896691731933676E-2</v>
      </c>
      <c r="F50" s="105">
        <v>296.31237800000002</v>
      </c>
      <c r="G50" s="52">
        <f t="shared" si="1"/>
        <v>2.6824700688685171E-2</v>
      </c>
    </row>
    <row r="51" spans="1:7" x14ac:dyDescent="0.25">
      <c r="A51" s="51">
        <v>45</v>
      </c>
      <c r="B51" s="49">
        <v>43770</v>
      </c>
      <c r="C51" s="105">
        <v>109.13870199999999</v>
      </c>
      <c r="E51" s="52">
        <f t="shared" si="0"/>
        <v>3.5109797869882928E-2</v>
      </c>
      <c r="F51" s="105">
        <v>307.03836100000001</v>
      </c>
      <c r="G51" s="52">
        <f t="shared" si="1"/>
        <v>3.6198227939029888E-2</v>
      </c>
    </row>
    <row r="52" spans="1:7" x14ac:dyDescent="0.25">
      <c r="A52" s="51">
        <v>46</v>
      </c>
      <c r="B52" s="49">
        <v>43800</v>
      </c>
      <c r="C52" s="105">
        <v>116.636398</v>
      </c>
      <c r="E52" s="52">
        <f t="shared" si="0"/>
        <v>6.869878294869225E-2</v>
      </c>
      <c r="F52" s="105">
        <v>314.41369600000002</v>
      </c>
      <c r="G52" s="52">
        <f t="shared" si="1"/>
        <v>2.4020890992184546E-2</v>
      </c>
    </row>
    <row r="53" spans="1:7" x14ac:dyDescent="0.25">
      <c r="A53" s="51">
        <v>47</v>
      </c>
      <c r="B53" s="49">
        <v>43831</v>
      </c>
      <c r="C53" s="105">
        <v>110.11191599999999</v>
      </c>
      <c r="E53" s="52">
        <f t="shared" si="0"/>
        <v>-5.5938644470142213E-2</v>
      </c>
      <c r="F53" s="105">
        <v>315.831909</v>
      </c>
      <c r="G53" s="52">
        <f t="shared" si="1"/>
        <v>4.5106591030944785E-3</v>
      </c>
    </row>
    <row r="54" spans="1:7" x14ac:dyDescent="0.25">
      <c r="A54" s="51">
        <v>48</v>
      </c>
      <c r="B54" s="49">
        <v>43862</v>
      </c>
      <c r="C54" s="105">
        <v>100.040634</v>
      </c>
      <c r="E54" s="52">
        <f t="shared" si="0"/>
        <v>-9.1464051901521695E-2</v>
      </c>
      <c r="F54" s="105">
        <v>290.82882699999999</v>
      </c>
      <c r="G54" s="52">
        <f t="shared" si="1"/>
        <v>-7.9165788153469974E-2</v>
      </c>
    </row>
    <row r="55" spans="1:7" x14ac:dyDescent="0.25">
      <c r="A55" s="51">
        <v>49</v>
      </c>
      <c r="B55" s="49">
        <v>43891</v>
      </c>
      <c r="C55" s="105">
        <v>81.846901000000003</v>
      </c>
      <c r="E55" s="52">
        <f t="shared" si="0"/>
        <v>-0.18186343161319823</v>
      </c>
      <c r="F55" s="105">
        <v>253.02482599999999</v>
      </c>
      <c r="G55" s="52">
        <f t="shared" si="1"/>
        <v>-0.12998711781758829</v>
      </c>
    </row>
    <row r="56" spans="1:7" x14ac:dyDescent="0.25">
      <c r="A56" s="51">
        <v>50</v>
      </c>
      <c r="B56" s="49">
        <v>43922</v>
      </c>
      <c r="C56" s="105">
        <v>103.741051</v>
      </c>
      <c r="E56" s="52">
        <f t="shared" si="0"/>
        <v>0.26750127045127825</v>
      </c>
      <c r="F56" s="105">
        <v>286.83160400000003</v>
      </c>
      <c r="G56" s="52">
        <f t="shared" si="1"/>
        <v>0.13361051772840676</v>
      </c>
    </row>
    <row r="57" spans="1:7" x14ac:dyDescent="0.25">
      <c r="A57" s="51">
        <v>51</v>
      </c>
      <c r="B57" s="49">
        <v>43952</v>
      </c>
      <c r="C57" s="105">
        <v>107.80547300000001</v>
      </c>
      <c r="E57" s="52">
        <f t="shared" si="0"/>
        <v>3.917853116795595E-2</v>
      </c>
      <c r="F57" s="105">
        <v>300.497772</v>
      </c>
      <c r="G57" s="52">
        <f t="shared" si="1"/>
        <v>4.764526575669803E-2</v>
      </c>
    </row>
    <row r="58" spans="1:7" x14ac:dyDescent="0.25">
      <c r="A58" s="51">
        <v>52</v>
      </c>
      <c r="B58" s="49">
        <v>43983</v>
      </c>
      <c r="C58" s="105">
        <v>105.63282</v>
      </c>
      <c r="E58" s="52">
        <f t="shared" si="0"/>
        <v>-2.0153457329573712E-2</v>
      </c>
      <c r="F58" s="105">
        <v>304.48700000000002</v>
      </c>
      <c r="G58" s="52">
        <f t="shared" si="1"/>
        <v>1.3275399592646649E-2</v>
      </c>
    </row>
    <row r="59" spans="1:7" x14ac:dyDescent="0.25">
      <c r="A59" s="51">
        <v>53</v>
      </c>
      <c r="B59" s="49">
        <v>44013</v>
      </c>
      <c r="C59" s="105">
        <v>112.10095200000001</v>
      </c>
      <c r="E59" s="52">
        <f t="shared" si="0"/>
        <v>6.1232219304568521E-2</v>
      </c>
      <c r="F59" s="105">
        <v>323.837738</v>
      </c>
      <c r="G59" s="52">
        <f t="shared" si="1"/>
        <v>6.3551934893772075E-2</v>
      </c>
    </row>
    <row r="60" spans="1:7" x14ac:dyDescent="0.25">
      <c r="A60" s="51">
        <v>54</v>
      </c>
      <c r="B60" s="49">
        <v>44044</v>
      </c>
      <c r="C60" s="105">
        <v>112.730431</v>
      </c>
      <c r="E60" s="52">
        <f t="shared" si="0"/>
        <v>5.6152868353873502E-3</v>
      </c>
      <c r="F60" s="105">
        <v>346.44055200000003</v>
      </c>
      <c r="G60" s="52">
        <f t="shared" si="1"/>
        <v>6.9796726408705406E-2</v>
      </c>
    </row>
    <row r="61" spans="1:7" x14ac:dyDescent="0.25">
      <c r="A61" s="51">
        <v>55</v>
      </c>
      <c r="B61" s="49">
        <v>44075</v>
      </c>
      <c r="C61" s="105">
        <v>108.886543</v>
      </c>
      <c r="E61" s="52">
        <f t="shared" si="0"/>
        <v>-3.4098051128714238E-2</v>
      </c>
      <c r="F61" s="105">
        <v>332.13900799999999</v>
      </c>
      <c r="G61" s="52">
        <f t="shared" si="1"/>
        <v>-4.1281379784893178E-2</v>
      </c>
    </row>
    <row r="62" spans="1:7" x14ac:dyDescent="0.25">
      <c r="A62" s="51">
        <v>56</v>
      </c>
      <c r="B62" s="49">
        <v>44105</v>
      </c>
      <c r="C62" s="105">
        <v>125.939384</v>
      </c>
      <c r="E62" s="52">
        <f t="shared" si="0"/>
        <v>0.15661109747969498</v>
      </c>
      <c r="F62" s="105">
        <v>325.15399200000002</v>
      </c>
      <c r="G62" s="52">
        <f t="shared" si="1"/>
        <v>-2.1030399416379221E-2</v>
      </c>
    </row>
    <row r="63" spans="1:7" x14ac:dyDescent="0.25">
      <c r="A63" s="51">
        <v>57</v>
      </c>
      <c r="B63" s="49">
        <v>44136</v>
      </c>
      <c r="C63" s="105">
        <v>129.55999800000001</v>
      </c>
      <c r="E63" s="52">
        <f t="shared" si="0"/>
        <v>2.8748862230420336E-2</v>
      </c>
      <c r="F63" s="105">
        <v>360.52322400000003</v>
      </c>
      <c r="G63" s="52">
        <f t="shared" si="1"/>
        <v>0.10877686533216548</v>
      </c>
    </row>
    <row r="64" spans="1:7" x14ac:dyDescent="0.25">
      <c r="A64" s="51">
        <v>58</v>
      </c>
      <c r="B64" s="49">
        <v>44166</v>
      </c>
      <c r="C64" s="105">
        <v>146.929993</v>
      </c>
      <c r="E64" s="52">
        <f t="shared" si="0"/>
        <v>0.13406912062471618</v>
      </c>
      <c r="F64" s="105">
        <v>372.29306000000003</v>
      </c>
      <c r="G64" s="52">
        <f t="shared" si="1"/>
        <v>3.2646540407061261E-2</v>
      </c>
    </row>
    <row r="65" spans="1:7" x14ac:dyDescent="0.25">
      <c r="A65" s="51">
        <v>59</v>
      </c>
      <c r="B65" s="49">
        <v>44197</v>
      </c>
      <c r="C65" s="105">
        <v>153.71000699999999</v>
      </c>
      <c r="E65" s="52">
        <f t="shared" si="0"/>
        <v>4.6144519995995607E-2</v>
      </c>
      <c r="F65" s="105">
        <v>375.70001200000002</v>
      </c>
      <c r="G65" s="52">
        <f t="shared" si="1"/>
        <v>9.1512637920244597E-3</v>
      </c>
    </row>
    <row r="66" spans="1:7" x14ac:dyDescent="0.25">
      <c r="A66" s="51">
        <v>60</v>
      </c>
      <c r="B66" s="49">
        <v>44228</v>
      </c>
      <c r="C66" s="50"/>
      <c r="E66" s="52"/>
      <c r="F66" s="50"/>
      <c r="G66" s="52"/>
    </row>
    <row r="67" spans="1:7" x14ac:dyDescent="0.25">
      <c r="A67" s="51">
        <v>61</v>
      </c>
      <c r="B67" s="49">
        <v>44256</v>
      </c>
      <c r="C67" s="50"/>
      <c r="E67" s="52"/>
      <c r="F67" s="50"/>
      <c r="G67" s="52"/>
    </row>
    <row r="68" spans="1:7" x14ac:dyDescent="0.25">
      <c r="A68" s="51"/>
      <c r="B68" s="49"/>
      <c r="C68" s="75"/>
      <c r="E68" s="52"/>
      <c r="F68" s="75"/>
      <c r="G68" s="52"/>
    </row>
    <row r="69" spans="1:7" x14ac:dyDescent="0.25">
      <c r="A69" s="318" t="s">
        <v>11</v>
      </c>
      <c r="B69" s="316"/>
      <c r="C69" s="316"/>
      <c r="D69" s="316"/>
      <c r="E69" s="66">
        <f>AVERAGE(E7:E65)</f>
        <v>2.2147816130885047E-2</v>
      </c>
      <c r="F69" s="66"/>
      <c r="G69" s="66">
        <f>AVERAGE(G7:G65)</f>
        <v>1.3935150448292025E-2</v>
      </c>
    </row>
    <row r="70" spans="1:7" x14ac:dyDescent="0.25">
      <c r="A70" s="318" t="s">
        <v>12</v>
      </c>
      <c r="B70" s="316"/>
      <c r="C70" s="316"/>
      <c r="D70" s="316"/>
      <c r="E70" s="66">
        <f>_xlfn.STDEV.S(E7:E65)</f>
        <v>7.7327715103324451E-2</v>
      </c>
      <c r="F70" s="66"/>
      <c r="G70" s="66">
        <f>_xlfn.STDEV.S(G7:G65)</f>
        <v>4.4388178466918275E-2</v>
      </c>
    </row>
  </sheetData>
  <mergeCells count="5">
    <mergeCell ref="A4:B4"/>
    <mergeCell ref="C4:E4"/>
    <mergeCell ref="F4:G4"/>
    <mergeCell ref="A69:D69"/>
    <mergeCell ref="A70:D7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C4A6-7EBE-43D0-A5C0-A2737CB78EC1}">
  <dimension ref="A1:I59"/>
  <sheetViews>
    <sheetView topLeftCell="A4" zoomScale="85" zoomScaleNormal="85" workbookViewId="0">
      <selection activeCell="C22" sqref="C22"/>
    </sheetView>
  </sheetViews>
  <sheetFormatPr defaultRowHeight="15.75" x14ac:dyDescent="0.25"/>
  <cols>
    <col min="1" max="1" width="10.25" customWidth="1"/>
    <col min="2" max="2" width="40.125" customWidth="1"/>
    <col min="3" max="4" width="10.25" customWidth="1"/>
    <col min="5" max="5" width="22.25" customWidth="1"/>
    <col min="6" max="9" width="10.25" customWidth="1"/>
  </cols>
  <sheetData>
    <row r="1" spans="1:5" ht="27" x14ac:dyDescent="0.35">
      <c r="A1" s="62" t="s">
        <v>88</v>
      </c>
      <c r="B1" s="96"/>
      <c r="C1" s="96"/>
      <c r="D1" s="37"/>
    </row>
    <row r="2" spans="1:5" ht="21.75" x14ac:dyDescent="0.3">
      <c r="A2" s="63" t="s">
        <v>148</v>
      </c>
      <c r="B2" s="96"/>
      <c r="C2" s="96"/>
      <c r="D2" s="37"/>
    </row>
    <row r="3" spans="1:5" x14ac:dyDescent="0.25">
      <c r="A3" s="37"/>
      <c r="B3" s="37"/>
      <c r="C3" s="37"/>
      <c r="D3" s="37"/>
      <c r="E3" s="37"/>
    </row>
    <row r="4" spans="1:5" x14ac:dyDescent="0.25">
      <c r="A4" s="99" t="s">
        <v>149</v>
      </c>
      <c r="B4" s="99" t="s">
        <v>150</v>
      </c>
      <c r="C4" s="99" t="s">
        <v>399</v>
      </c>
      <c r="D4" s="99" t="s">
        <v>178</v>
      </c>
      <c r="E4" s="99" t="s">
        <v>336</v>
      </c>
    </row>
    <row r="5" spans="1:5" x14ac:dyDescent="0.25">
      <c r="A5" s="100" t="s">
        <v>151</v>
      </c>
      <c r="B5" s="100" t="s">
        <v>152</v>
      </c>
      <c r="C5" s="103">
        <v>1.3</v>
      </c>
      <c r="D5" s="105">
        <v>8.4222386</v>
      </c>
      <c r="E5" s="179">
        <f>D5*$B$42/C5-1</f>
        <v>0.22367304919881414</v>
      </c>
    </row>
    <row r="6" spans="1:5" x14ac:dyDescent="0.25">
      <c r="A6" s="101" t="s">
        <v>153</v>
      </c>
      <c r="B6" s="101" t="s">
        <v>154</v>
      </c>
      <c r="C6" s="103">
        <v>1.5</v>
      </c>
      <c r="D6" s="105">
        <v>9.9146881999999987</v>
      </c>
      <c r="E6" s="179">
        <f t="shared" ref="E6:E15" si="0">D6*$B$42/C6-1</f>
        <v>0.24844383329109587</v>
      </c>
    </row>
    <row r="7" spans="1:5" x14ac:dyDescent="0.25">
      <c r="A7" s="102" t="s">
        <v>141</v>
      </c>
      <c r="B7" s="102" t="s">
        <v>155</v>
      </c>
      <c r="C7" s="104">
        <v>2.1</v>
      </c>
      <c r="D7" s="106">
        <v>10.264219399999998</v>
      </c>
      <c r="E7" s="179">
        <f t="shared" si="0"/>
        <v>-7.6816915110075046E-2</v>
      </c>
    </row>
    <row r="8" spans="1:5" x14ac:dyDescent="0.25">
      <c r="A8" s="101" t="s">
        <v>156</v>
      </c>
      <c r="B8" s="101" t="s">
        <v>157</v>
      </c>
      <c r="C8" s="103">
        <v>1.2</v>
      </c>
      <c r="D8" s="105">
        <v>12.0789194</v>
      </c>
      <c r="E8" s="179">
        <f t="shared" si="0"/>
        <v>0.90120104303307613</v>
      </c>
    </row>
    <row r="9" spans="1:5" x14ac:dyDescent="0.25">
      <c r="A9" s="100" t="s">
        <v>158</v>
      </c>
      <c r="B9" s="100" t="s">
        <v>159</v>
      </c>
      <c r="C9" s="103">
        <v>2.2999999999999998</v>
      </c>
      <c r="D9" s="105">
        <v>15.147677400000001</v>
      </c>
      <c r="E9" s="179">
        <f t="shared" si="0"/>
        <v>0.24393995646340594</v>
      </c>
    </row>
    <row r="10" spans="1:5" x14ac:dyDescent="0.25">
      <c r="A10" s="101" t="s">
        <v>160</v>
      </c>
      <c r="B10" s="101" t="s">
        <v>161</v>
      </c>
      <c r="C10" s="103">
        <v>2.2000000000000002</v>
      </c>
      <c r="D10" s="105">
        <v>12.488816000000002</v>
      </c>
      <c r="E10" s="179">
        <f t="shared" si="0"/>
        <v>7.2209850709666457E-2</v>
      </c>
    </row>
    <row r="11" spans="1:5" x14ac:dyDescent="0.25">
      <c r="A11" s="100" t="s">
        <v>162</v>
      </c>
      <c r="B11" s="100" t="s">
        <v>163</v>
      </c>
      <c r="C11" s="103">
        <v>1.5</v>
      </c>
      <c r="D11" s="105">
        <v>9.6780843999999995</v>
      </c>
      <c r="E11" s="179">
        <f t="shared" si="0"/>
        <v>0.21865100984726449</v>
      </c>
    </row>
    <row r="12" spans="1:5" x14ac:dyDescent="0.25">
      <c r="A12" s="101" t="s">
        <v>164</v>
      </c>
      <c r="B12" s="101" t="s">
        <v>165</v>
      </c>
      <c r="C12" s="103">
        <v>0.8</v>
      </c>
      <c r="D12" s="105">
        <v>6.9166613999999997</v>
      </c>
      <c r="E12" s="179">
        <f>D12*$B$42/C12-1</f>
        <v>0.63300583013907064</v>
      </c>
    </row>
    <row r="13" spans="1:5" x14ac:dyDescent="0.25">
      <c r="A13" s="100" t="s">
        <v>166</v>
      </c>
      <c r="B13" s="100" t="s">
        <v>167</v>
      </c>
      <c r="C13" s="103">
        <v>0.8</v>
      </c>
      <c r="D13" s="105">
        <v>8.6652296</v>
      </c>
      <c r="E13" s="179">
        <f t="shared" si="0"/>
        <v>1.0458382502710983</v>
      </c>
    </row>
    <row r="14" spans="1:5" x14ac:dyDescent="0.25">
      <c r="A14" s="101" t="s">
        <v>168</v>
      </c>
      <c r="B14" s="101" t="s">
        <v>169</v>
      </c>
      <c r="C14" s="103">
        <v>1.5</v>
      </c>
      <c r="D14" s="105">
        <v>11.082796599999998</v>
      </c>
      <c r="E14" s="179">
        <f t="shared" si="0"/>
        <v>0.39553042836884411</v>
      </c>
    </row>
    <row r="15" spans="1:5" x14ac:dyDescent="0.25">
      <c r="A15" s="100" t="s">
        <v>170</v>
      </c>
      <c r="B15" s="100" t="s">
        <v>171</v>
      </c>
      <c r="C15" s="103">
        <v>2.2999999999999998</v>
      </c>
      <c r="D15" s="105">
        <v>12.665995399999998</v>
      </c>
      <c r="E15" s="179">
        <f t="shared" si="0"/>
        <v>4.0142151855022679E-2</v>
      </c>
    </row>
    <row r="16" spans="1:5" x14ac:dyDescent="0.25">
      <c r="A16" s="100"/>
      <c r="B16" s="100"/>
      <c r="C16" s="103"/>
      <c r="D16" s="103"/>
      <c r="E16" s="37"/>
    </row>
    <row r="17" spans="1:9" x14ac:dyDescent="0.25">
      <c r="A17" s="100" t="s">
        <v>22</v>
      </c>
      <c r="B17" s="100" t="s">
        <v>176</v>
      </c>
      <c r="C17" s="105">
        <f>AVERAGE(C$5:C$6,C$8:C$15)</f>
        <v>1.5400000000000003</v>
      </c>
      <c r="D17" s="105">
        <f>AVERAGE(D$5:D$6,D$8:D$15)</f>
        <v>10.7061107</v>
      </c>
      <c r="E17" s="37"/>
    </row>
    <row r="18" spans="1:9" s="37" customFormat="1" x14ac:dyDescent="0.25">
      <c r="A18" s="102" t="s">
        <v>141</v>
      </c>
      <c r="B18" s="102" t="s">
        <v>155</v>
      </c>
      <c r="C18" s="104">
        <v>2.5099999999999998</v>
      </c>
      <c r="D18" s="106">
        <v>9.85</v>
      </c>
      <c r="E18" s="37" t="s">
        <v>331</v>
      </c>
    </row>
    <row r="19" spans="1:9" s="37" customFormat="1" x14ac:dyDescent="0.25">
      <c r="A19" s="100" t="s">
        <v>398</v>
      </c>
      <c r="B19" s="100" t="s">
        <v>335</v>
      </c>
      <c r="C19" s="105">
        <f>D18*B42</f>
        <v>1.8604475768462334</v>
      </c>
      <c r="D19" s="105"/>
    </row>
    <row r="20" spans="1:9" s="37" customFormat="1" x14ac:dyDescent="0.25"/>
    <row r="21" spans="1:9" x14ac:dyDescent="0.25">
      <c r="A21" s="162" t="s">
        <v>322</v>
      </c>
      <c r="C21">
        <v>1.86</v>
      </c>
    </row>
    <row r="22" spans="1:9" x14ac:dyDescent="0.25">
      <c r="A22" s="162" t="s">
        <v>337</v>
      </c>
      <c r="C22" s="178">
        <f>C18/C19-1</f>
        <v>0.34913771892184431</v>
      </c>
      <c r="D22" s="106">
        <f>Data!E1/(1+C22)</f>
        <v>107.37969739351149</v>
      </c>
    </row>
    <row r="23" spans="1:9" s="37" customFormat="1" x14ac:dyDescent="0.25">
      <c r="A23" s="162"/>
    </row>
    <row r="24" spans="1:9" x14ac:dyDescent="0.25">
      <c r="A24" s="37" t="s">
        <v>455</v>
      </c>
      <c r="B24" s="37" t="s">
        <v>456</v>
      </c>
      <c r="C24" s="37" t="s">
        <v>457</v>
      </c>
      <c r="D24" s="37" t="s">
        <v>458</v>
      </c>
      <c r="E24" s="37" t="s">
        <v>459</v>
      </c>
      <c r="F24" s="37" t="s">
        <v>460</v>
      </c>
      <c r="G24" s="37" t="s">
        <v>461</v>
      </c>
      <c r="H24" s="37" t="s">
        <v>462</v>
      </c>
      <c r="I24" s="37" t="s">
        <v>463</v>
      </c>
    </row>
    <row r="25" spans="1:9" x14ac:dyDescent="0.25">
      <c r="A25" t="s">
        <v>179</v>
      </c>
    </row>
    <row r="26" spans="1:9" ht="16.5" thickBot="1" x14ac:dyDescent="0.3"/>
    <row r="27" spans="1:9" x14ac:dyDescent="0.25">
      <c r="A27" s="114" t="s">
        <v>180</v>
      </c>
      <c r="B27" s="114"/>
    </row>
    <row r="28" spans="1:9" x14ac:dyDescent="0.25">
      <c r="A28" s="111" t="s">
        <v>181</v>
      </c>
      <c r="B28" s="111">
        <v>0.78485353599311225</v>
      </c>
    </row>
    <row r="29" spans="1:9" x14ac:dyDescent="0.25">
      <c r="A29" s="111" t="s">
        <v>182</v>
      </c>
      <c r="B29" s="111">
        <v>0.61599507296089151</v>
      </c>
    </row>
    <row r="30" spans="1:9" x14ac:dyDescent="0.25">
      <c r="A30" s="111" t="s">
        <v>183</v>
      </c>
      <c r="B30" s="111">
        <v>0.57332785884543502</v>
      </c>
    </row>
    <row r="31" spans="1:9" x14ac:dyDescent="0.25">
      <c r="A31" s="111" t="s">
        <v>184</v>
      </c>
      <c r="B31" s="111">
        <v>0.36655550205558141</v>
      </c>
    </row>
    <row r="32" spans="1:9" ht="16.5" thickBot="1" x14ac:dyDescent="0.3">
      <c r="A32" s="112" t="s">
        <v>185</v>
      </c>
      <c r="B32" s="112">
        <v>11</v>
      </c>
    </row>
    <row r="34" spans="1:9" ht="16.5" thickBot="1" x14ac:dyDescent="0.3">
      <c r="A34" t="s">
        <v>186</v>
      </c>
    </row>
    <row r="35" spans="1:9" x14ac:dyDescent="0.25">
      <c r="A35" s="113"/>
      <c r="B35" s="113" t="s">
        <v>190</v>
      </c>
      <c r="C35" s="113" t="s">
        <v>191</v>
      </c>
      <c r="D35" s="113" t="s">
        <v>192</v>
      </c>
      <c r="E35" s="113" t="s">
        <v>193</v>
      </c>
      <c r="F35" s="113" t="s">
        <v>194</v>
      </c>
    </row>
    <row r="36" spans="1:9" x14ac:dyDescent="0.25">
      <c r="A36" s="111" t="s">
        <v>187</v>
      </c>
      <c r="B36" s="111">
        <v>1</v>
      </c>
      <c r="C36" s="111">
        <v>1.9398244843059347</v>
      </c>
      <c r="D36" s="111">
        <v>1.9398244843059347</v>
      </c>
      <c r="E36" s="111">
        <v>14.437199281256635</v>
      </c>
      <c r="F36" s="111">
        <v>4.2197526776278586E-3</v>
      </c>
    </row>
    <row r="37" spans="1:9" x14ac:dyDescent="0.25">
      <c r="A37" s="111" t="s">
        <v>188</v>
      </c>
      <c r="B37" s="111">
        <v>9</v>
      </c>
      <c r="C37" s="111">
        <v>1.2092664247849743</v>
      </c>
      <c r="D37" s="111">
        <v>0.13436293608721936</v>
      </c>
      <c r="E37" s="111"/>
      <c r="F37" s="111"/>
    </row>
    <row r="38" spans="1:9" ht="16.5" thickBot="1" x14ac:dyDescent="0.3">
      <c r="A38" s="112" t="s">
        <v>177</v>
      </c>
      <c r="B38" s="112">
        <v>10</v>
      </c>
      <c r="C38" s="112">
        <v>3.1490909090909089</v>
      </c>
      <c r="D38" s="112"/>
      <c r="E38" s="112"/>
      <c r="F38" s="112"/>
    </row>
    <row r="39" spans="1:9" ht="16.5" thickBot="1" x14ac:dyDescent="0.3"/>
    <row r="40" spans="1:9" x14ac:dyDescent="0.25">
      <c r="A40" s="113"/>
      <c r="B40" s="113" t="s">
        <v>195</v>
      </c>
      <c r="C40" s="113" t="s">
        <v>184</v>
      </c>
      <c r="D40" s="113" t="s">
        <v>196</v>
      </c>
      <c r="E40" s="113" t="s">
        <v>197</v>
      </c>
      <c r="F40" s="113" t="s">
        <v>198</v>
      </c>
      <c r="G40" s="113" t="s">
        <v>199</v>
      </c>
      <c r="H40" s="113" t="s">
        <v>332</v>
      </c>
      <c r="I40" s="113" t="s">
        <v>333</v>
      </c>
    </row>
    <row r="41" spans="1:9" x14ac:dyDescent="0.25">
      <c r="A41" s="111" t="s">
        <v>189</v>
      </c>
      <c r="B41" s="111">
        <v>-0.42365130783178007</v>
      </c>
      <c r="C41" s="111">
        <v>0.5415954937944214</v>
      </c>
      <c r="D41" s="111">
        <v>-0.78222827310411391</v>
      </c>
      <c r="E41" s="111">
        <v>0.45416770294370834</v>
      </c>
      <c r="F41" s="111">
        <v>-1.6488254334580614</v>
      </c>
      <c r="G41" s="111">
        <v>0.8015228177945013</v>
      </c>
      <c r="H41" s="111">
        <v>-1.6488254334580614</v>
      </c>
      <c r="I41" s="111">
        <v>0.8015228177945013</v>
      </c>
    </row>
    <row r="42" spans="1:9" x14ac:dyDescent="0.25">
      <c r="A42" s="111" t="s">
        <v>178</v>
      </c>
      <c r="B42" s="111">
        <v>0.18887792658337396</v>
      </c>
      <c r="C42" s="111">
        <v>4.9709538477187565E-2</v>
      </c>
      <c r="D42" s="111">
        <v>3.7996314665052222</v>
      </c>
      <c r="E42" s="111">
        <v>4.2197526776278672E-3</v>
      </c>
      <c r="F42" s="111">
        <v>7.6427138057811123E-2</v>
      </c>
      <c r="G42" s="111">
        <v>0.30132871510893677</v>
      </c>
      <c r="H42" s="111">
        <v>7.6427138057811123E-2</v>
      </c>
      <c r="I42" s="111">
        <v>0.30132871510893677</v>
      </c>
    </row>
    <row r="46" spans="1:9" x14ac:dyDescent="0.25">
      <c r="A46" t="s">
        <v>200</v>
      </c>
      <c r="F46" t="s">
        <v>204</v>
      </c>
    </row>
    <row r="47" spans="1:9" ht="16.5" thickBot="1" x14ac:dyDescent="0.3"/>
    <row r="48" spans="1:9" x14ac:dyDescent="0.25">
      <c r="A48" s="113" t="s">
        <v>201</v>
      </c>
      <c r="B48" s="113" t="s">
        <v>334</v>
      </c>
      <c r="C48" s="113" t="s">
        <v>202</v>
      </c>
      <c r="D48" s="113" t="s">
        <v>203</v>
      </c>
      <c r="F48" s="113" t="s">
        <v>205</v>
      </c>
      <c r="G48" s="113" t="s">
        <v>330</v>
      </c>
    </row>
    <row r="49" spans="1:7" x14ac:dyDescent="0.25">
      <c r="A49" s="111">
        <v>1</v>
      </c>
      <c r="B49" s="111">
        <v>1.1671236561266782</v>
      </c>
      <c r="C49" s="111">
        <v>0.13287634387332181</v>
      </c>
      <c r="D49" s="111">
        <v>0.38210847692376904</v>
      </c>
      <c r="F49" s="111">
        <v>4.5454545454545459</v>
      </c>
      <c r="G49" s="111">
        <v>0.8</v>
      </c>
    </row>
    <row r="50" spans="1:7" x14ac:dyDescent="0.25">
      <c r="A50" s="111">
        <v>2</v>
      </c>
      <c r="B50" s="111">
        <v>1.4490144421048639</v>
      </c>
      <c r="C50" s="111">
        <v>5.0985557895136147E-2</v>
      </c>
      <c r="D50" s="111">
        <v>0.14661762436052858</v>
      </c>
      <c r="F50" s="111">
        <v>13.636363636363637</v>
      </c>
      <c r="G50" s="111">
        <v>0.8</v>
      </c>
    </row>
    <row r="51" spans="1:7" x14ac:dyDescent="0.25">
      <c r="A51" s="111">
        <v>3</v>
      </c>
      <c r="B51" s="111">
        <v>1.5150331704370623</v>
      </c>
      <c r="C51" s="111">
        <v>0.58496682956293777</v>
      </c>
      <c r="D51" s="111">
        <v>1.6821713916836436</v>
      </c>
      <c r="F51" s="111">
        <v>22.72727272727273</v>
      </c>
      <c r="G51" s="111">
        <v>1.2</v>
      </c>
    </row>
    <row r="52" spans="1:7" x14ac:dyDescent="0.25">
      <c r="A52" s="111">
        <v>4</v>
      </c>
      <c r="B52" s="111">
        <v>1.8577899438079113</v>
      </c>
      <c r="C52" s="111">
        <v>-0.65778994380791134</v>
      </c>
      <c r="D52" s="111">
        <v>-1.8915866153258656</v>
      </c>
      <c r="F52" s="111">
        <v>31.81818181818182</v>
      </c>
      <c r="G52" s="111">
        <v>1.3</v>
      </c>
    </row>
    <row r="53" spans="1:7" x14ac:dyDescent="0.25">
      <c r="A53" s="111">
        <v>5</v>
      </c>
      <c r="B53" s="111">
        <v>2.4374105920340532</v>
      </c>
      <c r="C53" s="111">
        <v>-0.13741059203405337</v>
      </c>
      <c r="D53" s="111">
        <v>-0.39514747700600561</v>
      </c>
      <c r="F53" s="111">
        <v>40.909090909090914</v>
      </c>
      <c r="G53" s="111">
        <v>1.5</v>
      </c>
    </row>
    <row r="54" spans="1:7" x14ac:dyDescent="0.25">
      <c r="A54" s="111">
        <v>6</v>
      </c>
      <c r="B54" s="111">
        <v>1.9352103637294862</v>
      </c>
      <c r="C54" s="111">
        <v>0.26478963627051399</v>
      </c>
      <c r="D54" s="111">
        <v>0.76144753589084058</v>
      </c>
      <c r="F54" s="111">
        <v>50.000000000000007</v>
      </c>
      <c r="G54" s="111">
        <v>1.5</v>
      </c>
    </row>
    <row r="55" spans="1:7" x14ac:dyDescent="0.25">
      <c r="A55" s="111">
        <v>7</v>
      </c>
      <c r="B55" s="111">
        <v>1.4043252069391168</v>
      </c>
      <c r="C55" s="111">
        <v>9.5674793060883223E-2</v>
      </c>
      <c r="D55" s="111">
        <v>0.27512910417932429</v>
      </c>
      <c r="F55" s="111">
        <v>59.090909090909093</v>
      </c>
      <c r="G55" s="111">
        <v>1.5</v>
      </c>
    </row>
    <row r="56" spans="1:7" x14ac:dyDescent="0.25">
      <c r="A56" s="111">
        <v>8</v>
      </c>
      <c r="B56" s="111">
        <v>0.88275335627947649</v>
      </c>
      <c r="C56" s="111">
        <v>-8.2753356279476442E-2</v>
      </c>
      <c r="D56" s="111">
        <v>-0.23797131984927683</v>
      </c>
      <c r="F56" s="111">
        <v>68.181818181818187</v>
      </c>
      <c r="G56" s="111">
        <v>2.1</v>
      </c>
    </row>
    <row r="57" spans="1:7" x14ac:dyDescent="0.25">
      <c r="A57" s="111">
        <v>9</v>
      </c>
      <c r="B57" s="111">
        <v>1.2130192923850989</v>
      </c>
      <c r="C57" s="111">
        <v>-0.41301929238509882</v>
      </c>
      <c r="D57" s="111">
        <v>-1.1877070677370498</v>
      </c>
      <c r="F57" s="111">
        <v>77.27272727272728</v>
      </c>
      <c r="G57" s="111">
        <v>2.2000000000000002</v>
      </c>
    </row>
    <row r="58" spans="1:7" x14ac:dyDescent="0.25">
      <c r="A58" s="111">
        <v>10</v>
      </c>
      <c r="B58" s="111">
        <v>1.669644334721486</v>
      </c>
      <c r="C58" s="111">
        <v>-0.16964433472148599</v>
      </c>
      <c r="D58" s="111">
        <v>-0.48784107441255231</v>
      </c>
      <c r="F58" s="111">
        <v>86.363636363636374</v>
      </c>
      <c r="G58" s="111">
        <v>2.2999999999999998</v>
      </c>
    </row>
    <row r="59" spans="1:7" ht="16.5" thickBot="1" x14ac:dyDescent="0.3">
      <c r="A59" s="112">
        <v>11</v>
      </c>
      <c r="B59" s="112">
        <v>1.9686756414347717</v>
      </c>
      <c r="C59" s="112">
        <v>0.33132435856522813</v>
      </c>
      <c r="D59" s="112">
        <v>0.95277942129262994</v>
      </c>
      <c r="F59" s="112">
        <v>95.454545454545467</v>
      </c>
      <c r="G59" s="112">
        <v>2.2999999999999998</v>
      </c>
    </row>
  </sheetData>
  <sortState xmlns:xlrd2="http://schemas.microsoft.com/office/spreadsheetml/2017/richdata2" ref="G49:G59">
    <sortCondition ref="G49"/>
  </sortState>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CC6A0-72E9-45F8-AD43-999BE69AB6C2}">
  <dimension ref="A4:P46"/>
  <sheetViews>
    <sheetView zoomScaleNormal="100" workbookViewId="0">
      <selection activeCell="C46" sqref="C46"/>
    </sheetView>
  </sheetViews>
  <sheetFormatPr defaultRowHeight="15" x14ac:dyDescent="0.25"/>
  <cols>
    <col min="1" max="1" width="9" style="115"/>
    <col min="2" max="2" width="30.125" style="115" bestFit="1" customWidth="1"/>
    <col min="3" max="3" width="11.875" style="115" bestFit="1" customWidth="1"/>
    <col min="4" max="5" width="21.125" style="115" bestFit="1" customWidth="1"/>
    <col min="6" max="6" width="17.5" style="115" bestFit="1" customWidth="1"/>
    <col min="7" max="10" width="11.25" style="115" bestFit="1" customWidth="1"/>
    <col min="11" max="14" width="10.875" style="115" bestFit="1" customWidth="1"/>
    <col min="15" max="16384" width="9" style="115"/>
  </cols>
  <sheetData>
    <row r="4" spans="1:16" ht="15.75" thickBot="1" x14ac:dyDescent="0.3">
      <c r="C4" s="237">
        <v>2020</v>
      </c>
      <c r="D4" s="237">
        <v>2019</v>
      </c>
    </row>
    <row r="5" spans="1:16" x14ac:dyDescent="0.25">
      <c r="B5" s="115" t="s">
        <v>479</v>
      </c>
    </row>
    <row r="6" spans="1:16" ht="15.75" x14ac:dyDescent="0.25">
      <c r="B6" s="115" t="s">
        <v>480</v>
      </c>
      <c r="C6" s="238">
        <v>130751.49</v>
      </c>
      <c r="D6" s="239">
        <v>106927.303</v>
      </c>
    </row>
    <row r="7" spans="1:16" ht="15.75" x14ac:dyDescent="0.25">
      <c r="B7" s="115" t="s">
        <v>481</v>
      </c>
      <c r="C7" s="238">
        <v>11750.65</v>
      </c>
      <c r="D7" s="239">
        <v>9851.107</v>
      </c>
      <c r="P7" s="115" t="s">
        <v>482</v>
      </c>
    </row>
    <row r="8" spans="1:16" ht="15.75" x14ac:dyDescent="0.25">
      <c r="B8" s="240" t="s">
        <v>483</v>
      </c>
      <c r="C8" s="241">
        <v>1064.1500000000001</v>
      </c>
      <c r="D8" s="239">
        <v>930.33</v>
      </c>
    </row>
    <row r="9" spans="1:16" ht="15.75" x14ac:dyDescent="0.25">
      <c r="B9" s="240" t="s">
        <v>484</v>
      </c>
      <c r="C9" s="241">
        <v>853.83</v>
      </c>
      <c r="D9" s="239"/>
    </row>
    <row r="10" spans="1:16" ht="15.75" x14ac:dyDescent="0.25">
      <c r="B10" s="242" t="s">
        <v>485</v>
      </c>
      <c r="C10" s="243">
        <v>8677.777</v>
      </c>
    </row>
    <row r="11" spans="1:16" ht="15.75" x14ac:dyDescent="0.25">
      <c r="B11" s="242" t="s">
        <v>486</v>
      </c>
      <c r="C11" s="244">
        <f>(C7/C10)^0.33-1</f>
        <v>0.10521208153908024</v>
      </c>
    </row>
    <row r="12" spans="1:16" ht="15.75" x14ac:dyDescent="0.25">
      <c r="B12" s="242" t="s">
        <v>487</v>
      </c>
      <c r="C12" s="244">
        <f>(D21/C21)-1</f>
        <v>7.8919322044147311E-2</v>
      </c>
    </row>
    <row r="13" spans="1:16" ht="15.75" x14ac:dyDescent="0.25">
      <c r="A13" s="115" t="s">
        <v>488</v>
      </c>
      <c r="B13" s="245"/>
      <c r="C13" s="246">
        <f>(C8/C9)^0.33-1</f>
        <v>7.5371134938212903E-2</v>
      </c>
    </row>
    <row r="14" spans="1:16" ht="15.75" x14ac:dyDescent="0.25">
      <c r="B14" s="245" t="s">
        <v>489</v>
      </c>
      <c r="C14" s="246">
        <f>(C8/D8)-1</f>
        <v>0.14384143260993421</v>
      </c>
      <c r="D14" s="247">
        <f>C14-0.002</f>
        <v>0.1418414326099342</v>
      </c>
      <c r="E14" s="248">
        <f>D14-0.002</f>
        <v>0.1398414326099342</v>
      </c>
      <c r="F14" s="247">
        <f t="shared" ref="F14:L14" si="0">E14-0.002</f>
        <v>0.1378414326099342</v>
      </c>
      <c r="G14" s="248">
        <f t="shared" si="0"/>
        <v>0.1358414326099342</v>
      </c>
      <c r="H14" s="247">
        <f t="shared" si="0"/>
        <v>0.1338414326099342</v>
      </c>
      <c r="I14" s="248">
        <f t="shared" si="0"/>
        <v>0.13184143260993419</v>
      </c>
      <c r="J14" s="247">
        <f t="shared" si="0"/>
        <v>0.12984143260993419</v>
      </c>
      <c r="K14" s="248">
        <f t="shared" si="0"/>
        <v>0.12784143260993419</v>
      </c>
      <c r="L14" s="247">
        <f t="shared" si="0"/>
        <v>0.12584143260993419</v>
      </c>
    </row>
    <row r="15" spans="1:16" ht="15.75" x14ac:dyDescent="0.25">
      <c r="B15" s="115" t="s">
        <v>490</v>
      </c>
      <c r="C15" s="249"/>
    </row>
    <row r="17" spans="2:15" ht="15.75" thickBot="1" x14ac:dyDescent="0.3">
      <c r="B17" s="250" t="s">
        <v>491</v>
      </c>
      <c r="C17" s="237">
        <v>2019</v>
      </c>
      <c r="D17" s="237">
        <v>2020</v>
      </c>
      <c r="E17" s="237">
        <v>2021</v>
      </c>
      <c r="F17" s="237">
        <v>2022</v>
      </c>
      <c r="G17" s="237">
        <v>2023</v>
      </c>
      <c r="H17" s="237">
        <v>2024</v>
      </c>
      <c r="I17" s="237">
        <v>2025</v>
      </c>
      <c r="J17" s="237">
        <v>2026</v>
      </c>
      <c r="K17" s="237">
        <v>2027</v>
      </c>
      <c r="L17" s="237">
        <v>2028</v>
      </c>
      <c r="M17" s="237">
        <v>2029</v>
      </c>
      <c r="N17" s="237">
        <v>2030</v>
      </c>
    </row>
    <row r="18" spans="2:15" ht="15.75" x14ac:dyDescent="0.25">
      <c r="B18" s="251" t="s">
        <v>492</v>
      </c>
      <c r="C18" s="248"/>
      <c r="D18" s="248">
        <f>C12</f>
        <v>7.8919322044147311E-2</v>
      </c>
      <c r="E18" s="248">
        <f>D18+0.01</f>
        <v>8.8919322044147306E-2</v>
      </c>
      <c r="F18" s="249">
        <f>E18+0.01</f>
        <v>9.8919322044147301E-2</v>
      </c>
      <c r="G18" s="248">
        <f t="shared" ref="G18:N18" si="1">F18+0.01</f>
        <v>0.1089193220441473</v>
      </c>
      <c r="H18" s="249">
        <f t="shared" si="1"/>
        <v>0.11891932204414729</v>
      </c>
      <c r="I18" s="248">
        <f t="shared" si="1"/>
        <v>0.1289193220441473</v>
      </c>
      <c r="J18" s="249">
        <f t="shared" si="1"/>
        <v>0.13891932204414731</v>
      </c>
      <c r="K18" s="248">
        <f t="shared" si="1"/>
        <v>0.14891932204414732</v>
      </c>
      <c r="L18" s="249">
        <f t="shared" si="1"/>
        <v>0.15891932204414733</v>
      </c>
      <c r="M18" s="248">
        <f t="shared" si="1"/>
        <v>0.16891932204414734</v>
      </c>
      <c r="N18" s="249">
        <f t="shared" si="1"/>
        <v>0.17891932204414734</v>
      </c>
    </row>
    <row r="19" spans="2:15" ht="15.75" x14ac:dyDescent="0.25">
      <c r="B19" s="251" t="s">
        <v>493</v>
      </c>
      <c r="C19" s="252">
        <v>3579.48</v>
      </c>
      <c r="D19" s="252">
        <v>3852.67</v>
      </c>
      <c r="E19" s="248"/>
      <c r="F19" s="249"/>
      <c r="G19" s="248"/>
      <c r="H19" s="249"/>
      <c r="I19" s="248"/>
      <c r="J19" s="249"/>
      <c r="K19" s="248"/>
      <c r="L19" s="249"/>
      <c r="M19" s="248"/>
      <c r="N19" s="249"/>
    </row>
    <row r="20" spans="2:15" ht="15.75" x14ac:dyDescent="0.25">
      <c r="B20" s="251" t="s">
        <v>494</v>
      </c>
      <c r="C20" s="253">
        <v>389.51</v>
      </c>
      <c r="D20" s="252">
        <v>429.55</v>
      </c>
      <c r="E20" s="248"/>
      <c r="F20" s="249"/>
      <c r="G20" s="248"/>
      <c r="H20" s="249"/>
      <c r="I20" s="248"/>
      <c r="J20" s="249"/>
      <c r="K20" s="248"/>
      <c r="L20" s="249"/>
      <c r="M20" s="248"/>
      <c r="N20" s="249"/>
    </row>
    <row r="21" spans="2:15" x14ac:dyDescent="0.25">
      <c r="B21" s="251" t="s">
        <v>495</v>
      </c>
      <c r="C21" s="253">
        <f>C19+C20</f>
        <v>3968.99</v>
      </c>
      <c r="D21" s="253">
        <f>D19+D20</f>
        <v>4282.22</v>
      </c>
      <c r="E21" s="253">
        <f t="shared" ref="E21:N21" si="2">D21*(1+E18)</f>
        <v>4662.9920992438892</v>
      </c>
      <c r="F21" s="253">
        <f t="shared" si="2"/>
        <v>5124.2521163983101</v>
      </c>
      <c r="G21" s="253">
        <f t="shared" si="2"/>
        <v>5682.3821828997015</v>
      </c>
      <c r="H21" s="253">
        <f t="shared" si="2"/>
        <v>6358.1272196858763</v>
      </c>
      <c r="I21" s="253">
        <f t="shared" si="2"/>
        <v>7177.8126703182188</v>
      </c>
      <c r="J21" s="253">
        <f t="shared" si="2"/>
        <v>8174.9495402387165</v>
      </c>
      <c r="K21" s="253">
        <f t="shared" si="2"/>
        <v>9392.3574835161799</v>
      </c>
      <c r="L21" s="253">
        <f t="shared" si="2"/>
        <v>10884.984567192845</v>
      </c>
      <c r="M21" s="253">
        <f t="shared" si="2"/>
        <v>12723.668780744068</v>
      </c>
      <c r="N21" s="253">
        <f t="shared" si="2"/>
        <v>15000.178972909081</v>
      </c>
    </row>
    <row r="22" spans="2:15" ht="15.75" x14ac:dyDescent="0.25">
      <c r="B22" s="251" t="s">
        <v>496</v>
      </c>
      <c r="C22" s="249">
        <f>0.1121</f>
        <v>0.11210000000000001</v>
      </c>
      <c r="D22" s="248">
        <f>C22+0.002</f>
        <v>0.11410000000000001</v>
      </c>
      <c r="E22" s="249">
        <f>D22+0.002</f>
        <v>0.11610000000000001</v>
      </c>
      <c r="F22" s="248">
        <f t="shared" ref="F22:N22" si="3">E22+0.002</f>
        <v>0.11810000000000001</v>
      </c>
      <c r="G22" s="249">
        <f t="shared" si="3"/>
        <v>0.12010000000000001</v>
      </c>
      <c r="H22" s="248">
        <f t="shared" si="3"/>
        <v>0.12210000000000001</v>
      </c>
      <c r="I22" s="249">
        <f t="shared" si="3"/>
        <v>0.12410000000000002</v>
      </c>
      <c r="J22" s="248">
        <f t="shared" si="3"/>
        <v>0.12610000000000002</v>
      </c>
      <c r="K22" s="249">
        <f t="shared" si="3"/>
        <v>0.12810000000000002</v>
      </c>
      <c r="L22" s="248">
        <f t="shared" si="3"/>
        <v>0.13010000000000002</v>
      </c>
      <c r="M22" s="249">
        <f t="shared" si="3"/>
        <v>0.13210000000000002</v>
      </c>
      <c r="N22" s="248">
        <f t="shared" si="3"/>
        <v>0.13410000000000002</v>
      </c>
    </row>
    <row r="23" spans="2:15" x14ac:dyDescent="0.25">
      <c r="B23" s="251" t="s">
        <v>497</v>
      </c>
      <c r="C23" s="253">
        <f>C21*C22</f>
        <v>444.92377900000002</v>
      </c>
      <c r="D23" s="253">
        <f>D21*D22</f>
        <v>488.60130200000003</v>
      </c>
      <c r="E23" s="253">
        <f>E21*E22</f>
        <v>541.37338272221564</v>
      </c>
      <c r="F23" s="253">
        <f t="shared" ref="F23:N23" si="4">F21*F22</f>
        <v>605.17417494664051</v>
      </c>
      <c r="G23" s="253">
        <f t="shared" si="4"/>
        <v>682.45410016625419</v>
      </c>
      <c r="H23" s="253">
        <f t="shared" si="4"/>
        <v>776.32733352364562</v>
      </c>
      <c r="I23" s="253">
        <f t="shared" si="4"/>
        <v>890.76655238649107</v>
      </c>
      <c r="J23" s="253">
        <f t="shared" si="4"/>
        <v>1030.8611370241024</v>
      </c>
      <c r="K23" s="253">
        <f t="shared" si="4"/>
        <v>1203.1609936384227</v>
      </c>
      <c r="L23" s="253">
        <f t="shared" si="4"/>
        <v>1416.1364921917893</v>
      </c>
      <c r="M23" s="253">
        <f t="shared" si="4"/>
        <v>1680.7966459362917</v>
      </c>
      <c r="N23" s="253">
        <f t="shared" si="4"/>
        <v>2011.5240002671082</v>
      </c>
      <c r="O23" s="253"/>
    </row>
    <row r="24" spans="2:15" x14ac:dyDescent="0.25">
      <c r="B24" s="251" t="s">
        <v>498</v>
      </c>
      <c r="D24" s="253">
        <f>D23-C23</f>
        <v>43.677523000000008</v>
      </c>
      <c r="E24" s="253">
        <f>E23-D23</f>
        <v>52.772080722215605</v>
      </c>
      <c r="F24" s="253">
        <f t="shared" ref="F24:N24" si="5">F23-E23</f>
        <v>63.800792224424868</v>
      </c>
      <c r="G24" s="253">
        <f t="shared" si="5"/>
        <v>77.279925219613688</v>
      </c>
      <c r="H24" s="253">
        <f t="shared" si="5"/>
        <v>93.873233357391427</v>
      </c>
      <c r="I24" s="253">
        <f t="shared" si="5"/>
        <v>114.43921886284545</v>
      </c>
      <c r="J24" s="253">
        <f t="shared" si="5"/>
        <v>140.09458463761132</v>
      </c>
      <c r="K24" s="253">
        <f t="shared" si="5"/>
        <v>172.29985661432033</v>
      </c>
      <c r="L24" s="253">
        <f t="shared" si="5"/>
        <v>212.97549855336661</v>
      </c>
      <c r="M24" s="253">
        <f t="shared" si="5"/>
        <v>264.6601537445024</v>
      </c>
      <c r="N24" s="253">
        <f t="shared" si="5"/>
        <v>330.72735433081652</v>
      </c>
    </row>
    <row r="25" spans="2:15" x14ac:dyDescent="0.25">
      <c r="B25" s="251"/>
    </row>
    <row r="26" spans="2:15" ht="15.75" x14ac:dyDescent="0.25">
      <c r="B26" s="251" t="s">
        <v>499</v>
      </c>
      <c r="C26" s="249">
        <f>C27/C34</f>
        <v>9.4439031065239668E-2</v>
      </c>
      <c r="D26" s="249">
        <f>D27/D34</f>
        <v>9.0560947692255339E-2</v>
      </c>
      <c r="E26" s="249">
        <f>E27/E34</f>
        <v>9.4962262270561329E-2</v>
      </c>
      <c r="F26" s="249">
        <f t="shared" ref="F26:N26" si="6">F27/F34</f>
        <v>9.849851476722736E-2</v>
      </c>
      <c r="G26" s="249">
        <f t="shared" si="6"/>
        <v>0.10106748879268865</v>
      </c>
      <c r="H26" s="249">
        <f t="shared" si="6"/>
        <v>0.10259599508108826</v>
      </c>
      <c r="I26" s="249">
        <f t="shared" si="6"/>
        <v>0.10304331564823173</v>
      </c>
      <c r="J26" s="249">
        <f t="shared" si="6"/>
        <v>0.10240294614972863</v>
      </c>
      <c r="K26" s="249">
        <f t="shared" si="6"/>
        <v>0.10070253773383889</v>
      </c>
      <c r="L26" s="249">
        <f t="shared" si="6"/>
        <v>9.8002071641068278E-2</v>
      </c>
      <c r="M26" s="249">
        <f t="shared" si="6"/>
        <v>9.4390425972404809E-2</v>
      </c>
      <c r="N26" s="249">
        <f t="shared" si="6"/>
        <v>8.0065212442815614E-2</v>
      </c>
    </row>
    <row r="27" spans="2:15" ht="15.75" x14ac:dyDescent="0.25">
      <c r="B27" s="251" t="s">
        <v>483</v>
      </c>
      <c r="C27" s="239">
        <f>930.329</f>
        <v>930.32899999999995</v>
      </c>
      <c r="D27" s="239">
        <f>C8</f>
        <v>1064.1500000000001</v>
      </c>
      <c r="E27" s="253">
        <f>D27*(1+D14)</f>
        <v>1215.0905605118617</v>
      </c>
      <c r="F27" s="253">
        <f t="shared" ref="F27:N27" si="7">E27*(1+E14)</f>
        <v>1385.0105652446484</v>
      </c>
      <c r="G27" s="253">
        <f t="shared" si="7"/>
        <v>1575.9224057378656</v>
      </c>
      <c r="H27" s="253">
        <f t="shared" si="7"/>
        <v>1789.9979630153912</v>
      </c>
      <c r="I27" s="253">
        <f t="shared" si="7"/>
        <v>2029.5738547542351</v>
      </c>
      <c r="J27" s="253">
        <f t="shared" si="7"/>
        <v>2297.1557793526999</v>
      </c>
      <c r="K27" s="253">
        <f t="shared" si="7"/>
        <v>2595.4217766720444</v>
      </c>
      <c r="L27" s="253">
        <f t="shared" si="7"/>
        <v>2927.2242148288192</v>
      </c>
      <c r="M27" s="253">
        <f t="shared" si="7"/>
        <v>3295.5903035933675</v>
      </c>
      <c r="N27" s="253">
        <f t="shared" si="7"/>
        <v>3295.5903035933675</v>
      </c>
    </row>
    <row r="28" spans="2:15" x14ac:dyDescent="0.25">
      <c r="B28" s="251" t="s">
        <v>500</v>
      </c>
      <c r="D28" s="253">
        <f>D24</f>
        <v>43.677523000000008</v>
      </c>
      <c r="E28" s="253">
        <f>E24</f>
        <v>52.772080722215605</v>
      </c>
      <c r="F28" s="253">
        <f t="shared" ref="F28:N28" si="8">F24</f>
        <v>63.800792224424868</v>
      </c>
      <c r="G28" s="253">
        <f t="shared" si="8"/>
        <v>77.279925219613688</v>
      </c>
      <c r="H28" s="253">
        <f t="shared" si="8"/>
        <v>93.873233357391427</v>
      </c>
      <c r="I28" s="253">
        <f t="shared" si="8"/>
        <v>114.43921886284545</v>
      </c>
      <c r="J28" s="253">
        <f t="shared" si="8"/>
        <v>140.09458463761132</v>
      </c>
      <c r="K28" s="253">
        <f t="shared" si="8"/>
        <v>172.29985661432033</v>
      </c>
      <c r="L28" s="253">
        <f t="shared" si="8"/>
        <v>212.97549855336661</v>
      </c>
      <c r="M28" s="253">
        <f t="shared" si="8"/>
        <v>264.6601537445024</v>
      </c>
      <c r="N28" s="253">
        <f t="shared" si="8"/>
        <v>330.72735433081652</v>
      </c>
    </row>
    <row r="29" spans="2:15" ht="15.75" thickBot="1" x14ac:dyDescent="0.3">
      <c r="B29" s="254" t="s">
        <v>145</v>
      </c>
      <c r="C29" s="255"/>
      <c r="D29" s="256">
        <f>D27-D28</f>
        <v>1020.472477</v>
      </c>
      <c r="E29" s="256">
        <f t="shared" ref="E29:N29" si="9">E27-E28</f>
        <v>1162.3184797896461</v>
      </c>
      <c r="F29" s="256">
        <f t="shared" si="9"/>
        <v>1321.2097730202236</v>
      </c>
      <c r="G29" s="256">
        <f t="shared" si="9"/>
        <v>1498.6424805182519</v>
      </c>
      <c r="H29" s="256">
        <f t="shared" si="9"/>
        <v>1696.1247296579998</v>
      </c>
      <c r="I29" s="256">
        <f t="shared" si="9"/>
        <v>1915.1346358913897</v>
      </c>
      <c r="J29" s="256">
        <f t="shared" si="9"/>
        <v>2157.0611947150887</v>
      </c>
      <c r="K29" s="256">
        <f t="shared" si="9"/>
        <v>2423.1219200577243</v>
      </c>
      <c r="L29" s="256">
        <f t="shared" si="9"/>
        <v>2714.2487162754524</v>
      </c>
      <c r="M29" s="256">
        <f t="shared" si="9"/>
        <v>3030.9301498488649</v>
      </c>
      <c r="N29" s="256">
        <f t="shared" si="9"/>
        <v>2964.862949262551</v>
      </c>
    </row>
    <row r="30" spans="2:15" x14ac:dyDescent="0.25">
      <c r="B30" s="251"/>
    </row>
    <row r="31" spans="2:15" x14ac:dyDescent="0.25">
      <c r="B31" s="251"/>
    </row>
    <row r="32" spans="2:15" x14ac:dyDescent="0.25">
      <c r="B32" s="257" t="s">
        <v>501</v>
      </c>
      <c r="C32" s="258">
        <v>116660.55899999999</v>
      </c>
      <c r="D32" s="259">
        <v>142502.13</v>
      </c>
      <c r="E32" s="260">
        <f t="shared" ref="E32:N32" si="10">D32+(1+E18)</f>
        <v>142503.21891932204</v>
      </c>
      <c r="F32" s="260">
        <f t="shared" si="10"/>
        <v>142504.31783864408</v>
      </c>
      <c r="G32" s="260">
        <f t="shared" si="10"/>
        <v>142505.42675796614</v>
      </c>
      <c r="H32" s="260">
        <f t="shared" si="10"/>
        <v>142506.54567728817</v>
      </c>
      <c r="I32" s="260">
        <f t="shared" si="10"/>
        <v>142507.67459661022</v>
      </c>
      <c r="J32" s="260">
        <f t="shared" si="10"/>
        <v>142508.81351593227</v>
      </c>
      <c r="K32" s="260">
        <f t="shared" si="10"/>
        <v>142509.9624352543</v>
      </c>
      <c r="L32" s="260">
        <f t="shared" si="10"/>
        <v>142511.12135457635</v>
      </c>
      <c r="M32" s="260">
        <f t="shared" si="10"/>
        <v>142512.2902738984</v>
      </c>
      <c r="N32" s="260">
        <f t="shared" si="10"/>
        <v>142513.46919322043</v>
      </c>
    </row>
    <row r="33" spans="2:14" x14ac:dyDescent="0.25">
      <c r="B33" s="251" t="s">
        <v>502</v>
      </c>
      <c r="C33" s="261">
        <v>106927.303</v>
      </c>
      <c r="D33" s="259">
        <v>130751.49</v>
      </c>
      <c r="E33" s="253">
        <f t="shared" ref="E33:N33" si="11">D33*(1+E18)</f>
        <v>142377.8238470621</v>
      </c>
      <c r="F33" s="253">
        <f t="shared" si="11"/>
        <v>156461.74165613452</v>
      </c>
      <c r="G33" s="253">
        <f t="shared" si="11"/>
        <v>173503.44848316722</v>
      </c>
      <c r="H33" s="253">
        <f t="shared" si="11"/>
        <v>194136.3609491071</v>
      </c>
      <c r="I33" s="253">
        <f t="shared" si="11"/>
        <v>219164.28898678385</v>
      </c>
      <c r="J33" s="253">
        <f t="shared" si="11"/>
        <v>249610.44342911546</v>
      </c>
      <c r="K33" s="253">
        <f t="shared" si="11"/>
        <v>286782.26143971836</v>
      </c>
      <c r="L33" s="253">
        <f t="shared" si="11"/>
        <v>332357.50400200585</v>
      </c>
      <c r="M33" s="253">
        <f t="shared" si="11"/>
        <v>388499.10825430969</v>
      </c>
      <c r="N33" s="253">
        <f t="shared" si="11"/>
        <v>458009.10531792662</v>
      </c>
    </row>
    <row r="34" spans="2:14" ht="15.75" thickBot="1" x14ac:dyDescent="0.3">
      <c r="B34" s="262" t="s">
        <v>481</v>
      </c>
      <c r="C34" s="263">
        <v>9851.107</v>
      </c>
      <c r="D34" s="264">
        <v>11750.65</v>
      </c>
      <c r="E34" s="265">
        <f t="shared" ref="E34:N34" si="12">D34*(1+E18)</f>
        <v>12795.50983157806</v>
      </c>
      <c r="F34" s="265">
        <f t="shared" si="12"/>
        <v>14061.232989326983</v>
      </c>
      <c r="G34" s="265">
        <f t="shared" si="12"/>
        <v>15592.772953629277</v>
      </c>
      <c r="H34" s="265">
        <f t="shared" si="12"/>
        <v>17447.054942063187</v>
      </c>
      <c r="I34" s="265">
        <f t="shared" si="12"/>
        <v>19696.317436860965</v>
      </c>
      <c r="J34" s="265">
        <f t="shared" si="12"/>
        <v>22432.516501956008</v>
      </c>
      <c r="K34" s="265">
        <f t="shared" si="12"/>
        <v>25773.151651171444</v>
      </c>
      <c r="L34" s="265">
        <f t="shared" si="12"/>
        <v>29869.003438516607</v>
      </c>
      <c r="M34" s="265">
        <f t="shared" si="12"/>
        <v>34914.455249485138</v>
      </c>
      <c r="N34" s="265">
        <f t="shared" si="12"/>
        <v>41161.325912263739</v>
      </c>
    </row>
    <row r="35" spans="2:14" x14ac:dyDescent="0.25">
      <c r="B35" s="266"/>
    </row>
    <row r="36" spans="2:14" x14ac:dyDescent="0.25">
      <c r="B36" s="251" t="s">
        <v>476</v>
      </c>
      <c r="D36" s="267">
        <v>0</v>
      </c>
      <c r="E36" s="267">
        <v>1</v>
      </c>
      <c r="F36" s="267">
        <v>2</v>
      </c>
      <c r="G36" s="267">
        <v>3</v>
      </c>
      <c r="H36" s="267">
        <v>4</v>
      </c>
      <c r="I36" s="267">
        <v>5</v>
      </c>
      <c r="J36" s="267">
        <v>6</v>
      </c>
      <c r="K36" s="267">
        <v>7</v>
      </c>
      <c r="L36" s="267">
        <v>8</v>
      </c>
      <c r="M36" s="267">
        <v>9</v>
      </c>
      <c r="N36" s="267">
        <v>10</v>
      </c>
    </row>
    <row r="37" spans="2:14" x14ac:dyDescent="0.25">
      <c r="B37" s="257" t="s">
        <v>474</v>
      </c>
      <c r="C37" s="268"/>
      <c r="D37" s="260">
        <f>D29/(1+D18)</f>
        <v>945.82834522472683</v>
      </c>
      <c r="E37" s="260">
        <f t="shared" ref="E37:N37" si="13">E29/(1+E18)</f>
        <v>1067.40550586219</v>
      </c>
      <c r="F37" s="260">
        <f t="shared" si="13"/>
        <v>1202.2809559509649</v>
      </c>
      <c r="G37" s="260">
        <f t="shared" si="13"/>
        <v>1351.444104838665</v>
      </c>
      <c r="H37" s="260">
        <f t="shared" si="13"/>
        <v>1515.859719500919</v>
      </c>
      <c r="I37" s="260">
        <f t="shared" si="13"/>
        <v>1696.4317985306807</v>
      </c>
      <c r="J37" s="260">
        <f t="shared" si="13"/>
        <v>1893.9543415977587</v>
      </c>
      <c r="K37" s="260">
        <f t="shared" si="13"/>
        <v>2109.0444503505491</v>
      </c>
      <c r="L37" s="260">
        <f t="shared" si="13"/>
        <v>2342.0514824862476</v>
      </c>
      <c r="M37" s="260">
        <f t="shared" si="13"/>
        <v>2592.9335692291634</v>
      </c>
      <c r="N37" s="260">
        <f t="shared" si="13"/>
        <v>2514.8989365291995</v>
      </c>
    </row>
    <row r="38" spans="2:14" ht="15.75" thickBot="1" x14ac:dyDescent="0.3">
      <c r="B38" s="266"/>
      <c r="D38" s="269">
        <f>D37/(1+$C$46)^D36</f>
        <v>945.82834522472683</v>
      </c>
      <c r="E38" s="269">
        <f t="shared" ref="E38:M38" si="14">E37/(1+$C$46)^E36</f>
        <v>999.26881173369645</v>
      </c>
      <c r="F38" s="269">
        <f t="shared" si="14"/>
        <v>1053.6873260998375</v>
      </c>
      <c r="G38" s="269">
        <f t="shared" si="14"/>
        <v>1108.8090723487971</v>
      </c>
      <c r="H38" s="269">
        <f t="shared" si="14"/>
        <v>1164.3152597558544</v>
      </c>
      <c r="I38" s="269">
        <f t="shared" si="14"/>
        <v>1219.8343966265063</v>
      </c>
      <c r="J38" s="269">
        <f t="shared" si="14"/>
        <v>1274.9315548460477</v>
      </c>
      <c r="K38" s="269">
        <f t="shared" si="14"/>
        <v>1329.0949023845872</v>
      </c>
      <c r="L38" s="269">
        <f t="shared" si="14"/>
        <v>1381.7185585353036</v>
      </c>
      <c r="M38" s="269">
        <f t="shared" si="14"/>
        <v>1432.0805222627857</v>
      </c>
      <c r="N38" s="269">
        <f>N37/(1+$C$46)^N36</f>
        <v>1300.3177143661421</v>
      </c>
    </row>
    <row r="39" spans="2:14" ht="15.75" thickTop="1" x14ac:dyDescent="0.25">
      <c r="B39" s="257" t="s">
        <v>503</v>
      </c>
      <c r="C39" s="268"/>
    </row>
    <row r="40" spans="2:14" x14ac:dyDescent="0.25">
      <c r="B40" s="266" t="s">
        <v>504</v>
      </c>
      <c r="C40" s="253">
        <f>SUM(E38:N38)</f>
        <v>12264.058118959558</v>
      </c>
    </row>
    <row r="41" spans="2:14" x14ac:dyDescent="0.25">
      <c r="B41" s="251" t="s">
        <v>505</v>
      </c>
      <c r="C41" s="253">
        <f>N38*12</f>
        <v>15603.812572393705</v>
      </c>
    </row>
    <row r="42" spans="2:14" x14ac:dyDescent="0.25">
      <c r="B42" s="266" t="s">
        <v>506</v>
      </c>
      <c r="C42" s="253">
        <f>C40+C41</f>
        <v>27867.870691353262</v>
      </c>
    </row>
    <row r="43" spans="2:14" x14ac:dyDescent="0.25">
      <c r="B43" s="266" t="s">
        <v>507</v>
      </c>
      <c r="C43" s="115">
        <v>172.21</v>
      </c>
    </row>
    <row r="44" spans="2:14" x14ac:dyDescent="0.25">
      <c r="B44" s="266" t="s">
        <v>508</v>
      </c>
      <c r="C44" s="270">
        <f>C42/C43</f>
        <v>161.82492707364997</v>
      </c>
    </row>
    <row r="45" spans="2:14" x14ac:dyDescent="0.25">
      <c r="B45" s="266"/>
    </row>
    <row r="46" spans="2:14" ht="15.75" thickBot="1" x14ac:dyDescent="0.3">
      <c r="B46" s="271" t="s">
        <v>509</v>
      </c>
      <c r="C46" s="272">
        <f>CAPM!C8</f>
        <v>6.8186551334749282E-2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B7C7E-05C0-F641-A14F-BDC9F60DE233}">
  <dimension ref="A1:E18"/>
  <sheetViews>
    <sheetView zoomScale="150" workbookViewId="0">
      <selection activeCell="B20" sqref="B20"/>
    </sheetView>
  </sheetViews>
  <sheetFormatPr defaultColWidth="25.875" defaultRowHeight="15.75" x14ac:dyDescent="0.25"/>
  <cols>
    <col min="1" max="1" width="35.875" customWidth="1"/>
  </cols>
  <sheetData>
    <row r="1" spans="1:5" s="37" customFormat="1" ht="27" x14ac:dyDescent="0.35">
      <c r="A1" s="62" t="s">
        <v>88</v>
      </c>
      <c r="B1" s="96"/>
      <c r="C1" s="96"/>
    </row>
    <row r="2" spans="1:5" ht="22.5" x14ac:dyDescent="0.35">
      <c r="A2" s="18" t="s">
        <v>63</v>
      </c>
    </row>
    <row r="4" spans="1:5" x14ac:dyDescent="0.25">
      <c r="A4" s="48" t="s">
        <v>64</v>
      </c>
      <c r="B4" s="48"/>
      <c r="C4" s="48"/>
      <c r="D4" s="48"/>
    </row>
    <row r="5" spans="1:5" ht="29.25" thickBot="1" x14ac:dyDescent="0.3">
      <c r="A5" s="39" t="s">
        <v>61</v>
      </c>
      <c r="B5" s="39" t="s">
        <v>14</v>
      </c>
      <c r="C5" s="39" t="s">
        <v>65</v>
      </c>
      <c r="D5" s="39" t="s">
        <v>74</v>
      </c>
    </row>
    <row r="6" spans="1:5" x14ac:dyDescent="0.25">
      <c r="A6" s="74">
        <v>0</v>
      </c>
      <c r="B6" s="74" t="s">
        <v>66</v>
      </c>
      <c r="C6" s="51"/>
      <c r="D6" s="48"/>
    </row>
    <row r="7" spans="1:5" x14ac:dyDescent="0.25">
      <c r="A7" s="74">
        <v>1</v>
      </c>
      <c r="B7" s="74" t="s">
        <v>67</v>
      </c>
      <c r="C7" s="51"/>
      <c r="D7" s="51"/>
    </row>
    <row r="8" spans="1:5" x14ac:dyDescent="0.25">
      <c r="A8" s="74">
        <v>2</v>
      </c>
      <c r="B8" s="74" t="s">
        <v>68</v>
      </c>
      <c r="C8" s="51"/>
      <c r="D8" s="51"/>
    </row>
    <row r="9" spans="1:5" x14ac:dyDescent="0.25">
      <c r="A9" s="74">
        <v>3</v>
      </c>
      <c r="B9" s="74" t="s">
        <v>69</v>
      </c>
      <c r="C9" s="51"/>
      <c r="D9" s="51"/>
    </row>
    <row r="10" spans="1:5" x14ac:dyDescent="0.25">
      <c r="A10" s="74">
        <v>4</v>
      </c>
      <c r="B10" s="74" t="s">
        <v>70</v>
      </c>
      <c r="C10" s="51"/>
      <c r="D10" s="51"/>
    </row>
    <row r="11" spans="1:5" x14ac:dyDescent="0.25">
      <c r="A11" s="74">
        <v>5</v>
      </c>
      <c r="B11" s="74" t="s">
        <v>71</v>
      </c>
      <c r="C11" s="51"/>
      <c r="D11" s="51"/>
    </row>
    <row r="12" spans="1:5" x14ac:dyDescent="0.25">
      <c r="A12" s="74">
        <v>5</v>
      </c>
      <c r="B12" s="74" t="s">
        <v>72</v>
      </c>
      <c r="C12" s="51"/>
      <c r="D12" s="51"/>
    </row>
    <row r="13" spans="1:5" x14ac:dyDescent="0.25">
      <c r="A13" s="318" t="s">
        <v>91</v>
      </c>
      <c r="B13" s="316"/>
      <c r="C13" s="316"/>
      <c r="D13" s="80">
        <f>SUM(D7:D12)</f>
        <v>0</v>
      </c>
      <c r="E13" s="33"/>
    </row>
    <row r="14" spans="1:5" x14ac:dyDescent="0.25">
      <c r="A14" s="318" t="s">
        <v>75</v>
      </c>
      <c r="B14" s="316"/>
      <c r="C14" s="316"/>
      <c r="D14" s="81"/>
    </row>
    <row r="15" spans="1:5" x14ac:dyDescent="0.25">
      <c r="A15" s="318" t="s">
        <v>92</v>
      </c>
      <c r="B15" s="316"/>
      <c r="C15" s="316"/>
      <c r="D15" s="77">
        <f>D13/438802</f>
        <v>0</v>
      </c>
    </row>
    <row r="16" spans="1:5" x14ac:dyDescent="0.25">
      <c r="A16" s="327" t="s">
        <v>73</v>
      </c>
      <c r="B16" s="316"/>
      <c r="C16" s="316"/>
      <c r="D16" s="79"/>
    </row>
    <row r="17" spans="1:4" x14ac:dyDescent="0.25">
      <c r="A17" s="67" t="s">
        <v>94</v>
      </c>
      <c r="B17" s="67"/>
      <c r="C17" s="67"/>
      <c r="D17" s="67"/>
    </row>
    <row r="18" spans="1:4" x14ac:dyDescent="0.25">
      <c r="C18" s="288" t="s">
        <v>528</v>
      </c>
    </row>
  </sheetData>
  <mergeCells count="4">
    <mergeCell ref="A13:C13"/>
    <mergeCell ref="A15:C15"/>
    <mergeCell ref="A16:C16"/>
    <mergeCell ref="A14: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4EE4-3144-47B2-8EBC-E2F5BF20012F}">
  <dimension ref="A1:AV100"/>
  <sheetViews>
    <sheetView zoomScaleNormal="100" workbookViewId="0">
      <pane xSplit="1" ySplit="1" topLeftCell="B2" activePane="bottomRight" state="frozen"/>
      <selection pane="topRight" activeCell="B1" sqref="B1"/>
      <selection pane="bottomLeft" activeCell="A2" sqref="A2"/>
      <selection pane="bottomRight" activeCell="X14" sqref="X14"/>
    </sheetView>
  </sheetViews>
  <sheetFormatPr defaultColWidth="0" defaultRowHeight="15" zeroHeight="1" x14ac:dyDescent="0.25"/>
  <cols>
    <col min="1" max="1" width="13.875" style="115" customWidth="1"/>
    <col min="2" max="2" width="23.25" style="115" customWidth="1"/>
    <col min="3" max="6" width="13.875" style="115" customWidth="1"/>
    <col min="7" max="7" width="61.125" style="115" customWidth="1"/>
    <col min="8" max="8" width="14.25" style="115" customWidth="1"/>
    <col min="9" max="10" width="13.875" style="115" customWidth="1"/>
    <col min="11" max="12" width="9" style="115" customWidth="1"/>
    <col min="13" max="13" width="19.625" style="115" customWidth="1"/>
    <col min="14" max="15" width="44.375" style="115" customWidth="1"/>
    <col min="16" max="22" width="26.875" style="115" customWidth="1"/>
    <col min="23" max="23" width="24.375" style="115" customWidth="1"/>
    <col min="24" max="24" width="18.5" style="115" customWidth="1"/>
    <col min="25" max="25" width="8" style="115" customWidth="1"/>
    <col min="26" max="47" width="25.625" style="115" customWidth="1"/>
    <col min="48" max="48" width="9" style="115" customWidth="1"/>
    <col min="49" max="16384" width="9" style="115" hidden="1"/>
  </cols>
  <sheetData>
    <row r="1" spans="1:47" ht="39.950000000000003" customHeight="1" x14ac:dyDescent="0.25">
      <c r="A1" s="99" t="s">
        <v>149</v>
      </c>
      <c r="B1" s="99" t="s">
        <v>150</v>
      </c>
      <c r="C1" s="99" t="s">
        <v>206</v>
      </c>
      <c r="D1" s="99" t="s">
        <v>207</v>
      </c>
      <c r="E1" s="99" t="s">
        <v>208</v>
      </c>
      <c r="F1" s="99" t="s">
        <v>209</v>
      </c>
      <c r="G1" s="99" t="s">
        <v>210</v>
      </c>
      <c r="H1" s="99" t="s">
        <v>211</v>
      </c>
      <c r="I1" s="99" t="s">
        <v>212</v>
      </c>
      <c r="J1" s="99" t="s">
        <v>213</v>
      </c>
      <c r="K1" s="99" t="s">
        <v>172</v>
      </c>
      <c r="L1" s="99" t="s">
        <v>173</v>
      </c>
      <c r="M1" s="99" t="s">
        <v>214</v>
      </c>
      <c r="N1" s="99" t="s">
        <v>215</v>
      </c>
      <c r="O1" s="99" t="s">
        <v>216</v>
      </c>
      <c r="P1" s="99" t="s">
        <v>217</v>
      </c>
      <c r="Q1" s="99" t="s">
        <v>218</v>
      </c>
      <c r="R1" s="99" t="s">
        <v>219</v>
      </c>
      <c r="S1" s="99" t="s">
        <v>220</v>
      </c>
      <c r="T1" s="99" t="s">
        <v>221</v>
      </c>
      <c r="U1" s="99" t="s">
        <v>222</v>
      </c>
      <c r="V1" s="99" t="s">
        <v>223</v>
      </c>
      <c r="W1" s="99" t="s">
        <v>174</v>
      </c>
      <c r="X1" s="99"/>
      <c r="Y1" s="181" t="s">
        <v>342</v>
      </c>
      <c r="Z1" s="99" t="s">
        <v>246</v>
      </c>
      <c r="AA1" s="99" t="s">
        <v>245</v>
      </c>
      <c r="AB1" s="99" t="s">
        <v>244</v>
      </c>
      <c r="AC1" s="99" t="s">
        <v>243</v>
      </c>
      <c r="AD1" s="173" t="s">
        <v>242</v>
      </c>
      <c r="AE1" s="172" t="s">
        <v>241</v>
      </c>
      <c r="AF1" s="169" t="s">
        <v>240</v>
      </c>
      <c r="AG1" s="173" t="s">
        <v>252</v>
      </c>
      <c r="AH1" s="172" t="s">
        <v>251</v>
      </c>
      <c r="AI1" s="169" t="s">
        <v>250</v>
      </c>
      <c r="AJ1" s="172" t="s">
        <v>249</v>
      </c>
      <c r="AK1" s="169" t="s">
        <v>248</v>
      </c>
      <c r="AL1" s="173" t="s">
        <v>262</v>
      </c>
      <c r="AM1" s="172" t="s">
        <v>261</v>
      </c>
      <c r="AN1" s="169" t="s">
        <v>260</v>
      </c>
      <c r="AO1" s="172" t="s">
        <v>259</v>
      </c>
      <c r="AP1" s="169" t="s">
        <v>258</v>
      </c>
      <c r="AQ1" s="172" t="s">
        <v>257</v>
      </c>
      <c r="AR1" s="169" t="s">
        <v>256</v>
      </c>
      <c r="AS1" s="172" t="s">
        <v>255</v>
      </c>
      <c r="AT1" s="169" t="s">
        <v>254</v>
      </c>
      <c r="AU1" s="172" t="s">
        <v>253</v>
      </c>
    </row>
    <row r="2" spans="1:47" ht="30" customHeight="1" x14ac:dyDescent="0.25">
      <c r="A2" s="101" t="s">
        <v>160</v>
      </c>
      <c r="B2" s="101" t="s">
        <v>161</v>
      </c>
      <c r="C2" s="121">
        <v>43830</v>
      </c>
      <c r="D2" s="122">
        <v>19061.803</v>
      </c>
      <c r="E2" s="122">
        <v>6923.6</v>
      </c>
      <c r="F2" s="122" t="s">
        <v>176</v>
      </c>
      <c r="G2" s="123" t="s">
        <v>232</v>
      </c>
      <c r="H2" s="101" t="s">
        <v>225</v>
      </c>
      <c r="I2" s="101" t="s">
        <v>226</v>
      </c>
      <c r="J2" s="101" t="s">
        <v>227</v>
      </c>
      <c r="K2" s="119">
        <v>2.2000000000000002</v>
      </c>
      <c r="L2" s="119">
        <v>17.5</v>
      </c>
      <c r="M2" s="120">
        <v>1.306</v>
      </c>
      <c r="N2" s="120">
        <v>1.6974814000000003</v>
      </c>
      <c r="O2" s="120">
        <v>0.18941740000000001</v>
      </c>
      <c r="P2" s="120">
        <v>72.330001599999989</v>
      </c>
      <c r="Q2" s="120">
        <v>0.96369459999999996</v>
      </c>
      <c r="R2" s="120">
        <v>1.3969352000000002</v>
      </c>
      <c r="S2" s="120">
        <v>1.8681095999999999</v>
      </c>
      <c r="T2" s="120">
        <v>12.488816000000002</v>
      </c>
      <c r="U2" s="120">
        <v>13.150072599999998</v>
      </c>
      <c r="V2" s="120">
        <v>69.180585400000012</v>
      </c>
      <c r="W2" s="120">
        <v>96.89</v>
      </c>
      <c r="Z2" s="37">
        <v>2.750579999999999E-2</v>
      </c>
      <c r="AA2" s="37">
        <v>0.42702340000000005</v>
      </c>
      <c r="AB2" s="37">
        <v>0.31626280000000001</v>
      </c>
      <c r="AC2" s="37">
        <v>79.696501499999997</v>
      </c>
      <c r="AE2" s="37">
        <v>14.12</v>
      </c>
      <c r="AF2" s="37">
        <v>16.04</v>
      </c>
      <c r="AH2" s="37">
        <v>88.601764099999997</v>
      </c>
      <c r="AI2" s="37">
        <v>54.217124999999996</v>
      </c>
      <c r="AJ2" s="37">
        <v>29.797484100000002</v>
      </c>
      <c r="AK2" s="37">
        <v>83.89005019999999</v>
      </c>
      <c r="AM2" s="37">
        <v>6.5507816999999999</v>
      </c>
      <c r="AN2" s="37">
        <v>6.4638299999999997</v>
      </c>
      <c r="AO2" s="37">
        <v>2.3200000000000003</v>
      </c>
      <c r="AP2" s="37">
        <v>35.893955899999995</v>
      </c>
      <c r="AQ2" s="37">
        <v>46.366720000000001</v>
      </c>
      <c r="AR2" s="37">
        <v>42.574444299999996</v>
      </c>
      <c r="AS2" s="37">
        <v>216.05484139999999</v>
      </c>
      <c r="AT2" s="37">
        <v>215.02349870000003</v>
      </c>
      <c r="AU2" s="37">
        <v>214.21130899999997</v>
      </c>
    </row>
    <row r="3" spans="1:47" ht="30" customHeight="1" x14ac:dyDescent="0.25">
      <c r="A3" s="101" t="s">
        <v>153</v>
      </c>
      <c r="B3" s="101" t="s">
        <v>154</v>
      </c>
      <c r="C3" s="121">
        <v>43830</v>
      </c>
      <c r="D3" s="122">
        <v>25323.84</v>
      </c>
      <c r="E3" s="122">
        <v>12504</v>
      </c>
      <c r="F3" s="122" t="s">
        <v>176</v>
      </c>
      <c r="G3" s="123" t="s">
        <v>228</v>
      </c>
      <c r="H3" s="101" t="s">
        <v>225</v>
      </c>
      <c r="I3" s="101" t="s">
        <v>226</v>
      </c>
      <c r="J3" s="101" t="s">
        <v>227</v>
      </c>
      <c r="K3" s="119">
        <v>1.5</v>
      </c>
      <c r="L3" s="119">
        <v>14.7</v>
      </c>
      <c r="M3" s="120">
        <v>1.268</v>
      </c>
      <c r="N3" s="120">
        <v>1.6099412000000002</v>
      </c>
      <c r="O3" s="120">
        <v>0.20153199999999999</v>
      </c>
      <c r="P3" s="120">
        <v>77.660884600000003</v>
      </c>
      <c r="Q3" s="120">
        <v>0.90734619999999988</v>
      </c>
      <c r="R3" s="120">
        <v>1.0793649999999999</v>
      </c>
      <c r="S3" s="120">
        <v>2.2450898000000001</v>
      </c>
      <c r="T3" s="120">
        <v>9.9146881999999987</v>
      </c>
      <c r="U3" s="120">
        <v>10.541808400000001</v>
      </c>
      <c r="V3" s="120">
        <v>72.857516000000004</v>
      </c>
      <c r="W3" s="115">
        <v>77.13</v>
      </c>
      <c r="Z3" s="37">
        <v>4.0533300000000008E-2</v>
      </c>
      <c r="AA3" s="37">
        <v>0.31914480000000001</v>
      </c>
      <c r="AE3" s="37">
        <v>15.12</v>
      </c>
      <c r="AF3" s="37">
        <v>16</v>
      </c>
      <c r="AH3" s="37">
        <v>99.841985999999991</v>
      </c>
      <c r="AI3" s="37">
        <v>97.680304800000002</v>
      </c>
      <c r="AJ3" s="37">
        <v>14.036174900000001</v>
      </c>
      <c r="AK3" s="37">
        <v>111.67190759999998</v>
      </c>
      <c r="AM3" s="37">
        <v>6.0515052999999996</v>
      </c>
      <c r="AN3" s="37">
        <v>5.9000599999999999</v>
      </c>
      <c r="AO3" s="37">
        <v>1.9</v>
      </c>
      <c r="AP3" s="37">
        <v>32.4124415</v>
      </c>
      <c r="AQ3" s="37">
        <v>58.759658000000002</v>
      </c>
      <c r="AR3" s="37">
        <v>33.589453800000001</v>
      </c>
      <c r="AS3" s="37">
        <v>370.07439999999997</v>
      </c>
      <c r="AT3" s="37">
        <v>365.86710000000005</v>
      </c>
      <c r="AU3" s="37">
        <v>365.26946759999998</v>
      </c>
    </row>
    <row r="4" spans="1:47" ht="30" customHeight="1" x14ac:dyDescent="0.25">
      <c r="A4" s="100" t="s">
        <v>170</v>
      </c>
      <c r="B4" s="100" t="s">
        <v>171</v>
      </c>
      <c r="C4" s="116">
        <v>43830</v>
      </c>
      <c r="D4" s="117">
        <v>7774.4916999999996</v>
      </c>
      <c r="E4" s="117">
        <v>1437.289</v>
      </c>
      <c r="F4" s="117" t="s">
        <v>176</v>
      </c>
      <c r="G4" s="118" t="s">
        <v>237</v>
      </c>
      <c r="H4" s="100" t="s">
        <v>225</v>
      </c>
      <c r="I4" s="100" t="s">
        <v>226</v>
      </c>
      <c r="J4" s="100" t="s">
        <v>227</v>
      </c>
      <c r="K4" s="119">
        <v>2.2999999999999998</v>
      </c>
      <c r="L4" s="119">
        <v>18.399999999999999</v>
      </c>
      <c r="M4" s="120">
        <v>3.2380000000000004</v>
      </c>
      <c r="N4" s="120">
        <v>3.3614907999999999</v>
      </c>
      <c r="O4" s="120">
        <v>1.9227399999999999E-2</v>
      </c>
      <c r="P4" s="120">
        <v>35.866745999999999</v>
      </c>
      <c r="Q4" s="120">
        <v>1.3426741999999998</v>
      </c>
      <c r="R4" s="120">
        <v>1.4225224000000001</v>
      </c>
      <c r="S4" s="120">
        <v>1.7801690000000001</v>
      </c>
      <c r="T4" s="120">
        <v>12.665995399999998</v>
      </c>
      <c r="U4" s="120">
        <v>13.0350112</v>
      </c>
      <c r="V4" s="120">
        <v>59.94</v>
      </c>
      <c r="W4" s="120">
        <v>70.05</v>
      </c>
      <c r="Z4" s="37">
        <v>0.14749089999999998</v>
      </c>
      <c r="AA4" s="37">
        <v>1.1934895000000001</v>
      </c>
      <c r="AB4" s="37">
        <v>0.15760249999999998</v>
      </c>
      <c r="AC4" s="37">
        <v>13.2545254</v>
      </c>
      <c r="AE4" s="37">
        <v>14.531000000000001</v>
      </c>
      <c r="AF4" s="37">
        <v>15.455000000000002</v>
      </c>
      <c r="AH4" s="37">
        <v>52.607556899999999</v>
      </c>
      <c r="AI4" s="37">
        <v>50.436562899999998</v>
      </c>
      <c r="AJ4" s="37">
        <v>69.648364100000009</v>
      </c>
      <c r="AK4" s="37">
        <v>119.2565108</v>
      </c>
      <c r="AM4" s="37">
        <v>3.1821796000000004</v>
      </c>
      <c r="AN4" s="37">
        <v>3.1554099999999998</v>
      </c>
      <c r="AO4" s="37">
        <v>0.89042080000000001</v>
      </c>
      <c r="AP4" s="37">
        <v>28.693371500000001</v>
      </c>
      <c r="AQ4" s="37">
        <v>24.634171000000002</v>
      </c>
      <c r="AR4" s="37">
        <v>23.461372699999998</v>
      </c>
      <c r="AS4" s="37">
        <v>119.74662029999999</v>
      </c>
      <c r="AT4" s="37">
        <v>119.51090669999999</v>
      </c>
      <c r="AU4" s="37">
        <v>120.2030925</v>
      </c>
    </row>
    <row r="5" spans="1:47" ht="30" customHeight="1" x14ac:dyDescent="0.25">
      <c r="A5" s="101" t="s">
        <v>156</v>
      </c>
      <c r="B5" s="101" t="s">
        <v>157</v>
      </c>
      <c r="C5" s="121">
        <v>43830</v>
      </c>
      <c r="D5" s="122">
        <v>19648.543000000001</v>
      </c>
      <c r="E5" s="122">
        <v>9389</v>
      </c>
      <c r="F5" s="122" t="s">
        <v>176</v>
      </c>
      <c r="G5" s="123" t="s">
        <v>230</v>
      </c>
      <c r="H5" s="101" t="s">
        <v>225</v>
      </c>
      <c r="I5" s="101" t="s">
        <v>226</v>
      </c>
      <c r="J5" s="101" t="s">
        <v>227</v>
      </c>
      <c r="K5" s="119">
        <v>1.2</v>
      </c>
      <c r="L5" s="119">
        <v>10.3</v>
      </c>
      <c r="M5" s="120">
        <v>3.0640000000000001</v>
      </c>
      <c r="N5" s="120">
        <v>3.6911867999999997</v>
      </c>
      <c r="O5" s="120">
        <v>0.39748960000000005</v>
      </c>
      <c r="P5" s="120">
        <v>29.010618800000003</v>
      </c>
      <c r="Q5" s="120">
        <v>1.3814950000000001</v>
      </c>
      <c r="R5" s="120">
        <v>1.5473484</v>
      </c>
      <c r="S5" s="120">
        <v>1.6119752000000003</v>
      </c>
      <c r="T5" s="120">
        <v>12.0789194</v>
      </c>
      <c r="U5" s="120">
        <v>12.652462</v>
      </c>
      <c r="V5" s="120">
        <v>57.620000000000005</v>
      </c>
      <c r="W5" s="120">
        <v>31.18</v>
      </c>
      <c r="Y5" s="129"/>
      <c r="Z5" s="37">
        <v>0.16070010000000001</v>
      </c>
      <c r="AA5" s="37">
        <v>1.4331146000000001</v>
      </c>
      <c r="AB5" s="37">
        <v>0.51702420000000004</v>
      </c>
      <c r="AC5" s="37">
        <v>37.985031199999995</v>
      </c>
      <c r="AE5" s="37">
        <v>11.137000000000002</v>
      </c>
      <c r="AF5" s="37">
        <v>14.212</v>
      </c>
      <c r="AH5" s="37">
        <v>39.59460649999999</v>
      </c>
      <c r="AI5" s="37">
        <v>37.349637600000008</v>
      </c>
      <c r="AJ5" s="37">
        <v>84.623074799999998</v>
      </c>
      <c r="AK5" s="37">
        <v>120.78860079999997</v>
      </c>
      <c r="AM5" s="37">
        <v>3.2834822499999996</v>
      </c>
      <c r="AN5" s="37">
        <v>2.8699599999999998</v>
      </c>
      <c r="AO5" s="37">
        <v>0.86599999999999999</v>
      </c>
      <c r="AP5" s="37">
        <v>32.440871799999996</v>
      </c>
      <c r="AQ5" s="37">
        <v>25.903078999999998</v>
      </c>
      <c r="AR5" s="37">
        <v>20.420247</v>
      </c>
      <c r="AS5" s="37">
        <v>707.46921520000001</v>
      </c>
      <c r="AT5" s="37">
        <v>698.84164580000004</v>
      </c>
      <c r="AU5" s="37">
        <v>702.03804749999995</v>
      </c>
    </row>
    <row r="6" spans="1:47" ht="30" customHeight="1" x14ac:dyDescent="0.25">
      <c r="A6" s="100" t="s">
        <v>158</v>
      </c>
      <c r="B6" s="100" t="s">
        <v>159</v>
      </c>
      <c r="C6" s="116">
        <v>43830</v>
      </c>
      <c r="D6" s="117">
        <v>19475.116999999998</v>
      </c>
      <c r="E6" s="117">
        <v>3511.172</v>
      </c>
      <c r="F6" s="117" t="s">
        <v>176</v>
      </c>
      <c r="G6" s="118" t="s">
        <v>231</v>
      </c>
      <c r="H6" s="100" t="s">
        <v>225</v>
      </c>
      <c r="I6" s="100" t="s">
        <v>226</v>
      </c>
      <c r="J6" s="100" t="s">
        <v>227</v>
      </c>
      <c r="K6" s="119">
        <v>2.2999999999999998</v>
      </c>
      <c r="L6" s="119">
        <v>17.8</v>
      </c>
      <c r="M6" s="120">
        <v>3.0840000000000001</v>
      </c>
      <c r="N6" s="120">
        <v>3.2324876000000002</v>
      </c>
      <c r="O6" s="120">
        <v>0.36836360000000001</v>
      </c>
      <c r="P6" s="120">
        <v>22.164624199999999</v>
      </c>
      <c r="Q6" s="120">
        <v>1.2526272000000001</v>
      </c>
      <c r="R6" s="120">
        <v>1.3241564000000001</v>
      </c>
      <c r="S6" s="120">
        <v>1.8296485999999998</v>
      </c>
      <c r="T6" s="120">
        <v>15.147677400000001</v>
      </c>
      <c r="U6" s="120">
        <v>15.266378600000001</v>
      </c>
      <c r="V6" s="120">
        <v>50.233999999999995</v>
      </c>
      <c r="W6" s="120">
        <v>424.03</v>
      </c>
      <c r="Z6" s="37">
        <v>0.1295974</v>
      </c>
      <c r="AA6" s="37">
        <v>1.1574114</v>
      </c>
      <c r="AB6" s="37">
        <v>0.33869150000000003</v>
      </c>
      <c r="AC6" s="37">
        <v>31.157842699999996</v>
      </c>
      <c r="AE6" s="37">
        <v>13.276</v>
      </c>
      <c r="AF6" s="37">
        <v>14.206999999999999</v>
      </c>
      <c r="AH6" s="37">
        <v>61.530937299999991</v>
      </c>
      <c r="AI6" s="37">
        <v>51.935454500000013</v>
      </c>
      <c r="AJ6" s="37">
        <v>53.3437512</v>
      </c>
      <c r="AK6" s="37">
        <v>104.66433190000001</v>
      </c>
      <c r="AM6" s="37">
        <v>18.964958299999999</v>
      </c>
      <c r="AN6" s="37">
        <v>18.782969999999999</v>
      </c>
      <c r="AO6" s="37"/>
      <c r="AP6" s="37"/>
      <c r="AQ6" s="37">
        <v>112.88765600000002</v>
      </c>
      <c r="AR6" s="37">
        <v>110.34140629999999</v>
      </c>
      <c r="AS6" s="37">
        <v>52.652676199999995</v>
      </c>
      <c r="AT6" s="37">
        <v>52.201712000000001</v>
      </c>
      <c r="AU6" s="37">
        <v>52.116166999999997</v>
      </c>
    </row>
    <row r="7" spans="1:47" ht="30" customHeight="1" x14ac:dyDescent="0.25">
      <c r="A7" s="100" t="s">
        <v>151</v>
      </c>
      <c r="B7" s="100" t="s">
        <v>152</v>
      </c>
      <c r="C7" s="116">
        <v>43830</v>
      </c>
      <c r="D7" s="117">
        <v>63348.160000000003</v>
      </c>
      <c r="E7" s="117">
        <v>14550</v>
      </c>
      <c r="F7" s="117" t="s">
        <v>176</v>
      </c>
      <c r="G7" s="118" t="s">
        <v>224</v>
      </c>
      <c r="H7" s="100" t="s">
        <v>225</v>
      </c>
      <c r="I7" s="100" t="s">
        <v>226</v>
      </c>
      <c r="J7" s="100" t="s">
        <v>227</v>
      </c>
      <c r="K7" s="119">
        <v>1.3</v>
      </c>
      <c r="L7" s="119">
        <v>15.2</v>
      </c>
      <c r="M7" s="120">
        <v>3.41</v>
      </c>
      <c r="N7" s="120">
        <v>3.9327114000000001</v>
      </c>
      <c r="O7" s="120">
        <v>0.41578619999999999</v>
      </c>
      <c r="P7" s="120">
        <v>36.888327000000004</v>
      </c>
      <c r="Q7" s="120">
        <v>1.1284673999999999</v>
      </c>
      <c r="R7" s="120">
        <v>1.3014313999999998</v>
      </c>
      <c r="S7" s="120">
        <v>1.3237730000000001</v>
      </c>
      <c r="T7" s="120">
        <v>8.4222386</v>
      </c>
      <c r="U7" s="120">
        <v>8.7373031999999995</v>
      </c>
      <c r="V7" s="120">
        <v>57.959999999999994</v>
      </c>
      <c r="W7" s="115">
        <v>50.65</v>
      </c>
      <c r="Z7" s="37">
        <v>0.13195259999999998</v>
      </c>
      <c r="AA7" s="37">
        <v>1.2158232999999998</v>
      </c>
      <c r="AB7" s="37">
        <v>0.571913</v>
      </c>
      <c r="AC7" s="37">
        <v>58.167011100000003</v>
      </c>
      <c r="AE7" s="37">
        <v>11.670000000000002</v>
      </c>
      <c r="AF7" s="37">
        <v>13.84</v>
      </c>
      <c r="AH7" s="37">
        <v>34.172906999999995</v>
      </c>
      <c r="AI7" s="37">
        <v>32.761648000000001</v>
      </c>
      <c r="AJ7" s="37">
        <v>90.715960699999997</v>
      </c>
      <c r="AK7" s="37">
        <v>122.3861034</v>
      </c>
      <c r="AM7" s="37">
        <v>3.6211074999999995</v>
      </c>
      <c r="AN7" s="37">
        <v>3.6288499999999999</v>
      </c>
      <c r="AO7" s="37">
        <v>1.6260000000000001</v>
      </c>
      <c r="AP7" s="37">
        <v>45.493120499999996</v>
      </c>
      <c r="AQ7" s="37">
        <v>39.934701999999994</v>
      </c>
      <c r="AR7" s="37">
        <v>23.699492399999997</v>
      </c>
      <c r="AS7" s="37">
        <v>967.37029999999993</v>
      </c>
      <c r="AT7" s="37">
        <v>957.13109999999995</v>
      </c>
      <c r="AU7" s="37">
        <v>999.19800000000009</v>
      </c>
    </row>
    <row r="8" spans="1:47" ht="30" customHeight="1" x14ac:dyDescent="0.25">
      <c r="A8" s="100" t="s">
        <v>162</v>
      </c>
      <c r="B8" s="100" t="s">
        <v>163</v>
      </c>
      <c r="C8" s="116">
        <v>43830</v>
      </c>
      <c r="D8" s="117">
        <v>16033.743</v>
      </c>
      <c r="E8" s="117">
        <v>6821.2380000000003</v>
      </c>
      <c r="F8" s="117" t="s">
        <v>176</v>
      </c>
      <c r="G8" s="118" t="s">
        <v>233</v>
      </c>
      <c r="H8" s="100" t="s">
        <v>225</v>
      </c>
      <c r="I8" s="100" t="s">
        <v>226</v>
      </c>
      <c r="J8" s="100" t="s">
        <v>227</v>
      </c>
      <c r="K8" s="119">
        <v>1.5</v>
      </c>
      <c r="L8" s="119">
        <v>16</v>
      </c>
      <c r="M8" s="120">
        <v>3.4780000000000002</v>
      </c>
      <c r="N8" s="120">
        <v>3.908712</v>
      </c>
      <c r="O8" s="120">
        <v>0.33487</v>
      </c>
      <c r="P8" s="120">
        <v>29.507929400000002</v>
      </c>
      <c r="Q8" s="120">
        <v>1.2774517999999999</v>
      </c>
      <c r="R8" s="120">
        <v>1.4201678000000002</v>
      </c>
      <c r="S8" s="120">
        <v>1.5312846</v>
      </c>
      <c r="T8" s="120">
        <v>9.6780843999999995</v>
      </c>
      <c r="U8" s="120">
        <v>9.9805372000000006</v>
      </c>
      <c r="V8" s="120">
        <v>55.923999999999999</v>
      </c>
      <c r="W8" s="120">
        <v>144.24</v>
      </c>
      <c r="Z8" s="37">
        <v>0.10479089999999998</v>
      </c>
      <c r="AA8" s="37">
        <v>1.3034050999999998</v>
      </c>
      <c r="AB8" s="37">
        <v>1.0658271999999998</v>
      </c>
      <c r="AC8" s="37">
        <v>83.02896309999997</v>
      </c>
      <c r="AE8" s="37">
        <v>11.129</v>
      </c>
      <c r="AF8" s="37">
        <v>13.413</v>
      </c>
      <c r="AH8" s="37">
        <v>24.308674700000005</v>
      </c>
      <c r="AI8" s="37">
        <v>22.832337800000001</v>
      </c>
      <c r="AJ8" s="37">
        <v>94.432172600000015</v>
      </c>
      <c r="AK8" s="37">
        <v>116.07097229999999</v>
      </c>
      <c r="AM8" s="37">
        <v>12.6478445</v>
      </c>
      <c r="AN8" s="37">
        <v>12.22151</v>
      </c>
      <c r="AO8" s="37">
        <v>3.8699999999999997</v>
      </c>
      <c r="AP8" s="37">
        <v>32.147460699999996</v>
      </c>
      <c r="AQ8" s="37">
        <v>107.98365899999999</v>
      </c>
      <c r="AR8" s="37">
        <v>73.454092299999985</v>
      </c>
      <c r="AS8" s="37">
        <v>135.21869999999998</v>
      </c>
      <c r="AT8" s="37">
        <v>135.14460000000003</v>
      </c>
      <c r="AU8" s="37">
        <v>134.28563749999998</v>
      </c>
    </row>
    <row r="9" spans="1:47" ht="30" customHeight="1" x14ac:dyDescent="0.25">
      <c r="A9" s="101" t="s">
        <v>168</v>
      </c>
      <c r="B9" s="101" t="s">
        <v>169</v>
      </c>
      <c r="C9" s="121">
        <v>43830</v>
      </c>
      <c r="D9" s="122">
        <v>12624.664000000001</v>
      </c>
      <c r="E9" s="122">
        <v>5484</v>
      </c>
      <c r="F9" s="122" t="s">
        <v>176</v>
      </c>
      <c r="G9" s="123" t="s">
        <v>236</v>
      </c>
      <c r="H9" s="101" t="s">
        <v>225</v>
      </c>
      <c r="I9" s="101" t="s">
        <v>226</v>
      </c>
      <c r="J9" s="101" t="s">
        <v>227</v>
      </c>
      <c r="K9" s="119">
        <v>1.5</v>
      </c>
      <c r="L9" s="119">
        <v>13.9</v>
      </c>
      <c r="M9" s="120">
        <v>3.2399999999999998</v>
      </c>
      <c r="N9" s="120">
        <v>3.7651653999999999</v>
      </c>
      <c r="O9" s="120">
        <v>0.27192460000000002</v>
      </c>
      <c r="P9" s="120">
        <v>25.342737</v>
      </c>
      <c r="Q9" s="120">
        <v>1.1220209999999999</v>
      </c>
      <c r="R9" s="120">
        <v>1.2257386000000001</v>
      </c>
      <c r="S9" s="120">
        <v>1.3619895999999998</v>
      </c>
      <c r="T9" s="120">
        <v>11.082796599999998</v>
      </c>
      <c r="U9" s="120">
        <v>11.494265799999999</v>
      </c>
      <c r="V9" s="120">
        <v>61.14</v>
      </c>
      <c r="W9" s="120">
        <v>14.43</v>
      </c>
      <c r="Z9" s="37">
        <v>0.18030869999999999</v>
      </c>
      <c r="AA9" s="37">
        <v>1.3488538000000001</v>
      </c>
      <c r="AB9" s="37">
        <v>0.55984849999999997</v>
      </c>
      <c r="AC9" s="37">
        <v>43.363034600000006</v>
      </c>
      <c r="AE9" s="37">
        <v>11.455</v>
      </c>
      <c r="AF9" s="37">
        <v>13.385</v>
      </c>
      <c r="AH9" s="37">
        <v>33.917457300000002</v>
      </c>
      <c r="AI9" s="37">
        <v>31.034139099999994</v>
      </c>
      <c r="AJ9" s="37">
        <v>89.645949800000011</v>
      </c>
      <c r="AK9" s="37">
        <v>119.48033430000001</v>
      </c>
      <c r="AM9" s="37">
        <v>1.1300401</v>
      </c>
      <c r="AN9" s="37">
        <v>1.1138600000000001</v>
      </c>
      <c r="AO9" s="37">
        <v>0.54100000000000004</v>
      </c>
      <c r="AP9" s="37">
        <v>51.392804400000003</v>
      </c>
      <c r="AQ9" s="37">
        <v>9.9930330000000005</v>
      </c>
      <c r="AR9" s="37">
        <v>7.7244810000000017</v>
      </c>
      <c r="AS9" s="37">
        <v>1061.8439999999998</v>
      </c>
      <c r="AT9" s="37">
        <v>1044.8845999999999</v>
      </c>
      <c r="AU9" s="37">
        <v>1039.8401462999998</v>
      </c>
    </row>
    <row r="10" spans="1:47" ht="30" customHeight="1" x14ac:dyDescent="0.25">
      <c r="A10" s="101" t="s">
        <v>164</v>
      </c>
      <c r="B10" s="101" t="s">
        <v>165</v>
      </c>
      <c r="C10" s="121">
        <v>43830</v>
      </c>
      <c r="D10" s="122">
        <v>14998.804</v>
      </c>
      <c r="E10" s="122">
        <v>7805</v>
      </c>
      <c r="F10" s="122" t="s">
        <v>176</v>
      </c>
      <c r="G10" s="123" t="s">
        <v>234</v>
      </c>
      <c r="H10" s="101" t="s">
        <v>225</v>
      </c>
      <c r="I10" s="101" t="s">
        <v>226</v>
      </c>
      <c r="J10" s="101" t="s">
        <v>227</v>
      </c>
      <c r="K10" s="119">
        <v>0.8</v>
      </c>
      <c r="L10" s="119">
        <v>13.8</v>
      </c>
      <c r="M10" s="120">
        <v>2.992</v>
      </c>
      <c r="N10" s="120">
        <v>3.6543813999999997</v>
      </c>
      <c r="O10" s="120">
        <v>0.26984980000000003</v>
      </c>
      <c r="P10" s="120">
        <v>23.101059800000002</v>
      </c>
      <c r="Q10" s="120">
        <v>0.92511359999999987</v>
      </c>
      <c r="R10" s="120">
        <v>1.0266486000000001</v>
      </c>
      <c r="S10" s="120">
        <v>1.0768552</v>
      </c>
      <c r="T10" s="120">
        <v>6.9166613999999997</v>
      </c>
      <c r="U10" s="120">
        <v>6.9639443999999999</v>
      </c>
      <c r="V10" s="120">
        <v>61.351999999999997</v>
      </c>
      <c r="W10" s="120">
        <v>39.56</v>
      </c>
      <c r="Z10" s="37">
        <v>0.17336880000000002</v>
      </c>
      <c r="AA10" s="37">
        <v>1.5280187500000002</v>
      </c>
      <c r="AB10" s="37">
        <v>0.68318199999999996</v>
      </c>
      <c r="AC10" s="37">
        <v>64.170692000000003</v>
      </c>
      <c r="AE10" s="37">
        <v>11.15</v>
      </c>
      <c r="AF10" s="37">
        <v>13.220000000000002</v>
      </c>
      <c r="AH10" s="37">
        <v>26.623377200000004</v>
      </c>
      <c r="AI10" s="37">
        <v>25.758994999999999</v>
      </c>
      <c r="AJ10" s="37">
        <v>94.099652700000007</v>
      </c>
      <c r="AK10" s="37">
        <v>118.63010059999999</v>
      </c>
      <c r="AM10" s="37">
        <v>3.4576001000000005</v>
      </c>
      <c r="AN10" s="37">
        <v>3.3742700000000001</v>
      </c>
      <c r="AO10" s="37">
        <v>1.2020000000000002</v>
      </c>
      <c r="AP10" s="37">
        <v>38.088614499999998</v>
      </c>
      <c r="AQ10" s="37">
        <v>45.350393999999987</v>
      </c>
      <c r="AR10" s="37">
        <v>29.706715899999999</v>
      </c>
      <c r="AS10" s="37">
        <v>452.32531980000005</v>
      </c>
      <c r="AT10" s="37">
        <v>450.84743750000007</v>
      </c>
      <c r="AU10" s="37">
        <v>450.07231619999993</v>
      </c>
    </row>
    <row r="11" spans="1:47" ht="30" customHeight="1" x14ac:dyDescent="0.25">
      <c r="A11" s="102" t="s">
        <v>141</v>
      </c>
      <c r="B11" s="102" t="s">
        <v>155</v>
      </c>
      <c r="C11" s="124">
        <v>43830</v>
      </c>
      <c r="D11" s="125">
        <v>24187.741999999998</v>
      </c>
      <c r="E11" s="125">
        <v>4155.8320000000003</v>
      </c>
      <c r="F11" s="125" t="s">
        <v>176</v>
      </c>
      <c r="G11" s="126" t="s">
        <v>229</v>
      </c>
      <c r="H11" s="102" t="s">
        <v>225</v>
      </c>
      <c r="I11" s="102" t="s">
        <v>226</v>
      </c>
      <c r="J11" s="102" t="s">
        <v>227</v>
      </c>
      <c r="K11" s="127">
        <v>2.1</v>
      </c>
      <c r="L11" s="127">
        <v>20.3</v>
      </c>
      <c r="M11" s="128">
        <v>3.0660000000000003</v>
      </c>
      <c r="N11" s="128">
        <v>3.3384783999999996</v>
      </c>
      <c r="O11" s="128">
        <v>0.17896280000000001</v>
      </c>
      <c r="P11" s="128">
        <v>15.8021774</v>
      </c>
      <c r="Q11" s="128">
        <v>0.94024459999999999</v>
      </c>
      <c r="R11" s="128">
        <v>1.0015372</v>
      </c>
      <c r="S11" s="128">
        <v>1.2223565999999999</v>
      </c>
      <c r="T11" s="128">
        <v>10.264219399999998</v>
      </c>
      <c r="U11" s="128">
        <v>11.011932000000002</v>
      </c>
      <c r="V11" s="128">
        <v>62</v>
      </c>
      <c r="W11" s="128">
        <v>161.88999999999999</v>
      </c>
      <c r="X11" s="129"/>
      <c r="Y11" s="129"/>
      <c r="Z11" s="130">
        <v>2.6974500000000002E-2</v>
      </c>
      <c r="AA11" s="130">
        <v>0.57288249999999996</v>
      </c>
      <c r="AB11" s="130">
        <v>0.12058369999999999</v>
      </c>
      <c r="AC11" s="130">
        <v>21.116915300000002</v>
      </c>
      <c r="AE11" s="130">
        <v>11.489000000000001</v>
      </c>
      <c r="AF11" s="130">
        <v>13.092000000000002</v>
      </c>
      <c r="AH11" s="130">
        <v>25.320327200000001</v>
      </c>
      <c r="AI11" s="130">
        <v>21.761609300000003</v>
      </c>
      <c r="AJ11" s="130">
        <v>98.592972100000011</v>
      </c>
      <c r="AK11" s="130">
        <v>119.78988999999999</v>
      </c>
      <c r="AM11" s="130">
        <v>5.1433315999999998</v>
      </c>
      <c r="AN11" s="130">
        <v>5.0474199999999998</v>
      </c>
      <c r="AO11" s="130">
        <v>0.73499999999999999</v>
      </c>
      <c r="AP11" s="130">
        <v>14.572865100000001</v>
      </c>
      <c r="AQ11" s="130">
        <v>50.107431999999996</v>
      </c>
      <c r="AR11" s="130">
        <v>48.579078899999999</v>
      </c>
      <c r="AS11" s="130">
        <v>169.33449999999999</v>
      </c>
      <c r="AT11" s="130">
        <v>167.62210000000002</v>
      </c>
      <c r="AU11" s="130">
        <v>168.06175719999999</v>
      </c>
    </row>
    <row r="12" spans="1:47" ht="30" customHeight="1" x14ac:dyDescent="0.25">
      <c r="A12" s="100" t="s">
        <v>166</v>
      </c>
      <c r="B12" s="100" t="s">
        <v>167</v>
      </c>
      <c r="C12" s="116">
        <v>43830</v>
      </c>
      <c r="D12" s="117">
        <v>12913.020500000001</v>
      </c>
      <c r="E12" s="117">
        <v>11567</v>
      </c>
      <c r="F12" s="117" t="s">
        <v>176</v>
      </c>
      <c r="G12" s="118" t="s">
        <v>235</v>
      </c>
      <c r="H12" s="100" t="s">
        <v>225</v>
      </c>
      <c r="I12" s="100" t="s">
        <v>226</v>
      </c>
      <c r="J12" s="100" t="s">
        <v>227</v>
      </c>
      <c r="K12" s="119">
        <v>0.8</v>
      </c>
      <c r="L12" s="120">
        <v>9.4499999999999993</v>
      </c>
      <c r="M12" s="120">
        <v>2.54</v>
      </c>
      <c r="N12" s="120">
        <v>5.5837637999999998</v>
      </c>
      <c r="O12" s="120">
        <v>1.2635305999999999</v>
      </c>
      <c r="P12" s="120">
        <v>3.8030748000000001</v>
      </c>
      <c r="Q12" s="120">
        <v>0.70320540000000009</v>
      </c>
      <c r="R12" s="120">
        <v>0.85381859999999998</v>
      </c>
      <c r="S12" s="120">
        <v>0.8341900000000001</v>
      </c>
      <c r="T12" s="120">
        <v>8.6652296</v>
      </c>
      <c r="U12" s="120">
        <v>4.9289271999999995</v>
      </c>
      <c r="V12" s="120">
        <v>59.903857400000007</v>
      </c>
      <c r="W12" s="120">
        <v>37.369999999999997</v>
      </c>
      <c r="Z12" s="37">
        <v>0.236016</v>
      </c>
      <c r="AA12" s="37">
        <v>1.5135353999999999</v>
      </c>
      <c r="AB12" s="37">
        <v>0.89127479999999992</v>
      </c>
      <c r="AC12" s="37">
        <v>66.699959899999996</v>
      </c>
      <c r="AE12" s="37">
        <v>11.241000000000001</v>
      </c>
      <c r="AF12" s="37">
        <v>12.894</v>
      </c>
      <c r="AH12" s="37">
        <v>34.489382800000001</v>
      </c>
      <c r="AI12" s="37">
        <v>33.096976599999991</v>
      </c>
      <c r="AJ12" s="37">
        <v>109.6781007</v>
      </c>
      <c r="AK12" s="37">
        <v>141.2004507</v>
      </c>
      <c r="AM12" s="37">
        <v>3.1179284000000003</v>
      </c>
      <c r="AN12" s="37">
        <v>3.0023499999999999</v>
      </c>
      <c r="AO12" s="37">
        <v>0.63300000000000012</v>
      </c>
      <c r="AP12" s="37">
        <v>23.067276000000003</v>
      </c>
      <c r="AQ12" s="37">
        <v>35.294102999999993</v>
      </c>
      <c r="AR12" s="37">
        <v>34.476982599999999</v>
      </c>
      <c r="AS12" s="37">
        <v>398.24540000000002</v>
      </c>
      <c r="AT12" s="37">
        <v>396.44049999999999</v>
      </c>
      <c r="AU12" s="37">
        <v>391.84827959999996</v>
      </c>
    </row>
    <row r="13" spans="1:47" x14ac:dyDescent="0.25">
      <c r="M13" s="120"/>
      <c r="N13" s="120"/>
      <c r="O13" s="120"/>
      <c r="P13" s="120"/>
      <c r="Q13" s="120"/>
      <c r="R13" s="120"/>
      <c r="S13" s="120"/>
      <c r="T13" s="120"/>
      <c r="U13" s="120"/>
      <c r="V13" s="120"/>
    </row>
    <row r="14" spans="1:47" ht="30" customHeight="1" x14ac:dyDescent="0.25">
      <c r="A14" s="100" t="s">
        <v>22</v>
      </c>
      <c r="B14" s="100" t="s">
        <v>176</v>
      </c>
      <c r="C14" s="107" t="s">
        <v>176</v>
      </c>
      <c r="D14" s="117">
        <v>21399.0843818182</v>
      </c>
      <c r="E14" s="117">
        <v>7649.8300909090904</v>
      </c>
      <c r="F14" s="117" t="s">
        <v>176</v>
      </c>
      <c r="G14" s="118" t="s">
        <v>176</v>
      </c>
      <c r="H14" s="100" t="s">
        <v>176</v>
      </c>
      <c r="I14" s="100" t="s">
        <v>176</v>
      </c>
      <c r="J14" s="100" t="s">
        <v>176</v>
      </c>
      <c r="K14" s="115">
        <f>AVERAGE(K2:K3,K5:K12)</f>
        <v>1.52</v>
      </c>
      <c r="L14" s="115">
        <f>AVERAGE(L2:L3,L5:L12)</f>
        <v>14.895</v>
      </c>
      <c r="M14" s="120">
        <f t="shared" ref="M14:W14" si="0">AVERAGE(M2:M3,M5:M12)</f>
        <v>2.7447999999999997</v>
      </c>
      <c r="N14" s="120">
        <f t="shared" si="0"/>
        <v>3.44143094</v>
      </c>
      <c r="O14" s="120">
        <f t="shared" si="0"/>
        <v>0.38917266</v>
      </c>
      <c r="P14" s="120">
        <f t="shared" si="0"/>
        <v>33.561143459999997</v>
      </c>
      <c r="Q14" s="120">
        <f t="shared" si="0"/>
        <v>1.0601666799999998</v>
      </c>
      <c r="R14" s="120">
        <f t="shared" si="0"/>
        <v>1.2177147199999998</v>
      </c>
      <c r="S14" s="120">
        <f t="shared" si="0"/>
        <v>1.4905272199999999</v>
      </c>
      <c r="T14" s="120">
        <f t="shared" si="0"/>
        <v>10.465933099999999</v>
      </c>
      <c r="U14" s="120">
        <f t="shared" si="0"/>
        <v>10.472763140000001</v>
      </c>
      <c r="V14" s="120">
        <f t="shared" si="0"/>
        <v>60.81719588</v>
      </c>
      <c r="W14" s="120">
        <f t="shared" si="0"/>
        <v>107.73699999999999</v>
      </c>
    </row>
    <row r="15" spans="1:47" ht="30" customHeight="1" x14ac:dyDescent="0.25">
      <c r="A15" s="101" t="s">
        <v>175</v>
      </c>
      <c r="B15" s="101" t="s">
        <v>176</v>
      </c>
      <c r="C15" s="108" t="s">
        <v>176</v>
      </c>
      <c r="D15" s="122">
        <v>19061.803</v>
      </c>
      <c r="E15" s="122">
        <v>6923.6</v>
      </c>
      <c r="F15" s="122" t="s">
        <v>176</v>
      </c>
      <c r="G15" s="123" t="s">
        <v>176</v>
      </c>
      <c r="H15" s="101" t="s">
        <v>176</v>
      </c>
      <c r="I15" s="101" t="s">
        <v>176</v>
      </c>
      <c r="J15" s="101" t="s">
        <v>176</v>
      </c>
      <c r="K15" s="115">
        <f>MEDIAN(K2:K3,K5:K12)</f>
        <v>1.5</v>
      </c>
      <c r="L15" s="115">
        <f>MEDIAN(L2:L3,L5:L12)</f>
        <v>14.95</v>
      </c>
      <c r="M15" s="120">
        <f t="shared" ref="M15:W15" si="1">MEDIAN(M2:M3,M5:M12)</f>
        <v>3.0650000000000004</v>
      </c>
      <c r="N15" s="120">
        <f t="shared" si="1"/>
        <v>3.6727840999999994</v>
      </c>
      <c r="O15" s="120">
        <f t="shared" si="1"/>
        <v>0.30339729999999998</v>
      </c>
      <c r="P15" s="120">
        <f t="shared" si="1"/>
        <v>27.176677900000001</v>
      </c>
      <c r="Q15" s="120">
        <f t="shared" si="1"/>
        <v>1.0428577999999999</v>
      </c>
      <c r="R15" s="120">
        <f t="shared" si="1"/>
        <v>1.263585</v>
      </c>
      <c r="S15" s="120">
        <f t="shared" si="1"/>
        <v>1.4466370999999998</v>
      </c>
      <c r="T15" s="120">
        <f t="shared" si="1"/>
        <v>10.089453799999998</v>
      </c>
      <c r="U15" s="120">
        <f t="shared" si="1"/>
        <v>10.776870200000001</v>
      </c>
      <c r="V15" s="120">
        <f t="shared" si="1"/>
        <v>60.521928700000004</v>
      </c>
      <c r="W15" s="120">
        <f t="shared" si="1"/>
        <v>63.89</v>
      </c>
    </row>
    <row r="16" spans="1:47"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spans="1:47" x14ac:dyDescent="0.25"/>
    <row r="34" spans="1:47" x14ac:dyDescent="0.25"/>
    <row r="35" spans="1:47" x14ac:dyDescent="0.25">
      <c r="A35" s="115" t="s">
        <v>149</v>
      </c>
      <c r="B35" s="115" t="s">
        <v>150</v>
      </c>
      <c r="C35" s="115" t="s">
        <v>206</v>
      </c>
      <c r="D35" s="115" t="s">
        <v>207</v>
      </c>
      <c r="E35" s="115" t="s">
        <v>208</v>
      </c>
      <c r="F35" s="115" t="s">
        <v>209</v>
      </c>
      <c r="G35" s="115" t="s">
        <v>210</v>
      </c>
      <c r="H35" s="115" t="s">
        <v>211</v>
      </c>
      <c r="I35" s="115" t="s">
        <v>212</v>
      </c>
      <c r="J35" s="115" t="s">
        <v>213</v>
      </c>
      <c r="K35" s="115" t="s">
        <v>172</v>
      </c>
      <c r="L35" s="115" t="s">
        <v>173</v>
      </c>
      <c r="M35" s="115" t="s">
        <v>214</v>
      </c>
      <c r="N35" s="115" t="s">
        <v>215</v>
      </c>
      <c r="O35" s="115" t="s">
        <v>216</v>
      </c>
      <c r="P35" s="115" t="s">
        <v>217</v>
      </c>
      <c r="Q35" s="115" t="s">
        <v>218</v>
      </c>
      <c r="R35" s="115" t="s">
        <v>219</v>
      </c>
      <c r="S35" s="115" t="s">
        <v>220</v>
      </c>
      <c r="T35" s="115" t="s">
        <v>221</v>
      </c>
      <c r="U35" s="115" t="s">
        <v>222</v>
      </c>
      <c r="V35" s="115" t="s">
        <v>223</v>
      </c>
      <c r="W35" s="115" t="s">
        <v>174</v>
      </c>
      <c r="Y35" s="115" t="s">
        <v>342</v>
      </c>
      <c r="Z35" s="115" t="s">
        <v>246</v>
      </c>
      <c r="AA35" s="115" t="s">
        <v>245</v>
      </c>
      <c r="AB35" s="115" t="s">
        <v>244</v>
      </c>
      <c r="AC35" s="115" t="s">
        <v>243</v>
      </c>
      <c r="AD35" s="115" t="s">
        <v>242</v>
      </c>
      <c r="AE35" s="115" t="s">
        <v>241</v>
      </c>
      <c r="AF35" s="115" t="s">
        <v>240</v>
      </c>
      <c r="AG35" s="115" t="s">
        <v>252</v>
      </c>
      <c r="AH35" s="115" t="s">
        <v>251</v>
      </c>
      <c r="AI35" s="115" t="s">
        <v>250</v>
      </c>
      <c r="AJ35" s="115" t="s">
        <v>249</v>
      </c>
      <c r="AK35" s="115" t="s">
        <v>248</v>
      </c>
      <c r="AL35" s="115" t="s">
        <v>262</v>
      </c>
      <c r="AM35" s="115" t="s">
        <v>261</v>
      </c>
      <c r="AN35" s="115" t="s">
        <v>260</v>
      </c>
      <c r="AO35" s="115" t="s">
        <v>259</v>
      </c>
      <c r="AP35" s="115" t="s">
        <v>258</v>
      </c>
      <c r="AQ35" s="115" t="s">
        <v>257</v>
      </c>
      <c r="AR35" s="115" t="s">
        <v>256</v>
      </c>
      <c r="AS35" s="115" t="s">
        <v>255</v>
      </c>
      <c r="AT35" s="115" t="s">
        <v>254</v>
      </c>
      <c r="AU35" s="115" t="s">
        <v>253</v>
      </c>
    </row>
    <row r="36" spans="1:47" x14ac:dyDescent="0.25">
      <c r="A36" s="115" t="s">
        <v>160</v>
      </c>
      <c r="B36" s="115" t="s">
        <v>161</v>
      </c>
      <c r="C36" s="115">
        <v>43830</v>
      </c>
      <c r="D36" s="115">
        <v>19061.803</v>
      </c>
      <c r="E36" s="115">
        <v>6923.6</v>
      </c>
      <c r="F36" s="115" t="s">
        <v>176</v>
      </c>
      <c r="G36" s="115" t="s">
        <v>232</v>
      </c>
      <c r="H36" s="115" t="s">
        <v>225</v>
      </c>
      <c r="I36" s="115" t="s">
        <v>226</v>
      </c>
      <c r="J36" s="115" t="s">
        <v>227</v>
      </c>
      <c r="K36" s="115">
        <v>2.2000000000000002</v>
      </c>
      <c r="L36" s="115">
        <v>17.5</v>
      </c>
      <c r="M36" s="115">
        <v>1.306</v>
      </c>
      <c r="N36" s="115">
        <v>1.6974814000000003</v>
      </c>
      <c r="O36" s="115">
        <v>0.18941740000000001</v>
      </c>
      <c r="P36" s="115">
        <v>72.330001599999989</v>
      </c>
      <c r="Q36" s="115">
        <v>0.96369459999999996</v>
      </c>
      <c r="R36" s="115">
        <v>1.3969352000000002</v>
      </c>
      <c r="S36" s="115">
        <v>1.8681095999999999</v>
      </c>
      <c r="T36" s="115">
        <v>12.488816000000002</v>
      </c>
      <c r="U36" s="115">
        <v>13.150072599999998</v>
      </c>
      <c r="V36" s="115">
        <v>69.180585400000012</v>
      </c>
      <c r="W36" s="115">
        <v>96.89</v>
      </c>
      <c r="Z36" s="115">
        <v>2.750579999999999E-2</v>
      </c>
      <c r="AA36" s="115">
        <v>0.42702340000000005</v>
      </c>
      <c r="AB36" s="115">
        <v>0.31626280000000001</v>
      </c>
      <c r="AC36" s="115">
        <v>79.696501499999997</v>
      </c>
      <c r="AE36" s="115">
        <v>14.12</v>
      </c>
      <c r="AF36" s="115">
        <v>16.04</v>
      </c>
      <c r="AH36" s="115">
        <v>88.601764099999997</v>
      </c>
      <c r="AI36" s="115">
        <v>54.217124999999996</v>
      </c>
      <c r="AJ36" s="115">
        <v>29.797484100000002</v>
      </c>
      <c r="AK36" s="115">
        <v>83.89005019999999</v>
      </c>
      <c r="AM36" s="115">
        <v>6.5507816999999999</v>
      </c>
      <c r="AN36" s="115">
        <v>6.4638299999999997</v>
      </c>
      <c r="AO36" s="115">
        <v>2.3200000000000003</v>
      </c>
      <c r="AP36" s="115">
        <v>35.893955899999995</v>
      </c>
      <c r="AQ36" s="115">
        <v>46.366720000000001</v>
      </c>
      <c r="AR36" s="115">
        <v>42.574444299999996</v>
      </c>
      <c r="AS36" s="115">
        <v>216.05484139999999</v>
      </c>
      <c r="AT36" s="115">
        <v>215.02349870000003</v>
      </c>
      <c r="AU36" s="115">
        <v>214.21130899999997</v>
      </c>
    </row>
    <row r="37" spans="1:47" x14ac:dyDescent="0.25">
      <c r="A37" s="115" t="s">
        <v>153</v>
      </c>
      <c r="B37" s="115" t="s">
        <v>154</v>
      </c>
      <c r="C37" s="115">
        <v>43830</v>
      </c>
      <c r="D37" s="115">
        <v>25323.84</v>
      </c>
      <c r="E37" s="115">
        <v>12504</v>
      </c>
      <c r="F37" s="115" t="s">
        <v>176</v>
      </c>
      <c r="G37" s="115" t="s">
        <v>228</v>
      </c>
      <c r="H37" s="115" t="s">
        <v>225</v>
      </c>
      <c r="I37" s="115" t="s">
        <v>226</v>
      </c>
      <c r="J37" s="115" t="s">
        <v>227</v>
      </c>
      <c r="K37" s="115">
        <v>1.5</v>
      </c>
      <c r="L37" s="115">
        <v>14.7</v>
      </c>
      <c r="M37" s="115">
        <v>1.268</v>
      </c>
      <c r="N37" s="115">
        <v>1.6099412000000002</v>
      </c>
      <c r="O37" s="115">
        <v>0.20153199999999999</v>
      </c>
      <c r="P37" s="115">
        <v>77.660884600000003</v>
      </c>
      <c r="Q37" s="115">
        <v>0.90734619999999988</v>
      </c>
      <c r="R37" s="115">
        <v>1.0793649999999999</v>
      </c>
      <c r="S37" s="115">
        <v>2.2450898000000001</v>
      </c>
      <c r="T37" s="115">
        <v>9.9146881999999987</v>
      </c>
      <c r="U37" s="115">
        <v>10.541808400000001</v>
      </c>
      <c r="V37" s="115">
        <v>72.857516000000004</v>
      </c>
      <c r="W37" s="115">
        <v>77.13</v>
      </c>
      <c r="Z37" s="115">
        <v>4.0533300000000008E-2</v>
      </c>
      <c r="AA37" s="115">
        <v>0.31914480000000001</v>
      </c>
      <c r="AE37" s="115">
        <v>15.12</v>
      </c>
      <c r="AF37" s="115">
        <v>16</v>
      </c>
      <c r="AH37" s="115">
        <v>99.841985999999991</v>
      </c>
      <c r="AI37" s="115">
        <v>97.680304800000002</v>
      </c>
      <c r="AJ37" s="115">
        <v>14.036174900000001</v>
      </c>
      <c r="AK37" s="115">
        <v>111.67190759999998</v>
      </c>
      <c r="AM37" s="115">
        <v>6.0515052999999996</v>
      </c>
      <c r="AN37" s="115">
        <v>5.9000599999999999</v>
      </c>
      <c r="AO37" s="115">
        <v>1.9</v>
      </c>
      <c r="AP37" s="115">
        <v>32.4124415</v>
      </c>
      <c r="AQ37" s="115">
        <v>58.759658000000002</v>
      </c>
      <c r="AR37" s="115">
        <v>33.589453800000001</v>
      </c>
      <c r="AS37" s="115">
        <v>370.07439999999997</v>
      </c>
      <c r="AT37" s="115">
        <v>365.86710000000005</v>
      </c>
      <c r="AU37" s="115">
        <v>365.26946759999998</v>
      </c>
    </row>
    <row r="38" spans="1:47" x14ac:dyDescent="0.25">
      <c r="A38" s="115" t="s">
        <v>170</v>
      </c>
      <c r="B38" s="115" t="s">
        <v>171</v>
      </c>
      <c r="C38" s="115">
        <v>43830</v>
      </c>
      <c r="D38" s="115">
        <v>7774.4916999999996</v>
      </c>
      <c r="E38" s="115">
        <v>1437.289</v>
      </c>
      <c r="F38" s="115" t="s">
        <v>176</v>
      </c>
      <c r="G38" s="115" t="s">
        <v>237</v>
      </c>
      <c r="H38" s="115" t="s">
        <v>225</v>
      </c>
      <c r="I38" s="115" t="s">
        <v>226</v>
      </c>
      <c r="J38" s="115" t="s">
        <v>227</v>
      </c>
      <c r="K38" s="115">
        <v>2.2999999999999998</v>
      </c>
      <c r="L38" s="115">
        <v>18.399999999999999</v>
      </c>
      <c r="M38" s="115">
        <v>3.2380000000000004</v>
      </c>
      <c r="N38" s="115">
        <v>3.3614907999999999</v>
      </c>
      <c r="O38" s="115">
        <v>1.9227399999999999E-2</v>
      </c>
      <c r="P38" s="115">
        <v>35.866745999999999</v>
      </c>
      <c r="Q38" s="115">
        <v>1.3426741999999998</v>
      </c>
      <c r="R38" s="115">
        <v>1.4225224000000001</v>
      </c>
      <c r="S38" s="115">
        <v>1.7801690000000001</v>
      </c>
      <c r="T38" s="115">
        <v>12.665995399999998</v>
      </c>
      <c r="U38" s="115">
        <v>13.0350112</v>
      </c>
      <c r="V38" s="115">
        <v>59.94</v>
      </c>
      <c r="W38" s="115">
        <v>70.05</v>
      </c>
      <c r="Z38" s="115">
        <v>0.14749089999999998</v>
      </c>
      <c r="AA38" s="115">
        <v>1.1934895000000001</v>
      </c>
      <c r="AB38" s="115">
        <v>0.15760249999999998</v>
      </c>
      <c r="AC38" s="115">
        <v>13.2545254</v>
      </c>
      <c r="AE38" s="115">
        <v>14.531000000000001</v>
      </c>
      <c r="AF38" s="115">
        <v>15.455000000000002</v>
      </c>
      <c r="AH38" s="115">
        <v>52.607556899999999</v>
      </c>
      <c r="AI38" s="115">
        <v>50.436562899999998</v>
      </c>
      <c r="AJ38" s="115">
        <v>69.648364100000009</v>
      </c>
      <c r="AK38" s="115">
        <v>119.2565108</v>
      </c>
      <c r="AM38" s="115">
        <v>3.1821796000000004</v>
      </c>
      <c r="AN38" s="115">
        <v>3.1554099999999998</v>
      </c>
      <c r="AO38" s="115">
        <v>0.89042080000000001</v>
      </c>
      <c r="AP38" s="115">
        <v>28.693371500000001</v>
      </c>
      <c r="AQ38" s="115">
        <v>24.634171000000002</v>
      </c>
      <c r="AR38" s="115">
        <v>23.461372699999998</v>
      </c>
      <c r="AS38" s="115">
        <v>119.74662029999999</v>
      </c>
      <c r="AT38" s="115">
        <v>119.51090669999999</v>
      </c>
      <c r="AU38" s="115">
        <v>120.2030925</v>
      </c>
    </row>
    <row r="39" spans="1:47" x14ac:dyDescent="0.25">
      <c r="A39" s="115" t="s">
        <v>156</v>
      </c>
      <c r="B39" s="115" t="s">
        <v>157</v>
      </c>
      <c r="C39" s="115">
        <v>43830</v>
      </c>
      <c r="D39" s="115">
        <v>19648.543000000001</v>
      </c>
      <c r="E39" s="115">
        <v>9389</v>
      </c>
      <c r="F39" s="115" t="s">
        <v>176</v>
      </c>
      <c r="G39" s="115" t="s">
        <v>230</v>
      </c>
      <c r="H39" s="115" t="s">
        <v>225</v>
      </c>
      <c r="I39" s="115" t="s">
        <v>226</v>
      </c>
      <c r="J39" s="115" t="s">
        <v>227</v>
      </c>
      <c r="K39" s="115">
        <v>1.2</v>
      </c>
      <c r="L39" s="115">
        <v>10.3</v>
      </c>
      <c r="M39" s="115">
        <v>3.0640000000000001</v>
      </c>
      <c r="N39" s="115">
        <v>3.6911867999999997</v>
      </c>
      <c r="O39" s="115">
        <v>0.39748960000000005</v>
      </c>
      <c r="P39" s="115">
        <v>29.010618800000003</v>
      </c>
      <c r="Q39" s="115">
        <v>1.3814950000000001</v>
      </c>
      <c r="R39" s="115">
        <v>1.5473484</v>
      </c>
      <c r="S39" s="115">
        <v>1.6119752000000003</v>
      </c>
      <c r="T39" s="115">
        <v>12.0789194</v>
      </c>
      <c r="U39" s="115">
        <v>12.652462</v>
      </c>
      <c r="V39" s="115">
        <v>57.620000000000005</v>
      </c>
      <c r="W39" s="115">
        <v>31.18</v>
      </c>
      <c r="Z39" s="115">
        <v>0.16070010000000001</v>
      </c>
      <c r="AA39" s="115">
        <v>1.4331146000000001</v>
      </c>
      <c r="AB39" s="115">
        <v>0.51702420000000004</v>
      </c>
      <c r="AC39" s="115">
        <v>37.985031199999995</v>
      </c>
      <c r="AE39" s="115">
        <v>11.137000000000002</v>
      </c>
      <c r="AF39" s="115">
        <v>14.212</v>
      </c>
      <c r="AH39" s="115">
        <v>39.59460649999999</v>
      </c>
      <c r="AI39" s="115">
        <v>37.349637600000008</v>
      </c>
      <c r="AJ39" s="115">
        <v>84.623074799999998</v>
      </c>
      <c r="AK39" s="115">
        <v>120.78860079999997</v>
      </c>
      <c r="AM39" s="115">
        <v>3.2834822499999996</v>
      </c>
      <c r="AN39" s="115">
        <v>2.8699599999999998</v>
      </c>
      <c r="AO39" s="115">
        <v>0.86599999999999999</v>
      </c>
      <c r="AP39" s="115">
        <v>32.440871799999996</v>
      </c>
      <c r="AQ39" s="115">
        <v>25.903078999999998</v>
      </c>
      <c r="AR39" s="115">
        <v>20.420247</v>
      </c>
      <c r="AS39" s="115">
        <v>707.46921520000001</v>
      </c>
      <c r="AT39" s="115">
        <v>698.84164580000004</v>
      </c>
      <c r="AU39" s="115">
        <v>702.03804749999995</v>
      </c>
    </row>
    <row r="40" spans="1:47" x14ac:dyDescent="0.25">
      <c r="A40" s="115" t="s">
        <v>158</v>
      </c>
      <c r="B40" s="115" t="s">
        <v>159</v>
      </c>
      <c r="C40" s="115">
        <v>43830</v>
      </c>
      <c r="D40" s="115">
        <v>19475.116999999998</v>
      </c>
      <c r="E40" s="115">
        <v>3511.172</v>
      </c>
      <c r="F40" s="115" t="s">
        <v>176</v>
      </c>
      <c r="G40" s="115" t="s">
        <v>231</v>
      </c>
      <c r="H40" s="115" t="s">
        <v>225</v>
      </c>
      <c r="I40" s="115" t="s">
        <v>226</v>
      </c>
      <c r="J40" s="115" t="s">
        <v>227</v>
      </c>
      <c r="K40" s="115">
        <v>2.2999999999999998</v>
      </c>
      <c r="L40" s="115">
        <v>17.8</v>
      </c>
      <c r="M40" s="115">
        <v>3.0840000000000001</v>
      </c>
      <c r="N40" s="115">
        <v>3.2324876000000002</v>
      </c>
      <c r="O40" s="115">
        <v>0.36836360000000001</v>
      </c>
      <c r="P40" s="115">
        <v>22.164624199999999</v>
      </c>
      <c r="Q40" s="115">
        <v>1.2526272000000001</v>
      </c>
      <c r="R40" s="115">
        <v>1.3241564000000001</v>
      </c>
      <c r="S40" s="115">
        <v>1.8296485999999998</v>
      </c>
      <c r="T40" s="115">
        <v>15.147677400000001</v>
      </c>
      <c r="U40" s="115">
        <v>15.266378600000001</v>
      </c>
      <c r="V40" s="115">
        <v>50.233999999999995</v>
      </c>
      <c r="W40" s="115">
        <v>424.03</v>
      </c>
      <c r="Z40" s="115">
        <v>0.1295974</v>
      </c>
      <c r="AA40" s="115">
        <v>1.1574114</v>
      </c>
      <c r="AB40" s="115">
        <v>0.33869150000000003</v>
      </c>
      <c r="AC40" s="115">
        <v>31.157842699999996</v>
      </c>
      <c r="AE40" s="115">
        <v>13.276</v>
      </c>
      <c r="AF40" s="115">
        <v>14.206999999999999</v>
      </c>
      <c r="AH40" s="115">
        <v>61.530937299999991</v>
      </c>
      <c r="AI40" s="115">
        <v>51.935454500000013</v>
      </c>
      <c r="AJ40" s="115">
        <v>53.3437512</v>
      </c>
      <c r="AK40" s="115">
        <v>104.66433190000001</v>
      </c>
      <c r="AM40" s="115">
        <v>18.964958299999999</v>
      </c>
      <c r="AN40" s="115">
        <v>18.782969999999999</v>
      </c>
      <c r="AQ40" s="115">
        <v>112.88765600000002</v>
      </c>
      <c r="AR40" s="115">
        <v>110.34140629999999</v>
      </c>
      <c r="AS40" s="115">
        <v>52.652676199999995</v>
      </c>
      <c r="AT40" s="115">
        <v>52.201712000000001</v>
      </c>
      <c r="AU40" s="115">
        <v>52.116166999999997</v>
      </c>
    </row>
    <row r="41" spans="1:47" x14ac:dyDescent="0.25">
      <c r="A41" s="115" t="s">
        <v>151</v>
      </c>
      <c r="B41" s="115" t="s">
        <v>152</v>
      </c>
      <c r="C41" s="115">
        <v>43830</v>
      </c>
      <c r="D41" s="115">
        <v>63348.160000000003</v>
      </c>
      <c r="E41" s="115">
        <v>14550</v>
      </c>
      <c r="F41" s="115" t="s">
        <v>176</v>
      </c>
      <c r="G41" s="115" t="s">
        <v>224</v>
      </c>
      <c r="H41" s="115" t="s">
        <v>225</v>
      </c>
      <c r="I41" s="115" t="s">
        <v>226</v>
      </c>
      <c r="J41" s="115" t="s">
        <v>227</v>
      </c>
      <c r="K41" s="115">
        <v>1.3</v>
      </c>
      <c r="L41" s="115">
        <v>15.2</v>
      </c>
      <c r="M41" s="115">
        <v>3.41</v>
      </c>
      <c r="N41" s="115">
        <v>3.9327114000000001</v>
      </c>
      <c r="O41" s="115">
        <v>0.41578619999999999</v>
      </c>
      <c r="P41" s="115">
        <v>36.888327000000004</v>
      </c>
      <c r="Q41" s="115">
        <v>1.1284673999999999</v>
      </c>
      <c r="R41" s="115">
        <v>1.3014313999999998</v>
      </c>
      <c r="S41" s="115">
        <v>1.3237730000000001</v>
      </c>
      <c r="T41" s="115">
        <v>8.4222386</v>
      </c>
      <c r="U41" s="115">
        <v>8.7373031999999995</v>
      </c>
      <c r="V41" s="115">
        <v>57.959999999999994</v>
      </c>
      <c r="W41" s="115">
        <v>50.65</v>
      </c>
      <c r="Z41" s="115">
        <v>0.13195259999999998</v>
      </c>
      <c r="AA41" s="115">
        <v>1.2158232999999998</v>
      </c>
      <c r="AB41" s="115">
        <v>0.571913</v>
      </c>
      <c r="AC41" s="115">
        <v>58.167011100000003</v>
      </c>
      <c r="AE41" s="115">
        <v>11.670000000000002</v>
      </c>
      <c r="AF41" s="115">
        <v>13.84</v>
      </c>
      <c r="AH41" s="115">
        <v>34.172906999999995</v>
      </c>
      <c r="AI41" s="115">
        <v>32.761648000000001</v>
      </c>
      <c r="AJ41" s="115">
        <v>90.715960699999997</v>
      </c>
      <c r="AK41" s="115">
        <v>122.3861034</v>
      </c>
      <c r="AM41" s="115">
        <v>3.6211074999999995</v>
      </c>
      <c r="AN41" s="115">
        <v>3.6288499999999999</v>
      </c>
      <c r="AO41" s="115">
        <v>1.6260000000000001</v>
      </c>
      <c r="AP41" s="115">
        <v>45.493120499999996</v>
      </c>
      <c r="AQ41" s="115">
        <v>39.934701999999994</v>
      </c>
      <c r="AR41" s="115">
        <v>23.699492399999997</v>
      </c>
      <c r="AS41" s="115">
        <v>967.37029999999993</v>
      </c>
      <c r="AT41" s="115">
        <v>957.13109999999995</v>
      </c>
      <c r="AU41" s="115">
        <v>999.19800000000009</v>
      </c>
    </row>
    <row r="42" spans="1:47" x14ac:dyDescent="0.25">
      <c r="A42" s="115" t="s">
        <v>162</v>
      </c>
      <c r="B42" s="115" t="s">
        <v>163</v>
      </c>
      <c r="C42" s="115">
        <v>43830</v>
      </c>
      <c r="D42" s="115">
        <v>16033.743</v>
      </c>
      <c r="E42" s="115">
        <v>6821.2380000000003</v>
      </c>
      <c r="F42" s="115" t="s">
        <v>176</v>
      </c>
      <c r="G42" s="115" t="s">
        <v>233</v>
      </c>
      <c r="H42" s="115" t="s">
        <v>225</v>
      </c>
      <c r="I42" s="115" t="s">
        <v>226</v>
      </c>
      <c r="J42" s="115" t="s">
        <v>227</v>
      </c>
      <c r="K42" s="115">
        <v>1.5</v>
      </c>
      <c r="L42" s="115">
        <v>16</v>
      </c>
      <c r="M42" s="115">
        <v>3.4780000000000002</v>
      </c>
      <c r="N42" s="115">
        <v>3.908712</v>
      </c>
      <c r="O42" s="115">
        <v>0.33487</v>
      </c>
      <c r="P42" s="115">
        <v>29.507929400000002</v>
      </c>
      <c r="Q42" s="115">
        <v>1.2774517999999999</v>
      </c>
      <c r="R42" s="115">
        <v>1.4201678000000002</v>
      </c>
      <c r="S42" s="115">
        <v>1.5312846</v>
      </c>
      <c r="T42" s="115">
        <v>9.6780843999999995</v>
      </c>
      <c r="U42" s="115">
        <v>9.9805372000000006</v>
      </c>
      <c r="V42" s="115">
        <v>55.923999999999999</v>
      </c>
      <c r="W42" s="115">
        <v>144.24</v>
      </c>
      <c r="Z42" s="115">
        <v>0.10479089999999998</v>
      </c>
      <c r="AA42" s="115">
        <v>1.3034050999999998</v>
      </c>
      <c r="AB42" s="115">
        <v>1.0658271999999998</v>
      </c>
      <c r="AC42" s="115">
        <v>83.02896309999997</v>
      </c>
      <c r="AE42" s="115">
        <v>11.129</v>
      </c>
      <c r="AF42" s="115">
        <v>13.413</v>
      </c>
      <c r="AH42" s="115">
        <v>24.308674700000005</v>
      </c>
      <c r="AI42" s="115">
        <v>22.832337800000001</v>
      </c>
      <c r="AJ42" s="115">
        <v>94.432172600000015</v>
      </c>
      <c r="AK42" s="115">
        <v>116.07097229999999</v>
      </c>
      <c r="AM42" s="115">
        <v>12.6478445</v>
      </c>
      <c r="AN42" s="115">
        <v>12.22151</v>
      </c>
      <c r="AO42" s="115">
        <v>3.8699999999999997</v>
      </c>
      <c r="AP42" s="115">
        <v>32.147460699999996</v>
      </c>
      <c r="AQ42" s="115">
        <v>107.98365899999999</v>
      </c>
      <c r="AR42" s="115">
        <v>73.454092299999985</v>
      </c>
      <c r="AS42" s="115">
        <v>135.21869999999998</v>
      </c>
      <c r="AT42" s="115">
        <v>135.14460000000003</v>
      </c>
      <c r="AU42" s="115">
        <v>134.28563749999998</v>
      </c>
    </row>
    <row r="43" spans="1:47" x14ac:dyDescent="0.25">
      <c r="A43" s="115" t="s">
        <v>168</v>
      </c>
      <c r="B43" s="115" t="s">
        <v>169</v>
      </c>
      <c r="C43" s="115">
        <v>43830</v>
      </c>
      <c r="D43" s="115">
        <v>12624.664000000001</v>
      </c>
      <c r="E43" s="115">
        <v>5484</v>
      </c>
      <c r="F43" s="115" t="s">
        <v>176</v>
      </c>
      <c r="G43" s="115" t="s">
        <v>236</v>
      </c>
      <c r="H43" s="115" t="s">
        <v>225</v>
      </c>
      <c r="I43" s="115" t="s">
        <v>226</v>
      </c>
      <c r="J43" s="115" t="s">
        <v>227</v>
      </c>
      <c r="K43" s="115">
        <v>1.5</v>
      </c>
      <c r="L43" s="115">
        <v>13.9</v>
      </c>
      <c r="M43" s="115">
        <v>3.2399999999999998</v>
      </c>
      <c r="N43" s="115">
        <v>3.7651653999999999</v>
      </c>
      <c r="O43" s="115">
        <v>0.27192460000000002</v>
      </c>
      <c r="P43" s="115">
        <v>25.342737</v>
      </c>
      <c r="Q43" s="115">
        <v>1.1220209999999999</v>
      </c>
      <c r="R43" s="115">
        <v>1.2257386000000001</v>
      </c>
      <c r="S43" s="115">
        <v>1.3619895999999998</v>
      </c>
      <c r="T43" s="115">
        <v>11.082796599999998</v>
      </c>
      <c r="U43" s="115">
        <v>11.494265799999999</v>
      </c>
      <c r="V43" s="115">
        <v>61.14</v>
      </c>
      <c r="W43" s="115">
        <v>14.43</v>
      </c>
      <c r="Z43" s="115">
        <v>0.18030869999999999</v>
      </c>
      <c r="AA43" s="115">
        <v>1.3488538000000001</v>
      </c>
      <c r="AB43" s="115">
        <v>0.55984849999999997</v>
      </c>
      <c r="AC43" s="115">
        <v>43.363034600000006</v>
      </c>
      <c r="AE43" s="115">
        <v>11.455</v>
      </c>
      <c r="AF43" s="115">
        <v>13.385</v>
      </c>
      <c r="AH43" s="115">
        <v>33.917457300000002</v>
      </c>
      <c r="AI43" s="115">
        <v>31.034139099999994</v>
      </c>
      <c r="AJ43" s="115">
        <v>89.645949800000011</v>
      </c>
      <c r="AK43" s="115">
        <v>119.48033430000001</v>
      </c>
      <c r="AM43" s="115">
        <v>1.1300401</v>
      </c>
      <c r="AN43" s="115">
        <v>1.1138600000000001</v>
      </c>
      <c r="AO43" s="115">
        <v>0.54100000000000004</v>
      </c>
      <c r="AP43" s="115">
        <v>51.392804400000003</v>
      </c>
      <c r="AQ43" s="115">
        <v>9.9930330000000005</v>
      </c>
      <c r="AR43" s="115">
        <v>7.7244810000000017</v>
      </c>
      <c r="AS43" s="115">
        <v>1061.8439999999998</v>
      </c>
      <c r="AT43" s="115">
        <v>1044.8845999999999</v>
      </c>
      <c r="AU43" s="115">
        <v>1039.8401462999998</v>
      </c>
    </row>
    <row r="44" spans="1:47" x14ac:dyDescent="0.25">
      <c r="A44" s="115" t="s">
        <v>164</v>
      </c>
      <c r="B44" s="115" t="s">
        <v>165</v>
      </c>
      <c r="C44" s="115">
        <v>43830</v>
      </c>
      <c r="D44" s="115">
        <v>14998.804</v>
      </c>
      <c r="E44" s="115">
        <v>7805</v>
      </c>
      <c r="F44" s="115" t="s">
        <v>176</v>
      </c>
      <c r="G44" s="115" t="s">
        <v>234</v>
      </c>
      <c r="H44" s="115" t="s">
        <v>225</v>
      </c>
      <c r="I44" s="115" t="s">
        <v>226</v>
      </c>
      <c r="J44" s="115" t="s">
        <v>227</v>
      </c>
      <c r="K44" s="115">
        <v>0.8</v>
      </c>
      <c r="L44" s="115">
        <v>13.8</v>
      </c>
      <c r="M44" s="115">
        <v>2.992</v>
      </c>
      <c r="N44" s="115">
        <v>3.6543813999999997</v>
      </c>
      <c r="O44" s="115">
        <v>0.26984980000000003</v>
      </c>
      <c r="P44" s="115">
        <v>23.101059800000002</v>
      </c>
      <c r="Q44" s="115">
        <v>0.92511359999999987</v>
      </c>
      <c r="R44" s="115">
        <v>1.0266486000000001</v>
      </c>
      <c r="S44" s="115">
        <v>1.0768552</v>
      </c>
      <c r="T44" s="115">
        <v>6.9166613999999997</v>
      </c>
      <c r="U44" s="115">
        <v>6.9639443999999999</v>
      </c>
      <c r="V44" s="115">
        <v>61.351999999999997</v>
      </c>
      <c r="W44" s="115">
        <v>39.56</v>
      </c>
      <c r="Z44" s="115">
        <v>0.17336880000000002</v>
      </c>
      <c r="AA44" s="115">
        <v>1.5280187500000002</v>
      </c>
      <c r="AB44" s="115">
        <v>0.68318199999999996</v>
      </c>
      <c r="AC44" s="115">
        <v>64.170692000000003</v>
      </c>
      <c r="AE44" s="115">
        <v>11.15</v>
      </c>
      <c r="AF44" s="115">
        <v>13.220000000000002</v>
      </c>
      <c r="AH44" s="115">
        <v>26.623377200000004</v>
      </c>
      <c r="AI44" s="115">
        <v>25.758994999999999</v>
      </c>
      <c r="AJ44" s="115">
        <v>94.099652700000007</v>
      </c>
      <c r="AK44" s="115">
        <v>118.63010059999999</v>
      </c>
      <c r="AM44" s="115">
        <v>3.4576001000000005</v>
      </c>
      <c r="AN44" s="115">
        <v>3.3742700000000001</v>
      </c>
      <c r="AO44" s="115">
        <v>1.2020000000000002</v>
      </c>
      <c r="AP44" s="115">
        <v>38.088614499999998</v>
      </c>
      <c r="AQ44" s="115">
        <v>45.350393999999987</v>
      </c>
      <c r="AR44" s="115">
        <v>29.706715899999999</v>
      </c>
      <c r="AS44" s="115">
        <v>452.32531980000005</v>
      </c>
      <c r="AT44" s="115">
        <v>450.84743750000007</v>
      </c>
      <c r="AU44" s="115">
        <v>450.07231619999993</v>
      </c>
    </row>
    <row r="45" spans="1:47" x14ac:dyDescent="0.25">
      <c r="A45" s="115" t="s">
        <v>141</v>
      </c>
      <c r="B45" s="115" t="s">
        <v>155</v>
      </c>
      <c r="C45" s="115">
        <v>43830</v>
      </c>
      <c r="D45" s="115">
        <v>24187.741999999998</v>
      </c>
      <c r="E45" s="115">
        <v>4155.8320000000003</v>
      </c>
      <c r="F45" s="115" t="s">
        <v>176</v>
      </c>
      <c r="G45" s="115" t="s">
        <v>229</v>
      </c>
      <c r="H45" s="115" t="s">
        <v>225</v>
      </c>
      <c r="I45" s="115" t="s">
        <v>226</v>
      </c>
      <c r="J45" s="115" t="s">
        <v>227</v>
      </c>
      <c r="K45" s="115">
        <v>2.1</v>
      </c>
      <c r="L45" s="115">
        <v>20.3</v>
      </c>
      <c r="M45" s="115">
        <v>3.0660000000000003</v>
      </c>
      <c r="N45" s="115">
        <v>3.3384783999999996</v>
      </c>
      <c r="O45" s="115">
        <v>0.17896280000000001</v>
      </c>
      <c r="P45" s="115">
        <v>15.8021774</v>
      </c>
      <c r="Q45" s="115">
        <v>0.94024459999999999</v>
      </c>
      <c r="R45" s="115">
        <v>1.0015372</v>
      </c>
      <c r="S45" s="115">
        <v>1.2223565999999999</v>
      </c>
      <c r="T45" s="115">
        <v>10.264219399999998</v>
      </c>
      <c r="U45" s="115">
        <v>11.011932000000002</v>
      </c>
      <c r="V45" s="115">
        <v>62</v>
      </c>
      <c r="W45" s="115">
        <v>161.88999999999999</v>
      </c>
      <c r="Z45" s="115">
        <v>2.6974500000000002E-2</v>
      </c>
      <c r="AA45" s="115">
        <v>0.57288249999999996</v>
      </c>
      <c r="AB45" s="115">
        <v>0.12058369999999999</v>
      </c>
      <c r="AC45" s="115">
        <v>21.116915300000002</v>
      </c>
      <c r="AE45" s="115">
        <v>11.489000000000001</v>
      </c>
      <c r="AF45" s="115">
        <v>13.092000000000002</v>
      </c>
      <c r="AH45" s="115">
        <v>25.320327200000001</v>
      </c>
      <c r="AI45" s="115">
        <v>21.761609300000003</v>
      </c>
      <c r="AJ45" s="115">
        <v>98.592972100000011</v>
      </c>
      <c r="AK45" s="115">
        <v>119.78988999999999</v>
      </c>
      <c r="AM45" s="115">
        <v>5.1433315999999998</v>
      </c>
      <c r="AN45" s="115">
        <v>5.0474199999999998</v>
      </c>
      <c r="AO45" s="115">
        <v>0.73499999999999999</v>
      </c>
      <c r="AP45" s="115">
        <v>14.572865100000001</v>
      </c>
      <c r="AQ45" s="115">
        <v>50.107431999999996</v>
      </c>
      <c r="AR45" s="115">
        <v>48.579078899999999</v>
      </c>
      <c r="AS45" s="115">
        <v>169.33449999999999</v>
      </c>
      <c r="AT45" s="115">
        <v>167.62210000000002</v>
      </c>
      <c r="AU45" s="115">
        <v>168.06175719999999</v>
      </c>
    </row>
    <row r="46" spans="1:47" x14ac:dyDescent="0.25">
      <c r="A46" s="115" t="s">
        <v>166</v>
      </c>
      <c r="B46" s="115" t="s">
        <v>167</v>
      </c>
      <c r="C46" s="115">
        <v>43830</v>
      </c>
      <c r="D46" s="115">
        <v>12913.020500000001</v>
      </c>
      <c r="E46" s="115">
        <v>11567</v>
      </c>
      <c r="F46" s="115" t="s">
        <v>176</v>
      </c>
      <c r="G46" s="115" t="s">
        <v>235</v>
      </c>
      <c r="H46" s="115" t="s">
        <v>225</v>
      </c>
      <c r="I46" s="115" t="s">
        <v>226</v>
      </c>
      <c r="J46" s="115" t="s">
        <v>227</v>
      </c>
      <c r="K46" s="115">
        <v>0.8</v>
      </c>
      <c r="L46" s="115">
        <v>9.4499999999999993</v>
      </c>
      <c r="M46" s="115">
        <v>2.54</v>
      </c>
      <c r="N46" s="115">
        <v>5.5837637999999998</v>
      </c>
      <c r="O46" s="115">
        <v>1.2635305999999999</v>
      </c>
      <c r="P46" s="115">
        <v>3.8030748000000001</v>
      </c>
      <c r="Q46" s="115">
        <v>0.70320540000000009</v>
      </c>
      <c r="R46" s="115">
        <v>0.85381859999999998</v>
      </c>
      <c r="S46" s="115">
        <v>0.8341900000000001</v>
      </c>
      <c r="T46" s="115">
        <v>8.6652296</v>
      </c>
      <c r="U46" s="115">
        <v>4.9289271999999995</v>
      </c>
      <c r="V46" s="115">
        <v>59.903857400000007</v>
      </c>
      <c r="W46" s="115">
        <v>37.369999999999997</v>
      </c>
      <c r="Z46" s="115">
        <v>0.236016</v>
      </c>
      <c r="AA46" s="115">
        <v>1.5135353999999999</v>
      </c>
      <c r="AB46" s="115">
        <v>0.89127479999999992</v>
      </c>
      <c r="AC46" s="115">
        <v>66.699959899999996</v>
      </c>
      <c r="AE46" s="115">
        <v>11.241000000000001</v>
      </c>
      <c r="AF46" s="115">
        <v>12.894</v>
      </c>
      <c r="AH46" s="115">
        <v>34.489382800000001</v>
      </c>
      <c r="AI46" s="115">
        <v>33.096976599999991</v>
      </c>
      <c r="AJ46" s="115">
        <v>109.6781007</v>
      </c>
      <c r="AK46" s="115">
        <v>141.2004507</v>
      </c>
      <c r="AM46" s="115">
        <v>3.1179284000000003</v>
      </c>
      <c r="AN46" s="115">
        <v>3.0023499999999999</v>
      </c>
      <c r="AO46" s="115">
        <v>0.63300000000000012</v>
      </c>
      <c r="AP46" s="115">
        <v>23.067276000000003</v>
      </c>
      <c r="AQ46" s="115">
        <v>35.294102999999993</v>
      </c>
      <c r="AR46" s="115">
        <v>34.476982599999999</v>
      </c>
      <c r="AS46" s="115">
        <v>398.24540000000002</v>
      </c>
      <c r="AT46" s="115">
        <v>396.44049999999999</v>
      </c>
      <c r="AU46" s="115">
        <v>391.84827959999996</v>
      </c>
    </row>
    <row r="47" spans="1:47" x14ac:dyDescent="0.25"/>
    <row r="48" spans="1:47" x14ac:dyDescent="0.25">
      <c r="A48" s="115" t="s">
        <v>22</v>
      </c>
      <c r="B48" s="115" t="s">
        <v>176</v>
      </c>
      <c r="C48" s="115" t="s">
        <v>176</v>
      </c>
      <c r="D48" s="115">
        <v>21399.0843818182</v>
      </c>
      <c r="E48" s="115">
        <v>7649.8300909090904</v>
      </c>
      <c r="F48" s="115" t="s">
        <v>176</v>
      </c>
      <c r="G48" s="115" t="s">
        <v>176</v>
      </c>
      <c r="H48" s="115" t="s">
        <v>176</v>
      </c>
      <c r="I48" s="115" t="s">
        <v>176</v>
      </c>
      <c r="J48" s="115" t="s">
        <v>176</v>
      </c>
      <c r="K48" s="115">
        <v>1.52</v>
      </c>
      <c r="L48" s="115">
        <v>14.895</v>
      </c>
      <c r="M48" s="115">
        <v>2.7447999999999997</v>
      </c>
      <c r="N48" s="115">
        <v>3.44143094</v>
      </c>
      <c r="O48" s="115">
        <v>0.38917266</v>
      </c>
      <c r="P48" s="115">
        <v>33.561143459999997</v>
      </c>
      <c r="Q48" s="115">
        <v>1.0601666799999998</v>
      </c>
      <c r="R48" s="115">
        <v>1.2177147199999998</v>
      </c>
      <c r="S48" s="115">
        <v>1.4905272199999999</v>
      </c>
      <c r="T48" s="115">
        <v>10.465933099999999</v>
      </c>
      <c r="U48" s="115">
        <v>10.472763140000001</v>
      </c>
      <c r="V48" s="115">
        <v>60.81719588</v>
      </c>
      <c r="W48" s="115">
        <v>107.73699999999999</v>
      </c>
    </row>
    <row r="49" spans="1:23" x14ac:dyDescent="0.25">
      <c r="A49" s="115" t="s">
        <v>175</v>
      </c>
      <c r="B49" s="115" t="s">
        <v>176</v>
      </c>
      <c r="C49" s="115" t="s">
        <v>176</v>
      </c>
      <c r="D49" s="115">
        <v>19061.803</v>
      </c>
      <c r="E49" s="115">
        <v>6923.6</v>
      </c>
      <c r="F49" s="115" t="s">
        <v>176</v>
      </c>
      <c r="G49" s="115" t="s">
        <v>176</v>
      </c>
      <c r="H49" s="115" t="s">
        <v>176</v>
      </c>
      <c r="I49" s="115" t="s">
        <v>176</v>
      </c>
      <c r="J49" s="115" t="s">
        <v>176</v>
      </c>
      <c r="K49" s="115">
        <v>1.5</v>
      </c>
      <c r="L49" s="115">
        <v>14.95</v>
      </c>
      <c r="M49" s="115">
        <v>3.0650000000000004</v>
      </c>
      <c r="N49" s="115">
        <v>3.6727840999999994</v>
      </c>
      <c r="O49" s="115">
        <v>0.30339729999999998</v>
      </c>
      <c r="P49" s="115">
        <v>27.176677900000001</v>
      </c>
      <c r="Q49" s="115">
        <v>1.0428577999999999</v>
      </c>
      <c r="R49" s="115">
        <v>1.263585</v>
      </c>
      <c r="S49" s="115">
        <v>1.4466370999999998</v>
      </c>
      <c r="T49" s="115">
        <v>10.089453799999998</v>
      </c>
      <c r="U49" s="115">
        <v>10.776870200000001</v>
      </c>
      <c r="V49" s="115">
        <v>60.521928700000004</v>
      </c>
      <c r="W49" s="115">
        <v>63.89</v>
      </c>
    </row>
    <row r="50" spans="1:23" x14ac:dyDescent="0.25"/>
    <row r="51" spans="1:23" x14ac:dyDescent="0.25"/>
    <row r="52" spans="1:23" x14ac:dyDescent="0.25"/>
    <row r="53" spans="1:23" x14ac:dyDescent="0.25"/>
    <row r="54" spans="1:23" x14ac:dyDescent="0.25"/>
    <row r="55" spans="1:23" x14ac:dyDescent="0.25"/>
    <row r="56" spans="1:23" x14ac:dyDescent="0.25"/>
    <row r="57" spans="1:23" x14ac:dyDescent="0.25"/>
    <row r="58" spans="1:23" x14ac:dyDescent="0.25"/>
    <row r="59" spans="1:23" x14ac:dyDescent="0.25"/>
    <row r="60" spans="1:23" x14ac:dyDescent="0.25"/>
    <row r="61" spans="1:23" x14ac:dyDescent="0.25"/>
    <row r="62" spans="1:23" x14ac:dyDescent="0.25"/>
    <row r="63" spans="1:23" x14ac:dyDescent="0.25"/>
    <row r="64" spans="1:23"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sheetData>
  <autoFilter ref="A1:AV1" xr:uid="{D5C37114-AA1E-4815-B7D3-F4F50B6213F2}">
    <sortState xmlns:xlrd2="http://schemas.microsoft.com/office/spreadsheetml/2017/richdata2" ref="A2:AV12">
      <sortCondition descending="1" ref="AF1"/>
    </sortState>
  </autoFilter>
  <pageMargins left="0.7" right="0.7" top="0.75" bottom="0.75" header="0.3" footer="0.3"/>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39EA-EFBE-4DCF-B484-6F10B986D6DE}">
  <sheetPr>
    <outlinePr summaryBelow="0" summaryRight="0"/>
  </sheetPr>
  <dimension ref="A1:M47"/>
  <sheetViews>
    <sheetView zoomScale="85" zoomScaleNormal="85" workbookViewId="0">
      <selection activeCell="B17" sqref="B17"/>
    </sheetView>
  </sheetViews>
  <sheetFormatPr defaultColWidth="8" defaultRowHeight="15" customHeight="1" x14ac:dyDescent="0.2"/>
  <cols>
    <col min="1" max="1" width="44.375" style="130" customWidth="1"/>
    <col min="2" max="2" width="7" style="130" customWidth="1"/>
    <col min="3" max="3" width="6.875" style="130" customWidth="1"/>
    <col min="4" max="4" width="7.375" style="130" customWidth="1"/>
    <col min="5" max="6" width="7" style="130" customWidth="1"/>
    <col min="7" max="7" width="6.875" style="130" customWidth="1"/>
    <col min="8" max="8" width="7.375" style="130" customWidth="1"/>
    <col min="9" max="10" width="7" style="130" customWidth="1"/>
    <col min="11" max="11" width="6.875" style="130" customWidth="1"/>
    <col min="12" max="16384" width="8" style="130"/>
  </cols>
  <sheetData>
    <row r="1" spans="1:13" ht="15" customHeight="1" x14ac:dyDescent="0.2">
      <c r="A1" s="142" t="s">
        <v>77</v>
      </c>
    </row>
    <row r="2" spans="1:13" ht="15" customHeight="1" x14ac:dyDescent="0.2">
      <c r="A2" s="141" t="s">
        <v>281</v>
      </c>
    </row>
    <row r="3" spans="1:13" ht="15" customHeight="1" x14ac:dyDescent="0.2">
      <c r="A3" s="140"/>
      <c r="B3" s="140"/>
      <c r="C3" s="140"/>
      <c r="D3" s="140"/>
      <c r="E3" s="140"/>
      <c r="F3" s="140"/>
      <c r="G3" s="140"/>
      <c r="H3" s="140"/>
      <c r="I3" s="140"/>
      <c r="J3" s="140"/>
      <c r="K3" s="140"/>
    </row>
    <row r="5" spans="1:13" ht="15" customHeight="1" x14ac:dyDescent="0.2">
      <c r="A5" s="139" t="s">
        <v>155</v>
      </c>
      <c r="B5" s="139"/>
      <c r="C5" s="139"/>
      <c r="D5" s="139"/>
      <c r="E5" s="139"/>
      <c r="F5" s="139"/>
      <c r="G5" s="139"/>
      <c r="H5" s="139"/>
      <c r="I5" s="139"/>
      <c r="J5" s="139"/>
      <c r="K5" s="139"/>
    </row>
    <row r="6" spans="1:13" ht="15" customHeight="1" x14ac:dyDescent="0.2">
      <c r="A6" s="139" t="s">
        <v>280</v>
      </c>
      <c r="B6" s="139"/>
      <c r="C6" s="139"/>
      <c r="D6" s="139"/>
      <c r="E6" s="139"/>
      <c r="F6" s="139"/>
      <c r="G6" s="139"/>
      <c r="H6" s="139"/>
      <c r="I6" s="139"/>
      <c r="J6" s="139"/>
      <c r="K6" s="139"/>
    </row>
    <row r="7" spans="1:13" ht="15" customHeight="1" x14ac:dyDescent="0.2">
      <c r="A7" s="139" t="s">
        <v>279</v>
      </c>
      <c r="B7" s="139"/>
      <c r="C7" s="139"/>
      <c r="D7" s="139"/>
      <c r="E7" s="139"/>
      <c r="F7" s="139"/>
      <c r="G7" s="139"/>
      <c r="H7" s="139"/>
      <c r="I7" s="139"/>
      <c r="J7" s="139"/>
      <c r="K7" s="139"/>
    </row>
    <row r="8" spans="1:13" ht="15" customHeight="1" x14ac:dyDescent="0.2">
      <c r="A8" s="139"/>
      <c r="B8" s="139" t="s">
        <v>278</v>
      </c>
      <c r="C8" s="139" t="s">
        <v>277</v>
      </c>
      <c r="D8" s="139" t="s">
        <v>276</v>
      </c>
      <c r="E8" s="139" t="s">
        <v>275</v>
      </c>
      <c r="F8" s="139" t="s">
        <v>274</v>
      </c>
      <c r="G8" s="139" t="s">
        <v>273</v>
      </c>
      <c r="H8" s="139" t="s">
        <v>272</v>
      </c>
      <c r="I8" s="139" t="s">
        <v>271</v>
      </c>
      <c r="J8" s="139" t="s">
        <v>270</v>
      </c>
      <c r="K8" s="139" t="s">
        <v>269</v>
      </c>
    </row>
    <row r="9" spans="1:13" ht="15" customHeight="1" x14ac:dyDescent="0.2">
      <c r="A9" s="135" t="s">
        <v>268</v>
      </c>
      <c r="B9" s="135"/>
      <c r="C9" s="135"/>
      <c r="D9" s="135"/>
      <c r="E9" s="135"/>
      <c r="F9" s="135"/>
      <c r="G9" s="135"/>
      <c r="H9" s="135"/>
      <c r="I9" s="135"/>
      <c r="J9" s="135"/>
      <c r="K9" s="135"/>
    </row>
    <row r="10" spans="1:13" ht="15" customHeight="1" x14ac:dyDescent="0.2">
      <c r="A10" s="133" t="s">
        <v>214</v>
      </c>
      <c r="B10" s="136">
        <v>2.71</v>
      </c>
      <c r="C10" s="136">
        <v>2.7</v>
      </c>
      <c r="D10" s="136">
        <v>2.74</v>
      </c>
      <c r="E10" s="136">
        <v>2.73</v>
      </c>
      <c r="F10" s="136">
        <v>2.8</v>
      </c>
      <c r="G10" s="136">
        <v>2.85</v>
      </c>
      <c r="H10" s="136">
        <v>2.97</v>
      </c>
      <c r="I10" s="136">
        <v>2.98</v>
      </c>
      <c r="J10" s="136">
        <v>2.94</v>
      </c>
      <c r="K10" s="136">
        <v>2.95</v>
      </c>
      <c r="L10" s="174">
        <f>AVERAGE(B10:K10)</f>
        <v>2.8370000000000002</v>
      </c>
      <c r="M10" s="130">
        <v>2.8370000000000002</v>
      </c>
    </row>
    <row r="11" spans="1:13" ht="15" customHeight="1" x14ac:dyDescent="0.2">
      <c r="A11" s="135" t="s">
        <v>217</v>
      </c>
      <c r="B11" s="134">
        <v>15.293119000000001</v>
      </c>
      <c r="C11" s="134">
        <v>15.322616</v>
      </c>
      <c r="D11" s="134">
        <v>16.158148000000001</v>
      </c>
      <c r="E11" s="134">
        <v>15.818585000000001</v>
      </c>
      <c r="F11" s="134">
        <v>15.604039</v>
      </c>
      <c r="G11" s="134">
        <v>15.754019</v>
      </c>
      <c r="H11" s="134">
        <v>15.749684</v>
      </c>
      <c r="I11" s="134">
        <v>15.865897</v>
      </c>
      <c r="J11" s="134">
        <v>16.270049</v>
      </c>
      <c r="K11" s="134">
        <v>16.117985999999998</v>
      </c>
      <c r="L11" s="174">
        <f t="shared" ref="L11:L46" si="0">AVERAGE(B11:K11)</f>
        <v>15.795414200000002</v>
      </c>
      <c r="M11" s="130">
        <v>15.795414200000002</v>
      </c>
    </row>
    <row r="12" spans="1:13" ht="15" customHeight="1" x14ac:dyDescent="0.2">
      <c r="A12" s="133" t="s">
        <v>218</v>
      </c>
      <c r="B12" s="136">
        <v>0.831036</v>
      </c>
      <c r="C12" s="136">
        <v>0.81761799999999996</v>
      </c>
      <c r="D12" s="136">
        <v>0.817164</v>
      </c>
      <c r="E12" s="136">
        <v>0.86148199999999997</v>
      </c>
      <c r="F12" s="136">
        <v>0.88393600000000006</v>
      </c>
      <c r="G12" s="136">
        <v>0.89612999999999998</v>
      </c>
      <c r="H12" s="136">
        <v>0.91771999999999998</v>
      </c>
      <c r="I12" s="136">
        <v>0.91218600000000005</v>
      </c>
      <c r="J12" s="136">
        <v>0.90534599999999998</v>
      </c>
      <c r="K12" s="136">
        <v>0.91878000000000004</v>
      </c>
      <c r="L12" s="174">
        <f t="shared" si="0"/>
        <v>0.87613980000000014</v>
      </c>
      <c r="M12" s="130">
        <v>0.87613980000000014</v>
      </c>
    </row>
    <row r="13" spans="1:13" ht="15" customHeight="1" x14ac:dyDescent="0.2">
      <c r="A13" s="135" t="s">
        <v>219</v>
      </c>
      <c r="B13" s="134">
        <v>0.88740799999999997</v>
      </c>
      <c r="C13" s="134">
        <v>0.87355799999999995</v>
      </c>
      <c r="D13" s="134">
        <v>0.882691</v>
      </c>
      <c r="E13" s="134">
        <v>0.91471000000000002</v>
      </c>
      <c r="F13" s="134">
        <v>0.944048</v>
      </c>
      <c r="G13" s="134">
        <v>0.96465100000000004</v>
      </c>
      <c r="H13" s="134">
        <v>0.99515600000000004</v>
      </c>
      <c r="I13" s="134">
        <v>0.97200699999999995</v>
      </c>
      <c r="J13" s="134">
        <v>0.971584</v>
      </c>
      <c r="K13" s="134">
        <v>0.99172800000000005</v>
      </c>
      <c r="L13" s="174">
        <f t="shared" si="0"/>
        <v>0.93975409999999981</v>
      </c>
      <c r="M13" s="130">
        <v>0.93975409999999981</v>
      </c>
    </row>
    <row r="14" spans="1:13" ht="15" customHeight="1" x14ac:dyDescent="0.2">
      <c r="A14" s="133" t="s">
        <v>220</v>
      </c>
      <c r="B14" s="136">
        <v>0.305898</v>
      </c>
      <c r="C14" s="136">
        <v>0.27647899999999997</v>
      </c>
      <c r="D14" s="136">
        <v>0.242789</v>
      </c>
      <c r="E14" s="136">
        <v>0.29018899999999997</v>
      </c>
      <c r="F14" s="136">
        <v>0.286414</v>
      </c>
      <c r="G14" s="136">
        <v>0.28574500000000003</v>
      </c>
      <c r="H14" s="136">
        <v>0.30722500000000003</v>
      </c>
      <c r="I14" s="136">
        <v>0.325407</v>
      </c>
      <c r="J14" s="136">
        <v>0.312336</v>
      </c>
      <c r="K14" s="136">
        <v>0.31564300000000001</v>
      </c>
      <c r="L14" s="174">
        <f t="shared" si="0"/>
        <v>0.29481250000000003</v>
      </c>
      <c r="M14" s="130">
        <v>0.29481250000000003</v>
      </c>
    </row>
    <row r="15" spans="1:13" ht="15" customHeight="1" x14ac:dyDescent="0.2">
      <c r="A15" s="135" t="s">
        <v>221</v>
      </c>
      <c r="B15" s="134">
        <v>9.7702159999999996</v>
      </c>
      <c r="C15" s="134">
        <v>9.6650709999999993</v>
      </c>
      <c r="D15" s="134">
        <v>9.5067090000000007</v>
      </c>
      <c r="E15" s="134">
        <v>10.041931999999999</v>
      </c>
      <c r="F15" s="134">
        <v>10.116282999999999</v>
      </c>
      <c r="G15" s="134">
        <v>10.221062999999999</v>
      </c>
      <c r="H15" s="134">
        <v>10.440810000000001</v>
      </c>
      <c r="I15" s="134">
        <v>10.351891</v>
      </c>
      <c r="J15" s="134">
        <v>10.148562999999999</v>
      </c>
      <c r="K15" s="134">
        <v>10.339174999999999</v>
      </c>
      <c r="L15" s="174">
        <f t="shared" si="0"/>
        <v>10.060171299999999</v>
      </c>
      <c r="M15" s="130">
        <v>10.060171299999999</v>
      </c>
    </row>
    <row r="16" spans="1:13" ht="15" customHeight="1" x14ac:dyDescent="0.2">
      <c r="A16" s="133" t="s">
        <v>222</v>
      </c>
      <c r="B16" s="136">
        <v>10.571929000000001</v>
      </c>
      <c r="C16" s="136">
        <v>10.223228000000001</v>
      </c>
      <c r="D16" s="136">
        <v>10.081792999999999</v>
      </c>
      <c r="E16" s="136">
        <v>10.71838</v>
      </c>
      <c r="F16" s="136">
        <v>10.748317999999999</v>
      </c>
      <c r="G16" s="136">
        <v>10.835817</v>
      </c>
      <c r="H16" s="136">
        <v>10.899450999999999</v>
      </c>
      <c r="I16" s="136">
        <v>10.930918</v>
      </c>
      <c r="J16" s="136">
        <v>10.897786999999999</v>
      </c>
      <c r="K16" s="136">
        <v>11.192270000000001</v>
      </c>
      <c r="L16" s="174">
        <f t="shared" si="0"/>
        <v>10.709989099999998</v>
      </c>
      <c r="M16" s="130">
        <v>10.709989099999998</v>
      </c>
    </row>
    <row r="17" spans="1:13" ht="15" customHeight="1" x14ac:dyDescent="0.2">
      <c r="A17" s="135" t="s">
        <v>223</v>
      </c>
      <c r="B17" s="134">
        <v>62.900773999999998</v>
      </c>
      <c r="C17" s="134">
        <v>63.761752000000001</v>
      </c>
      <c r="D17" s="134">
        <v>64.560533000000007</v>
      </c>
      <c r="E17" s="134">
        <v>64.582160999999999</v>
      </c>
      <c r="F17" s="134">
        <v>64.303920000000005</v>
      </c>
      <c r="G17" s="134">
        <v>64.141022000000007</v>
      </c>
      <c r="H17" s="134">
        <v>63.792251</v>
      </c>
      <c r="I17" s="134">
        <v>63.312660999999999</v>
      </c>
      <c r="J17" s="134">
        <v>63.664439999999999</v>
      </c>
      <c r="K17" s="134">
        <v>63.498842000000003</v>
      </c>
      <c r="L17" s="174">
        <f t="shared" si="0"/>
        <v>63.851835600000001</v>
      </c>
      <c r="M17" s="130">
        <v>63.851835600000001</v>
      </c>
    </row>
    <row r="18" spans="1:13" ht="15" customHeight="1" x14ac:dyDescent="0.2">
      <c r="A18" s="133" t="s">
        <v>267</v>
      </c>
      <c r="B18" s="133"/>
      <c r="C18" s="133"/>
      <c r="D18" s="133"/>
      <c r="E18" s="133"/>
      <c r="F18" s="133"/>
      <c r="G18" s="133"/>
      <c r="H18" s="133"/>
      <c r="I18" s="133"/>
      <c r="J18" s="133"/>
      <c r="K18" s="133"/>
      <c r="L18" s="174" t="e">
        <f t="shared" si="0"/>
        <v>#DIV/0!</v>
      </c>
      <c r="M18" s="130" t="e">
        <v>#DIV/0!</v>
      </c>
    </row>
    <row r="19" spans="1:13" ht="15" customHeight="1" x14ac:dyDescent="0.2">
      <c r="A19" s="135" t="s">
        <v>266</v>
      </c>
      <c r="B19" s="134">
        <v>19.495888000000001</v>
      </c>
      <c r="C19" s="134">
        <v>20.013594999999999</v>
      </c>
      <c r="D19" s="134">
        <v>16.033673</v>
      </c>
      <c r="E19" s="134">
        <v>22.594360000000002</v>
      </c>
      <c r="F19" s="134">
        <v>18.967479000000001</v>
      </c>
      <c r="G19" s="134">
        <v>19.632482</v>
      </c>
      <c r="H19" s="134">
        <v>20.359112</v>
      </c>
      <c r="I19" s="134">
        <v>17.807376999999999</v>
      </c>
      <c r="J19" s="134">
        <v>20.401658000000001</v>
      </c>
      <c r="K19" s="134">
        <v>20.759695000000001</v>
      </c>
      <c r="L19" s="174">
        <f t="shared" si="0"/>
        <v>19.6065319</v>
      </c>
      <c r="M19" s="130">
        <v>19.6065319</v>
      </c>
    </row>
    <row r="20" spans="1:13" ht="15" customHeight="1" x14ac:dyDescent="0.2">
      <c r="A20" s="133" t="s">
        <v>265</v>
      </c>
      <c r="B20" s="136">
        <v>1.936037</v>
      </c>
      <c r="C20" s="136">
        <v>1.934083</v>
      </c>
      <c r="D20" s="136">
        <v>1.5304070000000001</v>
      </c>
      <c r="E20" s="136">
        <v>2.2747830000000002</v>
      </c>
      <c r="F20" s="136">
        <v>1.918356</v>
      </c>
      <c r="G20" s="136">
        <v>1.983471</v>
      </c>
      <c r="H20" s="136">
        <v>2.074557</v>
      </c>
      <c r="I20" s="136">
        <v>1.8519509999999999</v>
      </c>
      <c r="J20" s="136">
        <v>2.1014590000000002</v>
      </c>
      <c r="K20" s="136">
        <v>2.205972</v>
      </c>
      <c r="L20" s="174">
        <f t="shared" si="0"/>
        <v>1.9811076000000001</v>
      </c>
      <c r="M20" s="130">
        <v>1.9811076000000001</v>
      </c>
    </row>
    <row r="21" spans="1:13" ht="15" customHeight="1" x14ac:dyDescent="0.2">
      <c r="A21" s="135" t="s">
        <v>264</v>
      </c>
      <c r="B21" s="134">
        <v>1.9828889999999999</v>
      </c>
      <c r="C21" s="134">
        <v>1.98264</v>
      </c>
      <c r="D21" s="134">
        <v>1.5701050000000001</v>
      </c>
      <c r="E21" s="134">
        <v>2.3379629999999998</v>
      </c>
      <c r="F21" s="134">
        <v>1.9800720000000001</v>
      </c>
      <c r="G21" s="134">
        <v>2.04969</v>
      </c>
      <c r="H21" s="134">
        <v>2.146201</v>
      </c>
      <c r="I21" s="134">
        <v>1.9199299999999999</v>
      </c>
      <c r="J21" s="134">
        <v>2.1819410000000001</v>
      </c>
      <c r="K21" s="134">
        <v>2.296583</v>
      </c>
      <c r="L21" s="174">
        <f t="shared" si="0"/>
        <v>2.0448013999999999</v>
      </c>
      <c r="M21" s="130">
        <v>2.0448013999999999</v>
      </c>
    </row>
    <row r="22" spans="1:13" ht="15" customHeight="1" x14ac:dyDescent="0.2">
      <c r="A22" s="133" t="s">
        <v>263</v>
      </c>
      <c r="B22" s="136">
        <v>0.71520300000000003</v>
      </c>
      <c r="C22" s="136">
        <v>0.72648400000000002</v>
      </c>
      <c r="D22" s="136">
        <v>0.92367500000000002</v>
      </c>
      <c r="E22" s="136">
        <v>0.63856999999999997</v>
      </c>
      <c r="F22" s="136">
        <v>0.76525299999999996</v>
      </c>
      <c r="G22" s="136">
        <v>0.74756800000000001</v>
      </c>
      <c r="H22" s="136">
        <v>0.71670299999999998</v>
      </c>
      <c r="I22" s="136">
        <v>0.81703099999999995</v>
      </c>
      <c r="J22" s="136">
        <v>0.72916700000000001</v>
      </c>
      <c r="K22" s="136">
        <v>0.71288399999999996</v>
      </c>
      <c r="L22" s="174">
        <f t="shared" si="0"/>
        <v>0.74925380000000008</v>
      </c>
      <c r="M22" s="130">
        <v>0.74925380000000008</v>
      </c>
    </row>
    <row r="23" spans="1:13" ht="15" customHeight="1" x14ac:dyDescent="0.2">
      <c r="A23" s="135" t="s">
        <v>262</v>
      </c>
      <c r="B23" s="135"/>
      <c r="C23" s="135"/>
      <c r="D23" s="135"/>
      <c r="E23" s="135"/>
      <c r="F23" s="135"/>
      <c r="G23" s="135"/>
      <c r="H23" s="135"/>
      <c r="I23" s="135"/>
      <c r="J23" s="135"/>
      <c r="K23" s="135"/>
      <c r="L23" s="174" t="e">
        <f t="shared" si="0"/>
        <v>#DIV/0!</v>
      </c>
      <c r="M23" s="130" t="e">
        <v>#DIV/0!</v>
      </c>
    </row>
    <row r="24" spans="1:13" ht="15" customHeight="1" x14ac:dyDescent="0.2">
      <c r="A24" s="133" t="s">
        <v>261</v>
      </c>
      <c r="B24" s="137">
        <v>5.5603360000000004</v>
      </c>
      <c r="C24" s="137">
        <v>5.2432600000000003</v>
      </c>
      <c r="D24" s="137">
        <v>5.0751340000000003</v>
      </c>
      <c r="E24" s="137">
        <v>5.1907160000000001</v>
      </c>
      <c r="F24" s="137">
        <v>5.4241140000000003</v>
      </c>
      <c r="G24" s="137">
        <v>5.2657809999999996</v>
      </c>
      <c r="H24" s="137">
        <v>5.1990499999999997</v>
      </c>
      <c r="I24" s="137">
        <v>5.1828250000000002</v>
      </c>
      <c r="J24" s="137">
        <v>4.6715970000000002</v>
      </c>
      <c r="K24" s="137">
        <v>4.6205030000000002</v>
      </c>
      <c r="L24" s="174">
        <f t="shared" si="0"/>
        <v>5.1433315999999998</v>
      </c>
      <c r="M24" s="130">
        <v>5.1433315999999998</v>
      </c>
    </row>
    <row r="25" spans="1:13" ht="15" customHeight="1" x14ac:dyDescent="0.2">
      <c r="A25" s="135" t="s">
        <v>260</v>
      </c>
      <c r="B25" s="138">
        <v>5.5940000000000003</v>
      </c>
      <c r="C25" s="138">
        <v>5.2958999999999996</v>
      </c>
      <c r="D25" s="138">
        <v>5.1317000000000004</v>
      </c>
      <c r="E25" s="138">
        <v>5.1981999999999999</v>
      </c>
      <c r="F25" s="138">
        <v>5.0982000000000003</v>
      </c>
      <c r="G25" s="138">
        <v>4.9739000000000004</v>
      </c>
      <c r="H25" s="138">
        <v>4.9344000000000001</v>
      </c>
      <c r="I25" s="138">
        <v>4.88</v>
      </c>
      <c r="J25" s="138">
        <v>4.7054999999999998</v>
      </c>
      <c r="K25" s="138">
        <v>4.6623999999999999</v>
      </c>
      <c r="L25" s="174">
        <f t="shared" si="0"/>
        <v>5.0474199999999998</v>
      </c>
      <c r="M25" s="130">
        <v>5.0474199999999998</v>
      </c>
    </row>
    <row r="26" spans="1:13" ht="15" customHeight="1" x14ac:dyDescent="0.2">
      <c r="A26" s="133" t="s">
        <v>259</v>
      </c>
      <c r="B26" s="137">
        <v>0.78</v>
      </c>
      <c r="C26" s="137">
        <v>0.77</v>
      </c>
      <c r="D26" s="137">
        <v>0.76</v>
      </c>
      <c r="E26" s="137">
        <v>0.75</v>
      </c>
      <c r="F26" s="137">
        <v>0.74</v>
      </c>
      <c r="G26" s="137">
        <v>0.73</v>
      </c>
      <c r="H26" s="137">
        <v>0.72</v>
      </c>
      <c r="I26" s="137">
        <v>0.71</v>
      </c>
      <c r="J26" s="137">
        <v>0.7</v>
      </c>
      <c r="K26" s="137">
        <v>0.69</v>
      </c>
      <c r="L26" s="174">
        <f t="shared" si="0"/>
        <v>0.73499999999999999</v>
      </c>
      <c r="M26" s="130">
        <v>0.73499999999999999</v>
      </c>
    </row>
    <row r="27" spans="1:13" ht="15" customHeight="1" x14ac:dyDescent="0.2">
      <c r="A27" s="135" t="s">
        <v>258</v>
      </c>
      <c r="B27" s="134">
        <v>13.943511000000001</v>
      </c>
      <c r="C27" s="134">
        <v>14.539548999999999</v>
      </c>
      <c r="D27" s="134">
        <v>14.809907000000001</v>
      </c>
      <c r="E27" s="134">
        <v>14.428070999999999</v>
      </c>
      <c r="F27" s="134">
        <v>14.514927</v>
      </c>
      <c r="G27" s="134">
        <v>14.676612</v>
      </c>
      <c r="H27" s="134">
        <v>14.59144</v>
      </c>
      <c r="I27" s="134">
        <v>14.54918</v>
      </c>
      <c r="J27" s="134">
        <v>14.876208999999999</v>
      </c>
      <c r="K27" s="134">
        <v>14.799245000000001</v>
      </c>
      <c r="L27" s="174">
        <f t="shared" si="0"/>
        <v>14.572865100000001</v>
      </c>
      <c r="M27" s="130">
        <v>14.572865100000001</v>
      </c>
    </row>
    <row r="28" spans="1:13" ht="15" customHeight="1" x14ac:dyDescent="0.2">
      <c r="A28" s="133" t="s">
        <v>257</v>
      </c>
      <c r="B28" s="137">
        <v>56.331560000000003</v>
      </c>
      <c r="C28" s="137">
        <v>54.801160000000003</v>
      </c>
      <c r="D28" s="137">
        <v>53.763469999999998</v>
      </c>
      <c r="E28" s="137">
        <v>51.631300000000003</v>
      </c>
      <c r="F28" s="137">
        <v>50.407739999999997</v>
      </c>
      <c r="G28" s="137">
        <v>49.231879999999997</v>
      </c>
      <c r="H28" s="137">
        <v>48.424799999999998</v>
      </c>
      <c r="I28" s="137">
        <v>46.923499999999997</v>
      </c>
      <c r="J28" s="137">
        <v>45.682549999999999</v>
      </c>
      <c r="K28" s="137">
        <v>43.876359999999998</v>
      </c>
      <c r="L28" s="174">
        <f t="shared" si="0"/>
        <v>50.107431999999996</v>
      </c>
      <c r="M28" s="130">
        <v>50.107431999999996</v>
      </c>
    </row>
    <row r="29" spans="1:13" ht="15" customHeight="1" x14ac:dyDescent="0.2">
      <c r="A29" s="135" t="s">
        <v>256</v>
      </c>
      <c r="B29" s="138">
        <v>55.000543999999998</v>
      </c>
      <c r="C29" s="138">
        <v>53.459015999999998</v>
      </c>
      <c r="D29" s="138">
        <v>52.404124000000003</v>
      </c>
      <c r="E29" s="138">
        <v>50.236047999999997</v>
      </c>
      <c r="F29" s="138">
        <v>48.836604000000001</v>
      </c>
      <c r="G29" s="138">
        <v>47.641353000000002</v>
      </c>
      <c r="H29" s="138">
        <v>46.808284</v>
      </c>
      <c r="I29" s="138">
        <v>45.262065999999997</v>
      </c>
      <c r="J29" s="138">
        <v>43.997531000000002</v>
      </c>
      <c r="K29" s="138">
        <v>42.145218999999997</v>
      </c>
      <c r="L29" s="174">
        <f t="shared" si="0"/>
        <v>48.579078899999999</v>
      </c>
      <c r="M29" s="130">
        <v>48.579078899999999</v>
      </c>
    </row>
    <row r="30" spans="1:13" ht="15" customHeight="1" x14ac:dyDescent="0.2">
      <c r="A30" s="133" t="s">
        <v>255</v>
      </c>
      <c r="B30" s="137">
        <v>172.93199999999999</v>
      </c>
      <c r="C30" s="137">
        <v>172.65899999999999</v>
      </c>
      <c r="D30" s="137">
        <v>172.03899999999999</v>
      </c>
      <c r="E30" s="137">
        <v>169.77600000000001</v>
      </c>
      <c r="F30" s="137">
        <v>169.346</v>
      </c>
      <c r="G30" s="137">
        <v>169.572</v>
      </c>
      <c r="H30" s="137">
        <v>169.41</v>
      </c>
      <c r="I30" s="137">
        <v>167.1</v>
      </c>
      <c r="J30" s="137">
        <v>165.49799999999999</v>
      </c>
      <c r="K30" s="137">
        <v>165.01300000000001</v>
      </c>
      <c r="L30" s="174">
        <f t="shared" si="0"/>
        <v>169.33449999999999</v>
      </c>
      <c r="M30" s="130">
        <v>169.33449999999999</v>
      </c>
    </row>
    <row r="31" spans="1:13" ht="15" customHeight="1" x14ac:dyDescent="0.2">
      <c r="A31" s="135" t="s">
        <v>254</v>
      </c>
      <c r="B31" s="138">
        <v>172.142</v>
      </c>
      <c r="C31" s="138">
        <v>171.62700000000001</v>
      </c>
      <c r="D31" s="138">
        <v>170.83500000000001</v>
      </c>
      <c r="E31" s="138">
        <v>168.54400000000001</v>
      </c>
      <c r="F31" s="138">
        <v>168.27199999999999</v>
      </c>
      <c r="G31" s="138">
        <v>167.685</v>
      </c>
      <c r="H31" s="138">
        <v>167.11199999999999</v>
      </c>
      <c r="I31" s="138">
        <v>164.804</v>
      </c>
      <c r="J31" s="138">
        <v>163.048</v>
      </c>
      <c r="K31" s="138">
        <v>162.15199999999999</v>
      </c>
      <c r="L31" s="174">
        <f t="shared" si="0"/>
        <v>167.62210000000002</v>
      </c>
      <c r="M31" s="130">
        <v>167.62210000000002</v>
      </c>
    </row>
    <row r="32" spans="1:13" ht="15" customHeight="1" x14ac:dyDescent="0.2">
      <c r="A32" s="133" t="s">
        <v>253</v>
      </c>
      <c r="B32" s="137">
        <v>172.187825</v>
      </c>
      <c r="C32" s="137">
        <v>172.09357199999999</v>
      </c>
      <c r="D32" s="137">
        <v>171.39452700000001</v>
      </c>
      <c r="E32" s="137">
        <v>168.62070800000001</v>
      </c>
      <c r="F32" s="137">
        <v>168.45045300000001</v>
      </c>
      <c r="G32" s="137">
        <v>168.17643699999999</v>
      </c>
      <c r="H32" s="137">
        <v>167.393235</v>
      </c>
      <c r="I32" s="137">
        <v>164.90195</v>
      </c>
      <c r="J32" s="137">
        <v>164.76065600000001</v>
      </c>
      <c r="K32" s="137">
        <v>162.63820899999999</v>
      </c>
      <c r="L32" s="174">
        <f t="shared" si="0"/>
        <v>168.06175719999999</v>
      </c>
      <c r="M32" s="130">
        <v>168.06175719999999</v>
      </c>
    </row>
    <row r="33" spans="1:13" ht="15" customHeight="1" x14ac:dyDescent="0.2">
      <c r="A33" s="135" t="s">
        <v>252</v>
      </c>
      <c r="B33" s="135"/>
      <c r="C33" s="135"/>
      <c r="D33" s="135"/>
      <c r="E33" s="135"/>
      <c r="F33" s="135"/>
      <c r="G33" s="135"/>
      <c r="H33" s="135"/>
      <c r="I33" s="135"/>
      <c r="J33" s="135"/>
      <c r="K33" s="135"/>
      <c r="L33" s="174" t="e">
        <f t="shared" si="0"/>
        <v>#DIV/0!</v>
      </c>
      <c r="M33" s="130" t="e">
        <v>#DIV/0!</v>
      </c>
    </row>
    <row r="34" spans="1:13" ht="15" customHeight="1" x14ac:dyDescent="0.2">
      <c r="A34" s="133" t="s">
        <v>251</v>
      </c>
      <c r="B34" s="136">
        <v>22.923528999999998</v>
      </c>
      <c r="C34" s="136">
        <v>23.997828999999999</v>
      </c>
      <c r="D34" s="136">
        <v>25.866078999999999</v>
      </c>
      <c r="E34" s="136">
        <v>24.054931</v>
      </c>
      <c r="F34" s="136">
        <v>24.150393000000001</v>
      </c>
      <c r="G34" s="136">
        <v>23.368062999999999</v>
      </c>
      <c r="H34" s="136">
        <v>25.554649999999999</v>
      </c>
      <c r="I34" s="136">
        <v>25.950604999999999</v>
      </c>
      <c r="J34" s="136">
        <v>27.683218</v>
      </c>
      <c r="K34" s="136">
        <v>29.653974999999999</v>
      </c>
      <c r="L34" s="174">
        <f t="shared" si="0"/>
        <v>25.320327200000001</v>
      </c>
      <c r="M34" s="130">
        <v>25.320327200000001</v>
      </c>
    </row>
    <row r="35" spans="1:13" ht="15" customHeight="1" x14ac:dyDescent="0.2">
      <c r="A35" s="135" t="s">
        <v>250</v>
      </c>
      <c r="B35" s="134">
        <v>19.388059999999999</v>
      </c>
      <c r="C35" s="134">
        <v>20.852547000000001</v>
      </c>
      <c r="D35" s="134">
        <v>21.650815999999999</v>
      </c>
      <c r="E35" s="134">
        <v>22.169326000000002</v>
      </c>
      <c r="F35" s="134">
        <v>21.605378000000002</v>
      </c>
      <c r="G35" s="134">
        <v>20.707097000000001</v>
      </c>
      <c r="H35" s="134">
        <v>21.029102000000002</v>
      </c>
      <c r="I35" s="134">
        <v>22.395022000000001</v>
      </c>
      <c r="J35" s="134">
        <v>23.652085</v>
      </c>
      <c r="K35" s="134">
        <v>24.16666</v>
      </c>
      <c r="L35" s="174">
        <f t="shared" si="0"/>
        <v>21.761609300000003</v>
      </c>
      <c r="M35" s="130">
        <v>21.761609300000003</v>
      </c>
    </row>
    <row r="36" spans="1:13" ht="15" customHeight="1" x14ac:dyDescent="0.2">
      <c r="A36" s="133" t="s">
        <v>249</v>
      </c>
      <c r="B36" s="136">
        <v>100.343164</v>
      </c>
      <c r="C36" s="136">
        <v>101.50331300000001</v>
      </c>
      <c r="D36" s="136">
        <v>101.69995</v>
      </c>
      <c r="E36" s="136">
        <v>100.736227</v>
      </c>
      <c r="F36" s="136">
        <v>100.681623</v>
      </c>
      <c r="G36" s="136">
        <v>98.569524000000001</v>
      </c>
      <c r="H36" s="136">
        <v>94.673561000000007</v>
      </c>
      <c r="I36" s="136">
        <v>95.955195000000003</v>
      </c>
      <c r="J36" s="136">
        <v>96.748555999999994</v>
      </c>
      <c r="K36" s="136">
        <v>95.018608</v>
      </c>
      <c r="L36" s="174">
        <f t="shared" si="0"/>
        <v>98.592972100000011</v>
      </c>
      <c r="M36" s="130">
        <v>98.592972100000011</v>
      </c>
    </row>
    <row r="37" spans="1:13" ht="15" customHeight="1" x14ac:dyDescent="0.2">
      <c r="A37" s="135" t="s">
        <v>248</v>
      </c>
      <c r="B37" s="134">
        <v>119.151983</v>
      </c>
      <c r="C37" s="134">
        <v>121.763175</v>
      </c>
      <c r="D37" s="134">
        <v>122.77237700000001</v>
      </c>
      <c r="E37" s="134">
        <v>122.355141</v>
      </c>
      <c r="F37" s="134">
        <v>121.72066599999999</v>
      </c>
      <c r="G37" s="134">
        <v>118.709571</v>
      </c>
      <c r="H37" s="134">
        <v>115.14744899999999</v>
      </c>
      <c r="I37" s="134">
        <v>117.794904</v>
      </c>
      <c r="J37" s="134">
        <v>119.84442300000001</v>
      </c>
      <c r="K37" s="134">
        <v>118.639211</v>
      </c>
      <c r="L37" s="174">
        <f t="shared" si="0"/>
        <v>119.78988999999999</v>
      </c>
      <c r="M37" s="130">
        <v>119.78988999999999</v>
      </c>
    </row>
    <row r="38" spans="1:13" ht="15" customHeight="1" x14ac:dyDescent="0.2">
      <c r="A38" s="133" t="s">
        <v>247</v>
      </c>
      <c r="B38" s="133"/>
      <c r="C38" s="133"/>
      <c r="D38" s="133"/>
      <c r="E38" s="133"/>
      <c r="F38" s="133"/>
      <c r="G38" s="133"/>
      <c r="H38" s="133"/>
      <c r="I38" s="133"/>
      <c r="J38" s="133"/>
      <c r="K38" s="133"/>
      <c r="L38" s="174" t="e">
        <f t="shared" si="0"/>
        <v>#DIV/0!</v>
      </c>
      <c r="M38" s="130" t="e">
        <v>#DIV/0!</v>
      </c>
    </row>
    <row r="39" spans="1:13" ht="15" customHeight="1" x14ac:dyDescent="0.2">
      <c r="A39" s="135" t="s">
        <v>246</v>
      </c>
      <c r="B39" s="138">
        <v>2.7241000000000001E-2</v>
      </c>
      <c r="C39" s="138">
        <v>3.1112000000000001E-2</v>
      </c>
      <c r="D39" s="138">
        <v>5.0477000000000001E-2</v>
      </c>
      <c r="E39" s="138">
        <v>1.055E-2</v>
      </c>
      <c r="F39" s="138">
        <v>1.9362999999999998E-2</v>
      </c>
      <c r="G39" s="138">
        <v>2.5779E-2</v>
      </c>
      <c r="H39" s="138">
        <v>1.8377999999999999E-2</v>
      </c>
      <c r="I39" s="138">
        <v>3.3070000000000002E-2</v>
      </c>
      <c r="J39" s="138">
        <v>2.5762E-2</v>
      </c>
      <c r="K39" s="138">
        <v>2.8013E-2</v>
      </c>
      <c r="L39" s="174">
        <f t="shared" si="0"/>
        <v>2.6974500000000002E-2</v>
      </c>
      <c r="M39" s="130">
        <v>2.6974500000000002E-2</v>
      </c>
    </row>
    <row r="40" spans="1:13" ht="15" customHeight="1" x14ac:dyDescent="0.2">
      <c r="A40" s="133" t="s">
        <v>245</v>
      </c>
      <c r="B40" s="136">
        <v>0.57726</v>
      </c>
      <c r="C40" s="136">
        <v>0.58390799999999998</v>
      </c>
      <c r="D40" s="136">
        <v>0.56872100000000003</v>
      </c>
      <c r="E40" s="136">
        <v>0.54638900000000001</v>
      </c>
      <c r="F40" s="136">
        <v>0.56250100000000003</v>
      </c>
      <c r="G40" s="136">
        <v>0.57527799999999996</v>
      </c>
      <c r="H40" s="136">
        <v>0.58645000000000003</v>
      </c>
      <c r="I40" s="136">
        <v>0.57872100000000004</v>
      </c>
      <c r="J40" s="136">
        <v>0.57491199999999998</v>
      </c>
      <c r="K40" s="136">
        <v>0.574685</v>
      </c>
      <c r="L40" s="174">
        <f t="shared" si="0"/>
        <v>0.57288249999999996</v>
      </c>
      <c r="M40" s="130">
        <v>0.57288249999999996</v>
      </c>
    </row>
    <row r="41" spans="1:13" ht="15" customHeight="1" x14ac:dyDescent="0.2">
      <c r="A41" s="135" t="s">
        <v>244</v>
      </c>
      <c r="B41" s="138">
        <v>0.156782</v>
      </c>
      <c r="C41" s="138">
        <v>0.164905</v>
      </c>
      <c r="D41" s="138">
        <v>0.13162399999999999</v>
      </c>
      <c r="E41" s="138">
        <v>0.157694</v>
      </c>
      <c r="F41" s="138">
        <v>0.15865599999999999</v>
      </c>
      <c r="G41" s="138">
        <v>0.17630999999999999</v>
      </c>
      <c r="H41" s="138">
        <v>6.6111000000000003E-2</v>
      </c>
      <c r="I41" s="138">
        <v>6.1247000000000003E-2</v>
      </c>
      <c r="J41" s="138">
        <v>5.8867999999999997E-2</v>
      </c>
      <c r="K41" s="138">
        <v>7.3639999999999997E-2</v>
      </c>
      <c r="L41" s="174">
        <f t="shared" si="0"/>
        <v>0.12058369999999999</v>
      </c>
      <c r="M41" s="130">
        <v>0.12058369999999999</v>
      </c>
    </row>
    <row r="42" spans="1:13" ht="15" customHeight="1" x14ac:dyDescent="0.2">
      <c r="A42" s="133" t="s">
        <v>243</v>
      </c>
      <c r="B42" s="136">
        <v>27.159621999999999</v>
      </c>
      <c r="C42" s="136">
        <v>28.241582999999999</v>
      </c>
      <c r="D42" s="136">
        <v>23.143865999999999</v>
      </c>
      <c r="E42" s="136">
        <v>28.861086</v>
      </c>
      <c r="F42" s="136">
        <v>28.205535000000001</v>
      </c>
      <c r="G42" s="136">
        <v>30.647756000000001</v>
      </c>
      <c r="H42" s="136">
        <v>11.273148000000001</v>
      </c>
      <c r="I42" s="136">
        <v>10.583125000000001</v>
      </c>
      <c r="J42" s="136">
        <v>10.239404</v>
      </c>
      <c r="K42" s="136">
        <v>12.814028</v>
      </c>
      <c r="L42" s="174">
        <f t="shared" si="0"/>
        <v>21.116915300000002</v>
      </c>
      <c r="M42" s="130">
        <v>21.116915300000002</v>
      </c>
    </row>
    <row r="43" spans="1:13" ht="15" customHeight="1" x14ac:dyDescent="0.2">
      <c r="A43" s="135" t="s">
        <v>242</v>
      </c>
      <c r="B43" s="135"/>
      <c r="C43" s="135"/>
      <c r="D43" s="135"/>
      <c r="E43" s="135"/>
      <c r="F43" s="135"/>
      <c r="G43" s="135"/>
      <c r="H43" s="135"/>
      <c r="I43" s="135"/>
      <c r="J43" s="135"/>
      <c r="K43" s="135"/>
      <c r="L43" s="174" t="e">
        <f t="shared" si="0"/>
        <v>#DIV/0!</v>
      </c>
      <c r="M43" s="130" t="e">
        <v>#DIV/0!</v>
      </c>
    </row>
    <row r="44" spans="1:13" ht="15" customHeight="1" x14ac:dyDescent="0.2">
      <c r="A44" s="133" t="s">
        <v>241</v>
      </c>
      <c r="B44" s="136">
        <v>11.5</v>
      </c>
      <c r="C44" s="136">
        <v>11.04</v>
      </c>
      <c r="D44" s="136">
        <v>11.14</v>
      </c>
      <c r="E44" s="136">
        <v>11.21</v>
      </c>
      <c r="F44" s="136">
        <v>11.05</v>
      </c>
      <c r="G44" s="136">
        <v>11.39</v>
      </c>
      <c r="H44" s="136">
        <v>11.82</v>
      </c>
      <c r="I44" s="136">
        <v>11.7</v>
      </c>
      <c r="J44" s="136">
        <v>12.14</v>
      </c>
      <c r="K44" s="136">
        <v>11.9</v>
      </c>
      <c r="L44" s="174">
        <f t="shared" si="0"/>
        <v>11.489000000000001</v>
      </c>
      <c r="M44" s="130">
        <v>11.489000000000001</v>
      </c>
    </row>
    <row r="45" spans="1:13" ht="15" customHeight="1" x14ac:dyDescent="0.2">
      <c r="A45" s="135" t="s">
        <v>240</v>
      </c>
      <c r="B45" s="134">
        <v>12.94</v>
      </c>
      <c r="C45" s="134">
        <v>12.49</v>
      </c>
      <c r="D45" s="134">
        <v>12.62</v>
      </c>
      <c r="E45" s="134">
        <v>12.73</v>
      </c>
      <c r="F45" s="134">
        <v>12.61</v>
      </c>
      <c r="G45" s="134">
        <v>13.02</v>
      </c>
      <c r="H45" s="134">
        <v>13.5</v>
      </c>
      <c r="I45" s="134">
        <v>13.43</v>
      </c>
      <c r="J45" s="134">
        <v>13.9</v>
      </c>
      <c r="K45" s="134">
        <v>13.68</v>
      </c>
      <c r="L45" s="174">
        <f t="shared" si="0"/>
        <v>13.092000000000002</v>
      </c>
      <c r="M45" s="130">
        <v>13.092000000000002</v>
      </c>
    </row>
    <row r="46" spans="1:13" ht="15" customHeight="1" x14ac:dyDescent="0.2">
      <c r="A46" s="133" t="s">
        <v>239</v>
      </c>
      <c r="B46" s="132">
        <v>95828.347999999998</v>
      </c>
      <c r="C46" s="132">
        <v>92870.858999999997</v>
      </c>
      <c r="D46" s="132">
        <v>90072.4</v>
      </c>
      <c r="E46" s="132">
        <v>84885.942999999999</v>
      </c>
      <c r="F46" s="132">
        <v>81994.650999999998</v>
      </c>
      <c r="G46" s="132">
        <v>77889.111000000004</v>
      </c>
      <c r="H46" s="132">
        <v>73753.990999999995</v>
      </c>
      <c r="I46" s="132">
        <v>71116.459000000003</v>
      </c>
      <c r="J46" s="132">
        <v>68370.63</v>
      </c>
      <c r="K46" s="132">
        <v>66461.528999999995</v>
      </c>
      <c r="L46" s="174">
        <f t="shared" si="0"/>
        <v>80324.392099999997</v>
      </c>
      <c r="M46" s="130">
        <v>80324.392099999997</v>
      </c>
    </row>
    <row r="47" spans="1:13" ht="15" customHeight="1" x14ac:dyDescent="0.2">
      <c r="A47" s="131" t="s">
        <v>238</v>
      </c>
    </row>
  </sheetData>
  <pageMargins left="0.75" right="0.75" top="1" bottom="1" header="0.5" footer="0.5"/>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0B15-6DF6-4308-B9AF-D18E858C2591}">
  <sheetPr>
    <outlinePr summaryBelow="0" summaryRight="0"/>
  </sheetPr>
  <dimension ref="A1:L55"/>
  <sheetViews>
    <sheetView zoomScaleNormal="100" workbookViewId="0">
      <selection activeCell="B16" sqref="B16"/>
    </sheetView>
  </sheetViews>
  <sheetFormatPr defaultColWidth="8" defaultRowHeight="15" customHeight="1" outlineLevelRow="3" x14ac:dyDescent="0.2"/>
  <cols>
    <col min="1" max="1" width="44.375" style="130" customWidth="1"/>
    <col min="2" max="2" width="7" style="130" customWidth="1"/>
    <col min="3" max="3" width="6.875" style="130" customWidth="1"/>
    <col min="4" max="4" width="7.375" style="130" customWidth="1"/>
    <col min="5" max="7" width="7" style="130" customWidth="1"/>
    <col min="8" max="8" width="7.375" style="130" customWidth="1"/>
    <col min="9" max="10" width="7" style="130" customWidth="1"/>
    <col min="11" max="11" width="6.875" style="130" customWidth="1"/>
    <col min="12" max="16384" width="8" style="130"/>
  </cols>
  <sheetData>
    <row r="1" spans="1:12" ht="15" customHeight="1" x14ac:dyDescent="0.2">
      <c r="A1" s="142" t="s">
        <v>77</v>
      </c>
    </row>
    <row r="2" spans="1:12" ht="15" customHeight="1" x14ac:dyDescent="0.2">
      <c r="A2" s="141" t="s">
        <v>281</v>
      </c>
    </row>
    <row r="3" spans="1:12" ht="15" customHeight="1" x14ac:dyDescent="0.2">
      <c r="A3" s="140"/>
      <c r="B3" s="140"/>
      <c r="C3" s="140"/>
      <c r="D3" s="140"/>
      <c r="E3" s="140"/>
      <c r="F3" s="140"/>
      <c r="G3" s="140"/>
      <c r="H3" s="140"/>
      <c r="I3" s="140"/>
      <c r="J3" s="140"/>
      <c r="K3" s="140"/>
    </row>
    <row r="5" spans="1:12" ht="15" customHeight="1" x14ac:dyDescent="0.2">
      <c r="A5" s="139" t="s">
        <v>155</v>
      </c>
      <c r="B5" s="139"/>
      <c r="C5" s="139"/>
      <c r="D5" s="139"/>
      <c r="E5" s="139"/>
      <c r="F5" s="139"/>
      <c r="G5" s="139"/>
      <c r="H5" s="139"/>
      <c r="I5" s="139"/>
      <c r="J5" s="139"/>
      <c r="K5" s="139"/>
    </row>
    <row r="6" spans="1:12" ht="15" customHeight="1" x14ac:dyDescent="0.2">
      <c r="A6" s="139" t="s">
        <v>280</v>
      </c>
      <c r="B6" s="139"/>
      <c r="C6" s="139"/>
      <c r="D6" s="139"/>
      <c r="E6" s="139"/>
      <c r="F6" s="139"/>
      <c r="G6" s="139"/>
      <c r="H6" s="139"/>
      <c r="I6" s="139"/>
      <c r="J6" s="139"/>
      <c r="K6" s="139"/>
    </row>
    <row r="7" spans="1:12" ht="15" customHeight="1" x14ac:dyDescent="0.2">
      <c r="A7" s="139" t="s">
        <v>279</v>
      </c>
      <c r="B7" s="139"/>
      <c r="C7" s="139"/>
      <c r="D7" s="139"/>
      <c r="E7" s="139"/>
      <c r="F7" s="139"/>
      <c r="G7" s="139"/>
      <c r="H7" s="139"/>
      <c r="I7" s="139"/>
      <c r="J7" s="139"/>
      <c r="K7" s="139"/>
    </row>
    <row r="8" spans="1:12" ht="15" customHeight="1" x14ac:dyDescent="0.2">
      <c r="A8" s="139" t="s">
        <v>8</v>
      </c>
      <c r="B8" s="139" t="s">
        <v>278</v>
      </c>
      <c r="C8" s="139" t="s">
        <v>277</v>
      </c>
      <c r="D8" s="139" t="s">
        <v>276</v>
      </c>
      <c r="E8" s="139" t="s">
        <v>275</v>
      </c>
      <c r="F8" s="139" t="s">
        <v>274</v>
      </c>
      <c r="G8" s="139" t="s">
        <v>273</v>
      </c>
      <c r="H8" s="139" t="s">
        <v>272</v>
      </c>
      <c r="I8" s="139" t="s">
        <v>271</v>
      </c>
      <c r="J8" s="139" t="s">
        <v>270</v>
      </c>
      <c r="K8" s="139" t="s">
        <v>269</v>
      </c>
    </row>
    <row r="9" spans="1:12" ht="15" customHeight="1" x14ac:dyDescent="0.2">
      <c r="A9" s="160" t="s">
        <v>321</v>
      </c>
      <c r="B9" s="160"/>
      <c r="C9" s="160"/>
      <c r="D9" s="160"/>
      <c r="E9" s="160"/>
      <c r="F9" s="160"/>
      <c r="G9" s="160"/>
      <c r="H9" s="160"/>
      <c r="I9" s="160"/>
      <c r="J9" s="160"/>
      <c r="K9" s="160"/>
    </row>
    <row r="10" spans="1:12" ht="15" customHeight="1" outlineLevel="1" x14ac:dyDescent="0.2">
      <c r="A10" s="161" t="s">
        <v>320</v>
      </c>
      <c r="B10" s="136">
        <v>1355.098</v>
      </c>
      <c r="C10" s="136">
        <v>1282.837</v>
      </c>
      <c r="D10" s="136">
        <v>1208.393</v>
      </c>
      <c r="E10" s="136">
        <v>1171.441</v>
      </c>
      <c r="F10" s="136">
        <v>1167.3589999999999</v>
      </c>
      <c r="G10" s="136">
        <v>1159.508</v>
      </c>
      <c r="H10" s="136">
        <v>1143.375</v>
      </c>
      <c r="I10" s="136">
        <v>1034.001</v>
      </c>
      <c r="J10" s="136">
        <v>1018.588</v>
      </c>
      <c r="K10" s="136">
        <v>968.62400000000002</v>
      </c>
      <c r="L10" s="163">
        <f>(B10-C10)/C10</f>
        <v>5.6329058173407817E-2</v>
      </c>
    </row>
    <row r="11" spans="1:12" ht="15" customHeight="1" outlineLevel="1" x14ac:dyDescent="0.2">
      <c r="A11" s="148" t="s">
        <v>319</v>
      </c>
      <c r="B11" s="147">
        <v>-1047.181</v>
      </c>
      <c r="C11" s="147">
        <v>-396.91199999999998</v>
      </c>
      <c r="D11" s="147">
        <v>-1.996</v>
      </c>
      <c r="E11" s="134">
        <v>200.02799999999999</v>
      </c>
      <c r="F11" s="134">
        <v>886.48500000000001</v>
      </c>
      <c r="G11" s="134">
        <v>396.80500000000001</v>
      </c>
      <c r="H11" s="147">
        <v>-116.858</v>
      </c>
      <c r="I11" s="134">
        <v>17.687000000000001</v>
      </c>
      <c r="J11" s="134">
        <v>284.68799999999999</v>
      </c>
      <c r="K11" s="147">
        <v>-159.65299999999999</v>
      </c>
      <c r="L11" s="163">
        <f t="shared" ref="L11:L50" si="0">(B11-C11)/C11</f>
        <v>1.6383203329705327</v>
      </c>
    </row>
    <row r="12" spans="1:12" ht="15" customHeight="1" outlineLevel="1" x14ac:dyDescent="0.2">
      <c r="A12" s="161" t="s">
        <v>318</v>
      </c>
      <c r="B12" s="136">
        <v>307.91699999999997</v>
      </c>
      <c r="C12" s="136">
        <v>885.92499999999995</v>
      </c>
      <c r="D12" s="136">
        <v>1206.3969999999999</v>
      </c>
      <c r="E12" s="136">
        <v>1371.4690000000001</v>
      </c>
      <c r="F12" s="136">
        <v>2053.8440000000001</v>
      </c>
      <c r="G12" s="136">
        <v>1556.3130000000001</v>
      </c>
      <c r="H12" s="136">
        <v>1026.5170000000001</v>
      </c>
      <c r="I12" s="136">
        <v>1051.6880000000001</v>
      </c>
      <c r="J12" s="136">
        <v>1303.2760000000001</v>
      </c>
      <c r="K12" s="136">
        <v>808.971</v>
      </c>
      <c r="L12" s="163">
        <f t="shared" si="0"/>
        <v>-0.65243446115641845</v>
      </c>
    </row>
    <row r="13" spans="1:12" ht="15" customHeight="1" x14ac:dyDescent="0.2">
      <c r="A13" s="160" t="s">
        <v>317</v>
      </c>
      <c r="B13" s="160"/>
      <c r="C13" s="160"/>
      <c r="D13" s="160"/>
      <c r="E13" s="160"/>
      <c r="F13" s="160"/>
      <c r="G13" s="160"/>
      <c r="H13" s="160"/>
      <c r="I13" s="160"/>
      <c r="J13" s="160"/>
      <c r="K13" s="160"/>
      <c r="L13" s="163" t="e">
        <f t="shared" si="0"/>
        <v>#DIV/0!</v>
      </c>
    </row>
    <row r="14" spans="1:12" ht="15" customHeight="1" outlineLevel="1" x14ac:dyDescent="0.2">
      <c r="A14" s="146" t="s">
        <v>316</v>
      </c>
      <c r="B14" s="156">
        <v>-635.91600000000005</v>
      </c>
      <c r="C14" s="156">
        <v>-184.10499999999999</v>
      </c>
      <c r="D14" s="156">
        <v>-191.226</v>
      </c>
      <c r="E14" s="156">
        <v>-167.941</v>
      </c>
      <c r="F14" s="156">
        <v>-155.64500000000001</v>
      </c>
      <c r="G14" s="156">
        <v>-141.35499999999999</v>
      </c>
      <c r="H14" s="156">
        <v>-141.33000000000001</v>
      </c>
      <c r="I14" s="156">
        <v>-133.875</v>
      </c>
      <c r="J14" s="156">
        <v>-140.727</v>
      </c>
      <c r="K14" s="156">
        <v>-162.239</v>
      </c>
      <c r="L14" s="163">
        <f t="shared" si="0"/>
        <v>2.4540941310665114</v>
      </c>
    </row>
    <row r="15" spans="1:12" ht="15" customHeight="1" outlineLevel="2" x14ac:dyDescent="0.2">
      <c r="A15" s="144" t="s">
        <v>315</v>
      </c>
      <c r="B15" s="158">
        <v>-147.76900000000001</v>
      </c>
      <c r="C15" s="158">
        <v>-165.958</v>
      </c>
      <c r="D15" s="158">
        <v>-173.07900000000001</v>
      </c>
      <c r="E15" s="158">
        <v>-167.941</v>
      </c>
      <c r="F15" s="158">
        <v>-155.64500000000001</v>
      </c>
      <c r="G15" s="158">
        <v>-141.35499999999999</v>
      </c>
      <c r="H15" s="158">
        <v>-141.33000000000001</v>
      </c>
      <c r="I15" s="158">
        <v>-133.875</v>
      </c>
      <c r="J15" s="158">
        <v>-140.727</v>
      </c>
      <c r="K15" s="158">
        <v>-142.60900000000001</v>
      </c>
      <c r="L15" s="163">
        <f t="shared" si="0"/>
        <v>-0.10960001928198697</v>
      </c>
    </row>
    <row r="16" spans="1:12" ht="15" customHeight="1" outlineLevel="2" x14ac:dyDescent="0.2">
      <c r="A16" s="143" t="s">
        <v>314</v>
      </c>
      <c r="B16" s="151">
        <v>-488.14699999999999</v>
      </c>
      <c r="C16" s="151">
        <v>-18.146999999999998</v>
      </c>
      <c r="D16" s="151">
        <v>-18.146999999999998</v>
      </c>
      <c r="E16" s="132">
        <v>0</v>
      </c>
      <c r="F16" s="132">
        <v>0</v>
      </c>
      <c r="G16" s="132">
        <v>0</v>
      </c>
      <c r="H16" s="132">
        <v>0</v>
      </c>
      <c r="I16" s="132">
        <v>0</v>
      </c>
      <c r="J16" s="132">
        <v>0</v>
      </c>
      <c r="K16" s="151">
        <v>-19.63</v>
      </c>
      <c r="L16" s="163">
        <f t="shared" si="0"/>
        <v>25.899597729652285</v>
      </c>
    </row>
    <row r="17" spans="1:12" ht="15" customHeight="1" outlineLevel="1" x14ac:dyDescent="0.2">
      <c r="A17" s="148" t="s">
        <v>313</v>
      </c>
      <c r="B17" s="150">
        <v>29.265000000000001</v>
      </c>
      <c r="C17" s="150">
        <v>29.265000000000001</v>
      </c>
      <c r="D17" s="150">
        <v>29.265000000000001</v>
      </c>
      <c r="E17" s="150">
        <v>29.265000000000001</v>
      </c>
      <c r="F17" s="150">
        <v>0</v>
      </c>
      <c r="G17" s="150">
        <v>0</v>
      </c>
      <c r="H17" s="150">
        <v>0</v>
      </c>
      <c r="I17" s="150">
        <v>0</v>
      </c>
      <c r="J17" s="150">
        <v>0</v>
      </c>
      <c r="K17" s="150">
        <v>0</v>
      </c>
      <c r="L17" s="163">
        <f t="shared" si="0"/>
        <v>0</v>
      </c>
    </row>
    <row r="18" spans="1:12" ht="15" customHeight="1" outlineLevel="1" x14ac:dyDescent="0.2">
      <c r="A18" s="146" t="s">
        <v>312</v>
      </c>
      <c r="B18" s="156">
        <v>-517.40099999999995</v>
      </c>
      <c r="C18" s="156">
        <v>-2364.84</v>
      </c>
      <c r="D18" s="156">
        <v>-2296.5839999999998</v>
      </c>
      <c r="E18" s="156">
        <v>-1934.4469999999999</v>
      </c>
      <c r="F18" s="156">
        <v>-838.42499999999995</v>
      </c>
      <c r="G18" s="156">
        <v>532.88099999999997</v>
      </c>
      <c r="H18" s="156">
        <v>630.245</v>
      </c>
      <c r="I18" s="156">
        <v>2525.15</v>
      </c>
      <c r="J18" s="156">
        <v>1257.06</v>
      </c>
      <c r="K18" s="156">
        <v>348.57799999999997</v>
      </c>
      <c r="L18" s="163">
        <f t="shared" si="0"/>
        <v>-0.78121099101841995</v>
      </c>
    </row>
    <row r="19" spans="1:12" ht="15" customHeight="1" outlineLevel="2" x14ac:dyDescent="0.2">
      <c r="A19" s="144" t="s">
        <v>311</v>
      </c>
      <c r="B19" s="150">
        <v>3904.5610000000001</v>
      </c>
      <c r="C19" s="150">
        <v>5970.0860000000002</v>
      </c>
      <c r="D19" s="150">
        <v>5738.9189999999999</v>
      </c>
      <c r="E19" s="150">
        <v>5084.0860000000002</v>
      </c>
      <c r="F19" s="150">
        <v>3722.4949999999999</v>
      </c>
      <c r="G19" s="150">
        <v>1400.998</v>
      </c>
      <c r="H19" s="150">
        <v>959.55200000000002</v>
      </c>
      <c r="I19" s="150">
        <v>1072.2449999999999</v>
      </c>
      <c r="J19" s="150">
        <v>2159.4490000000001</v>
      </c>
      <c r="K19" s="150">
        <v>3044.4</v>
      </c>
      <c r="L19" s="163">
        <f t="shared" si="0"/>
        <v>-0.34597910314859787</v>
      </c>
    </row>
    <row r="20" spans="1:12" ht="15" customHeight="1" outlineLevel="2" x14ac:dyDescent="0.2">
      <c r="A20" s="143" t="s">
        <v>310</v>
      </c>
      <c r="B20" s="132">
        <v>3387.16</v>
      </c>
      <c r="C20" s="132">
        <v>3605.2460000000001</v>
      </c>
      <c r="D20" s="132">
        <v>3442.335</v>
      </c>
      <c r="E20" s="132">
        <v>3149.6390000000001</v>
      </c>
      <c r="F20" s="132">
        <v>2884.07</v>
      </c>
      <c r="G20" s="132">
        <v>1933.8789999999999</v>
      </c>
      <c r="H20" s="132">
        <v>1589.797</v>
      </c>
      <c r="I20" s="132">
        <v>3597.395</v>
      </c>
      <c r="J20" s="132">
        <v>3416.509</v>
      </c>
      <c r="K20" s="132">
        <v>3392.9780000000001</v>
      </c>
      <c r="L20" s="163">
        <f t="shared" si="0"/>
        <v>-6.0491295184850143E-2</v>
      </c>
    </row>
    <row r="21" spans="1:12" ht="15" customHeight="1" outlineLevel="1" x14ac:dyDescent="0.2">
      <c r="A21" s="153" t="s">
        <v>309</v>
      </c>
      <c r="B21" s="152">
        <v>-19231.424999999999</v>
      </c>
      <c r="C21" s="152">
        <v>-18692.592000000001</v>
      </c>
      <c r="D21" s="152">
        <v>-18917.087</v>
      </c>
      <c r="E21" s="152">
        <v>-15299.884</v>
      </c>
      <c r="F21" s="152">
        <v>-14105.834000000001</v>
      </c>
      <c r="G21" s="152">
        <v>-13445.396000000001</v>
      </c>
      <c r="H21" s="152">
        <v>-11740.014999999999</v>
      </c>
      <c r="I21" s="152">
        <v>-13380.688</v>
      </c>
      <c r="J21" s="152">
        <v>-12675.145</v>
      </c>
      <c r="K21" s="152">
        <v>-11413.062</v>
      </c>
      <c r="L21" s="163">
        <f t="shared" si="0"/>
        <v>2.8826018349943052E-2</v>
      </c>
    </row>
    <row r="22" spans="1:12" ht="15" customHeight="1" outlineLevel="2" x14ac:dyDescent="0.2">
      <c r="A22" s="143" t="s">
        <v>308</v>
      </c>
      <c r="B22" s="132">
        <v>20184.670999999998</v>
      </c>
      <c r="C22" s="132">
        <v>19078.282999999999</v>
      </c>
      <c r="D22" s="132">
        <v>19163.769</v>
      </c>
      <c r="E22" s="132">
        <v>15451.14</v>
      </c>
      <c r="F22" s="132">
        <v>14509.196</v>
      </c>
      <c r="G22" s="132">
        <v>13885.897999999999</v>
      </c>
      <c r="H22" s="132">
        <v>12857.876</v>
      </c>
      <c r="I22" s="132">
        <v>14440.254000000001</v>
      </c>
      <c r="J22" s="132">
        <v>14335.043</v>
      </c>
      <c r="K22" s="132">
        <v>13754.718000000001</v>
      </c>
      <c r="L22" s="163">
        <f t="shared" si="0"/>
        <v>5.7992011125948754E-2</v>
      </c>
    </row>
    <row r="23" spans="1:12" ht="15" customHeight="1" outlineLevel="2" x14ac:dyDescent="0.2">
      <c r="A23" s="144" t="s">
        <v>307</v>
      </c>
      <c r="B23" s="150">
        <v>953.24599999999998</v>
      </c>
      <c r="C23" s="150">
        <v>385.69099999999997</v>
      </c>
      <c r="D23" s="150">
        <v>246.68199999999999</v>
      </c>
      <c r="E23" s="150">
        <v>151.256</v>
      </c>
      <c r="F23" s="150">
        <v>403.36200000000002</v>
      </c>
      <c r="G23" s="150">
        <v>440.50200000000001</v>
      </c>
      <c r="H23" s="150">
        <v>1117.8610000000001</v>
      </c>
      <c r="I23" s="150">
        <v>1059.566</v>
      </c>
      <c r="J23" s="150">
        <v>1659.8979999999999</v>
      </c>
      <c r="K23" s="150">
        <v>2341.6559999999999</v>
      </c>
      <c r="L23" s="163">
        <f t="shared" si="0"/>
        <v>1.4715277255626917</v>
      </c>
    </row>
    <row r="24" spans="1:12" ht="15" customHeight="1" outlineLevel="1" x14ac:dyDescent="0.2">
      <c r="A24" s="146" t="s">
        <v>289</v>
      </c>
      <c r="B24" s="156">
        <v>-125.488</v>
      </c>
      <c r="C24" s="156">
        <v>-79.403999999999996</v>
      </c>
      <c r="D24" s="156">
        <v>0</v>
      </c>
      <c r="E24" s="156">
        <v>0</v>
      </c>
      <c r="F24" s="156">
        <v>0</v>
      </c>
      <c r="G24" s="156">
        <v>0</v>
      </c>
      <c r="H24" s="156">
        <v>0</v>
      </c>
      <c r="I24" s="156">
        <v>0</v>
      </c>
      <c r="J24" s="156">
        <v>0</v>
      </c>
      <c r="K24" s="156">
        <v>0</v>
      </c>
      <c r="L24" s="163">
        <f t="shared" si="0"/>
        <v>0.58037378469598511</v>
      </c>
    </row>
    <row r="25" spans="1:12" ht="15" customHeight="1" outlineLevel="2" x14ac:dyDescent="0.2">
      <c r="A25" s="144" t="s">
        <v>288</v>
      </c>
      <c r="B25" s="158">
        <v>-125.488</v>
      </c>
      <c r="C25" s="158">
        <v>-79.403999999999996</v>
      </c>
      <c r="D25" s="150">
        <v>0</v>
      </c>
      <c r="E25" s="150">
        <v>0</v>
      </c>
      <c r="F25" s="150">
        <v>0</v>
      </c>
      <c r="G25" s="150">
        <v>0</v>
      </c>
      <c r="H25" s="150">
        <v>0</v>
      </c>
      <c r="I25" s="150">
        <v>0</v>
      </c>
      <c r="J25" s="150">
        <v>0</v>
      </c>
      <c r="K25" s="150">
        <v>0</v>
      </c>
      <c r="L25" s="163">
        <f t="shared" si="0"/>
        <v>0.58037378469598511</v>
      </c>
    </row>
    <row r="26" spans="1:12" ht="15" customHeight="1" outlineLevel="1" x14ac:dyDescent="0.2">
      <c r="A26" s="161" t="s">
        <v>306</v>
      </c>
      <c r="B26" s="151">
        <v>-20571.099999999999</v>
      </c>
      <c r="C26" s="151">
        <v>-21465.866999999998</v>
      </c>
      <c r="D26" s="151">
        <v>-21621.331999999999</v>
      </c>
      <c r="E26" s="151">
        <v>-17467.71</v>
      </c>
      <c r="F26" s="151">
        <v>-15132.178</v>
      </c>
      <c r="G26" s="151">
        <v>-13063.632</v>
      </c>
      <c r="H26" s="151">
        <v>-11254.47</v>
      </c>
      <c r="I26" s="151">
        <v>-11002.503000000001</v>
      </c>
      <c r="J26" s="151">
        <v>-11595.518</v>
      </c>
      <c r="K26" s="151">
        <v>-11261.101000000001</v>
      </c>
      <c r="L26" s="163">
        <f t="shared" si="0"/>
        <v>-4.1683245312197262E-2</v>
      </c>
    </row>
    <row r="27" spans="1:12" ht="15" customHeight="1" x14ac:dyDescent="0.2">
      <c r="A27" s="160" t="s">
        <v>305</v>
      </c>
      <c r="B27" s="160"/>
      <c r="C27" s="160"/>
      <c r="D27" s="160"/>
      <c r="E27" s="160"/>
      <c r="F27" s="160"/>
      <c r="G27" s="160"/>
      <c r="H27" s="160"/>
      <c r="I27" s="160"/>
      <c r="J27" s="160"/>
      <c r="K27" s="160"/>
      <c r="L27" s="163" t="e">
        <f t="shared" si="0"/>
        <v>#DIV/0!</v>
      </c>
    </row>
    <row r="28" spans="1:12" ht="15" customHeight="1" outlineLevel="1" x14ac:dyDescent="0.2">
      <c r="A28" s="146" t="s">
        <v>304</v>
      </c>
      <c r="B28" s="156">
        <v>-189.26400000000001</v>
      </c>
      <c r="C28" s="156">
        <v>-184.62200000000001</v>
      </c>
      <c r="D28" s="156">
        <v>-179.952</v>
      </c>
      <c r="E28" s="156">
        <v>-177.15899999999999</v>
      </c>
      <c r="F28" s="156">
        <v>-180.46600000000001</v>
      </c>
      <c r="G28" s="156">
        <v>-182.208</v>
      </c>
      <c r="H28" s="156">
        <v>-178.846</v>
      </c>
      <c r="I28" s="156">
        <v>-175.56800000000001</v>
      </c>
      <c r="J28" s="156">
        <v>-171.14</v>
      </c>
      <c r="K28" s="156">
        <v>-165.8</v>
      </c>
      <c r="L28" s="163">
        <f t="shared" si="0"/>
        <v>2.5143265699645739E-2</v>
      </c>
    </row>
    <row r="29" spans="1:12" ht="15" customHeight="1" outlineLevel="2" x14ac:dyDescent="0.2">
      <c r="A29" s="144" t="s">
        <v>303</v>
      </c>
      <c r="B29" s="158">
        <v>-135.90299999999999</v>
      </c>
      <c r="C29" s="158">
        <v>-133.29</v>
      </c>
      <c r="D29" s="158">
        <v>-130.649</v>
      </c>
      <c r="E29" s="158">
        <v>-128.089</v>
      </c>
      <c r="F29" s="158">
        <v>-125.876</v>
      </c>
      <c r="G29" s="158">
        <v>-123.29300000000001</v>
      </c>
      <c r="H29" s="158">
        <v>-120.556</v>
      </c>
      <c r="I29" s="158">
        <v>-117.843</v>
      </c>
      <c r="J29" s="158">
        <v>-115.371</v>
      </c>
      <c r="K29" s="158">
        <v>-112.871</v>
      </c>
      <c r="L29" s="163">
        <f t="shared" si="0"/>
        <v>1.9603871258158899E-2</v>
      </c>
    </row>
    <row r="30" spans="1:12" ht="15" customHeight="1" outlineLevel="2" x14ac:dyDescent="0.2">
      <c r="A30" s="143" t="s">
        <v>302</v>
      </c>
      <c r="B30" s="151">
        <v>-53.360999999999997</v>
      </c>
      <c r="C30" s="151">
        <v>-51.332000000000001</v>
      </c>
      <c r="D30" s="151">
        <v>-49.302999999999997</v>
      </c>
      <c r="E30" s="151">
        <v>-49.07</v>
      </c>
      <c r="F30" s="151">
        <v>-54.59</v>
      </c>
      <c r="G30" s="151">
        <v>-58.914999999999999</v>
      </c>
      <c r="H30" s="151">
        <v>-58.29</v>
      </c>
      <c r="I30" s="151">
        <v>-57.725000000000001</v>
      </c>
      <c r="J30" s="151">
        <v>-55.768999999999998</v>
      </c>
      <c r="K30" s="151">
        <v>-52.929000000000002</v>
      </c>
      <c r="L30" s="163">
        <f t="shared" si="0"/>
        <v>3.9527000701316845E-2</v>
      </c>
    </row>
    <row r="31" spans="1:12" ht="15" customHeight="1" outlineLevel="1" x14ac:dyDescent="0.2">
      <c r="A31" s="153" t="s">
        <v>301</v>
      </c>
      <c r="B31" s="152">
        <v>18685.611000000001</v>
      </c>
      <c r="C31" s="152">
        <v>15099.458000000001</v>
      </c>
      <c r="D31" s="152">
        <v>12073.656999999999</v>
      </c>
      <c r="E31" s="152">
        <v>11070.161</v>
      </c>
      <c r="F31" s="152">
        <v>10956.793</v>
      </c>
      <c r="G31" s="152">
        <v>10655.755999999999</v>
      </c>
      <c r="H31" s="152">
        <v>10352.912</v>
      </c>
      <c r="I31" s="152">
        <v>10138.457</v>
      </c>
      <c r="J31" s="152">
        <v>9320.9320000000007</v>
      </c>
      <c r="K31" s="152">
        <v>9477.23</v>
      </c>
      <c r="L31" s="163">
        <f t="shared" si="0"/>
        <v>0.23750210106879333</v>
      </c>
    </row>
    <row r="32" spans="1:12" ht="15" customHeight="1" outlineLevel="2" x14ac:dyDescent="0.2">
      <c r="A32" s="143" t="s">
        <v>300</v>
      </c>
      <c r="B32" s="132">
        <v>18685.611000000001</v>
      </c>
      <c r="C32" s="132">
        <v>15099.458000000001</v>
      </c>
      <c r="D32" s="132">
        <v>12073.656999999999</v>
      </c>
      <c r="E32" s="132">
        <v>11070.161</v>
      </c>
      <c r="F32" s="132">
        <v>10956.793</v>
      </c>
      <c r="G32" s="132">
        <v>10655.755999999999</v>
      </c>
      <c r="H32" s="132">
        <v>10352.912</v>
      </c>
      <c r="I32" s="132">
        <v>10138.457</v>
      </c>
      <c r="J32" s="132">
        <v>9320.9320000000007</v>
      </c>
      <c r="K32" s="132">
        <v>9477.23</v>
      </c>
      <c r="L32" s="163">
        <f t="shared" si="0"/>
        <v>0.23750210106879333</v>
      </c>
    </row>
    <row r="33" spans="1:12" ht="15" customHeight="1" outlineLevel="1" x14ac:dyDescent="0.2">
      <c r="A33" s="153" t="s">
        <v>299</v>
      </c>
      <c r="B33" s="152">
        <v>997.45799999999997</v>
      </c>
      <c r="C33" s="152">
        <v>505.29199999999997</v>
      </c>
      <c r="D33" s="152">
        <v>504.1</v>
      </c>
      <c r="E33" s="152">
        <v>381.267</v>
      </c>
      <c r="F33" s="152">
        <v>-11.557</v>
      </c>
      <c r="G33" s="152">
        <v>187.23</v>
      </c>
      <c r="H33" s="152">
        <v>475.459</v>
      </c>
      <c r="I33" s="152">
        <v>153.667</v>
      </c>
      <c r="J33" s="152">
        <v>349.13400000000001</v>
      </c>
      <c r="K33" s="152">
        <v>146.09100000000001</v>
      </c>
      <c r="L33" s="163">
        <f t="shared" si="0"/>
        <v>0.97402294119044042</v>
      </c>
    </row>
    <row r="34" spans="1:12" ht="15" customHeight="1" outlineLevel="2" x14ac:dyDescent="0.2">
      <c r="A34" s="143" t="s">
        <v>298</v>
      </c>
      <c r="B34" s="151">
        <v>-190</v>
      </c>
      <c r="C34" s="151">
        <v>-190</v>
      </c>
      <c r="D34" s="151">
        <v>-190</v>
      </c>
      <c r="E34" s="151">
        <v>-190</v>
      </c>
      <c r="F34" s="151">
        <v>-200</v>
      </c>
      <c r="G34" s="151">
        <v>-200</v>
      </c>
      <c r="H34" s="151">
        <v>-200</v>
      </c>
      <c r="I34" s="151">
        <v>-350</v>
      </c>
      <c r="J34" s="151">
        <v>-150</v>
      </c>
      <c r="K34" s="151">
        <v>-150</v>
      </c>
      <c r="L34" s="163">
        <f t="shared" si="0"/>
        <v>0</v>
      </c>
    </row>
    <row r="35" spans="1:12" ht="15" customHeight="1" outlineLevel="2" x14ac:dyDescent="0.2">
      <c r="A35" s="159" t="s">
        <v>297</v>
      </c>
      <c r="B35" s="152">
        <v>1187.4580000000001</v>
      </c>
      <c r="C35" s="152">
        <v>695.29200000000003</v>
      </c>
      <c r="D35" s="152">
        <v>694.1</v>
      </c>
      <c r="E35" s="152">
        <v>571.26700000000005</v>
      </c>
      <c r="F35" s="152">
        <v>188.44300000000001</v>
      </c>
      <c r="G35" s="152">
        <v>387.23</v>
      </c>
      <c r="H35" s="152">
        <v>675.45899999999995</v>
      </c>
      <c r="I35" s="152">
        <v>503.66699999999997</v>
      </c>
      <c r="J35" s="152">
        <v>499.13400000000001</v>
      </c>
      <c r="K35" s="152">
        <v>296.09100000000001</v>
      </c>
      <c r="L35" s="163">
        <f t="shared" si="0"/>
        <v>0.70785511698682002</v>
      </c>
    </row>
    <row r="36" spans="1:12" ht="15" customHeight="1" outlineLevel="3" x14ac:dyDescent="0.2">
      <c r="A36" s="154" t="s">
        <v>296</v>
      </c>
      <c r="B36" s="132">
        <v>1151.8720000000001</v>
      </c>
      <c r="C36" s="132">
        <v>664.16</v>
      </c>
      <c r="D36" s="132">
        <v>668.93899999999996</v>
      </c>
      <c r="E36" s="132">
        <v>553.08900000000006</v>
      </c>
      <c r="F36" s="132">
        <v>188.32300000000001</v>
      </c>
      <c r="G36" s="132">
        <v>387.11700000000002</v>
      </c>
      <c r="H36" s="132">
        <v>675.34699999999998</v>
      </c>
      <c r="I36" s="132">
        <v>503.62400000000002</v>
      </c>
      <c r="J36" s="132">
        <v>499.09399999999999</v>
      </c>
      <c r="K36" s="132">
        <v>296.05099999999999</v>
      </c>
      <c r="L36" s="163">
        <f t="shared" si="0"/>
        <v>0.73432907733076391</v>
      </c>
    </row>
    <row r="37" spans="1:12" ht="15" customHeight="1" outlineLevel="3" x14ac:dyDescent="0.2">
      <c r="A37" s="155" t="s">
        <v>295</v>
      </c>
      <c r="B37" s="150">
        <v>35.585999999999999</v>
      </c>
      <c r="C37" s="150">
        <v>31.132000000000001</v>
      </c>
      <c r="D37" s="150">
        <v>25.161000000000001</v>
      </c>
      <c r="E37" s="150">
        <v>18.178000000000001</v>
      </c>
      <c r="F37" s="150">
        <v>0.12</v>
      </c>
      <c r="G37" s="150">
        <v>0.113</v>
      </c>
      <c r="H37" s="150">
        <v>0.112</v>
      </c>
      <c r="I37" s="150">
        <v>4.2999999999999997E-2</v>
      </c>
      <c r="J37" s="150">
        <v>0.04</v>
      </c>
      <c r="K37" s="150">
        <v>0.04</v>
      </c>
      <c r="L37" s="163">
        <f t="shared" si="0"/>
        <v>0.14306822561994079</v>
      </c>
    </row>
    <row r="38" spans="1:12" ht="15" customHeight="1" outlineLevel="1" x14ac:dyDescent="0.2">
      <c r="A38" s="146" t="s">
        <v>294</v>
      </c>
      <c r="B38" s="156">
        <v>2331.4969999999998</v>
      </c>
      <c r="C38" s="156">
        <v>6106.4970000000003</v>
      </c>
      <c r="D38" s="156">
        <v>8346.6710000000003</v>
      </c>
      <c r="E38" s="156">
        <v>3800</v>
      </c>
      <c r="F38" s="156">
        <v>1575</v>
      </c>
      <c r="G38" s="156">
        <v>-850</v>
      </c>
      <c r="H38" s="156">
        <v>-500</v>
      </c>
      <c r="I38" s="156">
        <v>400</v>
      </c>
      <c r="J38" s="156">
        <v>950</v>
      </c>
      <c r="K38" s="156">
        <v>2527.3420000000001</v>
      </c>
      <c r="L38" s="163">
        <f t="shared" si="0"/>
        <v>-0.61819403170098997</v>
      </c>
    </row>
    <row r="39" spans="1:12" ht="15" customHeight="1" outlineLevel="2" x14ac:dyDescent="0.2">
      <c r="A39" s="144" t="s">
        <v>293</v>
      </c>
      <c r="B39" s="158">
        <v>-770</v>
      </c>
      <c r="C39" s="150">
        <v>5</v>
      </c>
      <c r="D39" s="150">
        <v>0</v>
      </c>
      <c r="E39" s="150">
        <v>700</v>
      </c>
      <c r="F39" s="150">
        <v>675</v>
      </c>
      <c r="G39" s="158">
        <v>-600</v>
      </c>
      <c r="H39" s="150">
        <v>0</v>
      </c>
      <c r="I39" s="150">
        <v>0</v>
      </c>
      <c r="J39" s="158">
        <v>-350</v>
      </c>
      <c r="K39" s="150">
        <v>450</v>
      </c>
      <c r="L39" s="163">
        <f t="shared" si="0"/>
        <v>-155</v>
      </c>
    </row>
    <row r="40" spans="1:12" ht="15" customHeight="1" outlineLevel="2" x14ac:dyDescent="0.2">
      <c r="A40" s="157" t="s">
        <v>292</v>
      </c>
      <c r="B40" s="156">
        <v>3101.4969999999998</v>
      </c>
      <c r="C40" s="156">
        <v>6101.4970000000003</v>
      </c>
      <c r="D40" s="156">
        <v>8346.6710000000003</v>
      </c>
      <c r="E40" s="156">
        <v>3100</v>
      </c>
      <c r="F40" s="156">
        <v>900</v>
      </c>
      <c r="G40" s="156">
        <v>-250</v>
      </c>
      <c r="H40" s="156">
        <v>-500</v>
      </c>
      <c r="I40" s="156">
        <v>400</v>
      </c>
      <c r="J40" s="156">
        <v>1300</v>
      </c>
      <c r="K40" s="156">
        <v>2077.3420000000001</v>
      </c>
      <c r="L40" s="163">
        <f t="shared" si="0"/>
        <v>-0.49168261493859627</v>
      </c>
    </row>
    <row r="41" spans="1:12" ht="15" customHeight="1" outlineLevel="3" x14ac:dyDescent="0.2">
      <c r="A41" s="155" t="s">
        <v>291</v>
      </c>
      <c r="B41" s="150">
        <v>8501.4969999999994</v>
      </c>
      <c r="C41" s="150">
        <v>10601.496999999999</v>
      </c>
      <c r="D41" s="150">
        <v>12800</v>
      </c>
      <c r="E41" s="150">
        <v>7050</v>
      </c>
      <c r="F41" s="150">
        <v>4700</v>
      </c>
      <c r="G41" s="150">
        <v>3300</v>
      </c>
      <c r="H41" s="150">
        <v>2850</v>
      </c>
      <c r="I41" s="150">
        <v>3300</v>
      </c>
      <c r="J41" s="150">
        <v>3700</v>
      </c>
      <c r="K41" s="150">
        <v>3999.8609999999999</v>
      </c>
      <c r="L41" s="163">
        <f t="shared" si="0"/>
        <v>-0.19808523267987532</v>
      </c>
    </row>
    <row r="42" spans="1:12" ht="15" customHeight="1" outlineLevel="3" x14ac:dyDescent="0.2">
      <c r="A42" s="154" t="s">
        <v>290</v>
      </c>
      <c r="B42" s="151">
        <v>-5400</v>
      </c>
      <c r="C42" s="151">
        <v>-4500</v>
      </c>
      <c r="D42" s="151">
        <v>-4453.3289999999997</v>
      </c>
      <c r="E42" s="151">
        <v>-3950</v>
      </c>
      <c r="F42" s="151">
        <v>-3800</v>
      </c>
      <c r="G42" s="151">
        <v>-3550</v>
      </c>
      <c r="H42" s="151">
        <v>-3350</v>
      </c>
      <c r="I42" s="151">
        <v>-2900</v>
      </c>
      <c r="J42" s="151">
        <v>-2400</v>
      </c>
      <c r="K42" s="151">
        <v>-1922.519</v>
      </c>
      <c r="L42" s="163">
        <f t="shared" si="0"/>
        <v>0.2</v>
      </c>
    </row>
    <row r="43" spans="1:12" ht="15" customHeight="1" outlineLevel="1" x14ac:dyDescent="0.2">
      <c r="A43" s="153" t="s">
        <v>289</v>
      </c>
      <c r="B43" s="152">
        <v>-52.57</v>
      </c>
      <c r="C43" s="152">
        <v>-67.585999999999999</v>
      </c>
      <c r="D43" s="152">
        <v>-73.558999999999997</v>
      </c>
      <c r="E43" s="152">
        <v>-89.63</v>
      </c>
      <c r="F43" s="152">
        <v>-93.480999999999995</v>
      </c>
      <c r="G43" s="152">
        <v>-76.611999999999995</v>
      </c>
      <c r="H43" s="152">
        <v>-68.106999999999999</v>
      </c>
      <c r="I43" s="152">
        <v>-51.603000000000002</v>
      </c>
      <c r="J43" s="152">
        <v>-103.392</v>
      </c>
      <c r="K43" s="152">
        <v>-115.682</v>
      </c>
      <c r="L43" s="163">
        <f t="shared" si="0"/>
        <v>-0.22217619033527652</v>
      </c>
    </row>
    <row r="44" spans="1:12" ht="15" customHeight="1" outlineLevel="2" x14ac:dyDescent="0.2">
      <c r="A44" s="143" t="s">
        <v>288</v>
      </c>
      <c r="B44" s="151">
        <v>-52.57</v>
      </c>
      <c r="C44" s="151">
        <v>-67.585999999999999</v>
      </c>
      <c r="D44" s="151">
        <v>-73.558999999999997</v>
      </c>
      <c r="E44" s="151">
        <v>-89.63</v>
      </c>
      <c r="F44" s="151">
        <v>-93.480999999999995</v>
      </c>
      <c r="G44" s="151">
        <v>-76.611999999999995</v>
      </c>
      <c r="H44" s="151">
        <v>-68.106999999999999</v>
      </c>
      <c r="I44" s="151">
        <v>-51.603000000000002</v>
      </c>
      <c r="J44" s="151">
        <v>-103.392</v>
      </c>
      <c r="K44" s="151">
        <v>-115.682</v>
      </c>
      <c r="L44" s="163">
        <f t="shared" si="0"/>
        <v>-0.22217619033527652</v>
      </c>
    </row>
    <row r="45" spans="1:12" ht="15" customHeight="1" outlineLevel="1" x14ac:dyDescent="0.2">
      <c r="A45" s="148" t="s">
        <v>287</v>
      </c>
      <c r="B45" s="150">
        <v>21772.732</v>
      </c>
      <c r="C45" s="150">
        <v>21459.039000000001</v>
      </c>
      <c r="D45" s="150">
        <v>20670.917000000001</v>
      </c>
      <c r="E45" s="150">
        <v>14984.638999999999</v>
      </c>
      <c r="F45" s="150">
        <v>12246.289000000001</v>
      </c>
      <c r="G45" s="150">
        <v>9734.1659999999993</v>
      </c>
      <c r="H45" s="150">
        <v>10081.418</v>
      </c>
      <c r="I45" s="150">
        <v>10464.953</v>
      </c>
      <c r="J45" s="150">
        <v>10345.534</v>
      </c>
      <c r="K45" s="150">
        <v>11869.181</v>
      </c>
      <c r="L45" s="163">
        <f t="shared" si="0"/>
        <v>1.4618222185998137E-2</v>
      </c>
    </row>
    <row r="46" spans="1:12" ht="15" customHeight="1" x14ac:dyDescent="0.2">
      <c r="A46" s="149" t="s">
        <v>286</v>
      </c>
      <c r="B46" s="149"/>
      <c r="C46" s="149"/>
      <c r="D46" s="149"/>
      <c r="E46" s="149"/>
      <c r="F46" s="149"/>
      <c r="G46" s="149"/>
      <c r="H46" s="149"/>
      <c r="I46" s="149"/>
      <c r="J46" s="149"/>
      <c r="K46" s="149"/>
      <c r="L46" s="163" t="e">
        <f t="shared" si="0"/>
        <v>#DIV/0!</v>
      </c>
    </row>
    <row r="47" spans="1:12" ht="15" customHeight="1" outlineLevel="1" x14ac:dyDescent="0.2">
      <c r="A47" s="148" t="s">
        <v>285</v>
      </c>
      <c r="B47" s="134">
        <v>1509.549</v>
      </c>
      <c r="C47" s="134">
        <v>879.09699999999998</v>
      </c>
      <c r="D47" s="134">
        <v>255.982</v>
      </c>
      <c r="E47" s="147">
        <v>-1111.6020000000001</v>
      </c>
      <c r="F47" s="147">
        <v>-832.04499999999996</v>
      </c>
      <c r="G47" s="147">
        <v>-1773.153</v>
      </c>
      <c r="H47" s="147">
        <v>-146.535</v>
      </c>
      <c r="I47" s="134">
        <v>514.13800000000003</v>
      </c>
      <c r="J47" s="134">
        <v>53.292000000000002</v>
      </c>
      <c r="K47" s="134">
        <v>1417.0509999999999</v>
      </c>
      <c r="L47" s="163">
        <f t="shared" si="0"/>
        <v>0.71715862982128253</v>
      </c>
    </row>
    <row r="48" spans="1:12" ht="15" customHeight="1" outlineLevel="1" x14ac:dyDescent="0.2">
      <c r="A48" s="146" t="s">
        <v>284</v>
      </c>
      <c r="B48" s="145">
        <v>160.148</v>
      </c>
      <c r="C48" s="145">
        <v>719.96699999999998</v>
      </c>
      <c r="D48" s="145">
        <v>1033.318</v>
      </c>
      <c r="E48" s="145">
        <v>1203.528</v>
      </c>
      <c r="F48" s="145">
        <v>1898.1990000000001</v>
      </c>
      <c r="G48" s="145">
        <v>1414.9580000000001</v>
      </c>
      <c r="H48" s="145">
        <v>885.18700000000001</v>
      </c>
      <c r="I48" s="145">
        <v>917.81299999999999</v>
      </c>
      <c r="J48" s="145">
        <v>1162.549</v>
      </c>
      <c r="K48" s="145">
        <v>666.36199999999997</v>
      </c>
      <c r="L48" s="163">
        <f t="shared" si="0"/>
        <v>-0.77756202714846645</v>
      </c>
    </row>
    <row r="49" spans="1:12" ht="15" customHeight="1" outlineLevel="2" x14ac:dyDescent="0.2">
      <c r="A49" s="144" t="s">
        <v>283</v>
      </c>
      <c r="B49" s="134">
        <v>0.92607499999999998</v>
      </c>
      <c r="C49" s="134">
        <v>4.1698779999999998</v>
      </c>
      <c r="D49" s="134">
        <v>6.0063009999999997</v>
      </c>
      <c r="E49" s="134">
        <v>7.0889170000000004</v>
      </c>
      <c r="F49" s="134">
        <v>11.208997999999999</v>
      </c>
      <c r="G49" s="134">
        <v>8.3442900000000009</v>
      </c>
      <c r="H49" s="134">
        <v>5.225117</v>
      </c>
      <c r="I49" s="134">
        <v>5.492597</v>
      </c>
      <c r="J49" s="134">
        <v>7.0245499999999996</v>
      </c>
      <c r="K49" s="134">
        <v>4.0382389999999999</v>
      </c>
      <c r="L49" s="163">
        <f t="shared" si="0"/>
        <v>-0.7779131667641116</v>
      </c>
    </row>
    <row r="50" spans="1:12" ht="15" customHeight="1" outlineLevel="2" x14ac:dyDescent="0.2">
      <c r="A50" s="143" t="s">
        <v>282</v>
      </c>
      <c r="B50" s="136">
        <v>0.84914299999999998</v>
      </c>
      <c r="C50" s="136">
        <v>3.9342190000000001</v>
      </c>
      <c r="D50" s="136">
        <v>7.2998310000000002</v>
      </c>
      <c r="E50" s="136">
        <v>6.0356889999999996</v>
      </c>
      <c r="F50" s="136">
        <v>11.591518000000001</v>
      </c>
      <c r="G50" s="136">
        <v>8.5450999999999997</v>
      </c>
      <c r="H50" s="136">
        <v>5.2011909999999997</v>
      </c>
      <c r="I50" s="136">
        <v>6.320595</v>
      </c>
      <c r="J50" s="136">
        <v>7.31724</v>
      </c>
      <c r="K50" s="136">
        <v>4.1721659999999998</v>
      </c>
      <c r="L50" s="163">
        <f t="shared" si="0"/>
        <v>-0.78416478594607975</v>
      </c>
    </row>
    <row r="51" spans="1:12" ht="15" customHeight="1" x14ac:dyDescent="0.2">
      <c r="A51" s="131" t="s">
        <v>238</v>
      </c>
    </row>
    <row r="52" spans="1:12" ht="15" customHeight="1" x14ac:dyDescent="0.2">
      <c r="B52" s="139" t="s">
        <v>278</v>
      </c>
      <c r="C52" s="139" t="s">
        <v>277</v>
      </c>
      <c r="D52" s="139" t="s">
        <v>276</v>
      </c>
      <c r="E52" s="139" t="s">
        <v>275</v>
      </c>
      <c r="F52" s="139" t="s">
        <v>274</v>
      </c>
      <c r="G52" s="139" t="s">
        <v>273</v>
      </c>
      <c r="H52" s="139" t="s">
        <v>272</v>
      </c>
      <c r="I52" s="139" t="s">
        <v>271</v>
      </c>
      <c r="J52" s="139" t="s">
        <v>270</v>
      </c>
      <c r="K52" s="139" t="s">
        <v>269</v>
      </c>
    </row>
    <row r="53" spans="1:12" ht="15" customHeight="1" x14ac:dyDescent="0.2">
      <c r="A53" s="146" t="s">
        <v>284</v>
      </c>
      <c r="B53" s="145">
        <v>160.148</v>
      </c>
      <c r="C53" s="145">
        <v>719.96699999999998</v>
      </c>
      <c r="D53" s="145">
        <v>1033.318</v>
      </c>
      <c r="E53" s="145">
        <v>1203.528</v>
      </c>
      <c r="F53" s="145">
        <v>1898.1990000000001</v>
      </c>
      <c r="G53" s="145">
        <v>1414.9580000000001</v>
      </c>
      <c r="H53" s="145">
        <v>885.18700000000001</v>
      </c>
      <c r="I53" s="145">
        <v>917.81299999999999</v>
      </c>
      <c r="J53" s="145">
        <v>1162.549</v>
      </c>
      <c r="K53" s="145">
        <v>666.36199999999997</v>
      </c>
    </row>
    <row r="54" spans="1:12" ht="15" customHeight="1" x14ac:dyDescent="0.2">
      <c r="A54" s="144" t="s">
        <v>283</v>
      </c>
      <c r="B54" s="134">
        <v>0.92607499999999998</v>
      </c>
      <c r="C54" s="134">
        <v>4.1698779999999998</v>
      </c>
      <c r="D54" s="134">
        <v>6.0063009999999997</v>
      </c>
      <c r="E54" s="134">
        <v>7.0889170000000004</v>
      </c>
      <c r="F54" s="134">
        <v>11.208997999999999</v>
      </c>
      <c r="G54" s="134">
        <v>8.3442900000000009</v>
      </c>
      <c r="H54" s="134">
        <v>5.225117</v>
      </c>
      <c r="I54" s="134">
        <v>5.492597</v>
      </c>
      <c r="J54" s="134">
        <v>7.0245499999999996</v>
      </c>
      <c r="K54" s="134">
        <v>4.0382389999999999</v>
      </c>
    </row>
    <row r="55" spans="1:12" ht="15" customHeight="1" x14ac:dyDescent="0.2">
      <c r="A55" s="143" t="s">
        <v>282</v>
      </c>
      <c r="B55" s="136">
        <v>0.84914299999999998</v>
      </c>
      <c r="C55" s="136">
        <v>3.9342190000000001</v>
      </c>
      <c r="D55" s="136">
        <v>7.2998310000000002</v>
      </c>
      <c r="E55" s="136">
        <v>6.0356889999999996</v>
      </c>
      <c r="F55" s="136">
        <v>11.591518000000001</v>
      </c>
      <c r="G55" s="136">
        <v>8.5450999999999997</v>
      </c>
      <c r="H55" s="136">
        <v>5.2011909999999997</v>
      </c>
      <c r="I55" s="136">
        <v>6.320595</v>
      </c>
      <c r="J55" s="136">
        <v>7.31724</v>
      </c>
      <c r="K55" s="136">
        <v>4.1721659999999998</v>
      </c>
    </row>
  </sheetData>
  <pageMargins left="0.75" right="0.75" top="1" bottom="1" header="0.5" footer="0.5"/>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FAE5-4982-45B1-9481-9E8CBA5218E2}">
  <dimension ref="A1:K47"/>
  <sheetViews>
    <sheetView workbookViewId="0">
      <selection activeCell="K44" sqref="A33:K44"/>
    </sheetView>
  </sheetViews>
  <sheetFormatPr defaultRowHeight="15.75" x14ac:dyDescent="0.25"/>
  <sheetData>
    <row r="1" spans="1:11" x14ac:dyDescent="0.25">
      <c r="A1" t="s">
        <v>323</v>
      </c>
      <c r="B1" s="139" t="s">
        <v>278</v>
      </c>
      <c r="C1" s="139" t="s">
        <v>277</v>
      </c>
      <c r="D1" s="139" t="s">
        <v>276</v>
      </c>
      <c r="E1" s="139" t="s">
        <v>275</v>
      </c>
      <c r="F1" s="139" t="s">
        <v>274</v>
      </c>
      <c r="G1" s="139" t="s">
        <v>273</v>
      </c>
      <c r="H1" s="139" t="s">
        <v>272</v>
      </c>
      <c r="I1" s="139" t="s">
        <v>271</v>
      </c>
      <c r="J1" s="139" t="s">
        <v>270</v>
      </c>
      <c r="K1" s="139" t="s">
        <v>269</v>
      </c>
    </row>
    <row r="2" spans="1:11" x14ac:dyDescent="0.25">
      <c r="A2" s="100" t="s">
        <v>151</v>
      </c>
      <c r="B2" s="164">
        <v>2554</v>
      </c>
      <c r="C2" s="164">
        <v>2666</v>
      </c>
      <c r="D2" s="164">
        <v>2134</v>
      </c>
      <c r="E2" s="164">
        <v>3047</v>
      </c>
      <c r="F2" s="164">
        <v>3490</v>
      </c>
      <c r="G2" s="164">
        <v>3761</v>
      </c>
      <c r="H2" s="164">
        <v>4216</v>
      </c>
      <c r="I2" s="164">
        <v>4295</v>
      </c>
      <c r="J2" s="164">
        <v>4505</v>
      </c>
      <c r="K2" s="164">
        <v>4283</v>
      </c>
    </row>
    <row r="3" spans="1:11" x14ac:dyDescent="0.25">
      <c r="A3" s="101" t="s">
        <v>153</v>
      </c>
      <c r="B3" s="165">
        <v>-132.39724699999999</v>
      </c>
      <c r="C3" s="166">
        <v>28.699300999999998</v>
      </c>
      <c r="D3" s="166">
        <v>64.996407000000005</v>
      </c>
      <c r="E3" s="165">
        <v>-47.852314</v>
      </c>
      <c r="F3" s="165">
        <v>-48.118076000000002</v>
      </c>
      <c r="G3" s="166">
        <v>19.107112999999998</v>
      </c>
      <c r="H3" s="165">
        <v>-47.021464999999999</v>
      </c>
      <c r="I3" s="166">
        <v>51.060485999999997</v>
      </c>
      <c r="J3" s="166">
        <v>896.82299799999998</v>
      </c>
      <c r="K3" s="166">
        <v>791.97619599999996</v>
      </c>
    </row>
    <row r="4" spans="1:11" x14ac:dyDescent="0.25">
      <c r="A4" s="102" t="s">
        <v>141</v>
      </c>
      <c r="B4" s="145">
        <v>160.148</v>
      </c>
      <c r="C4" s="145">
        <v>719.96699999999998</v>
      </c>
      <c r="D4" s="145">
        <v>1033.318</v>
      </c>
      <c r="E4" s="145">
        <v>1203.528</v>
      </c>
      <c r="F4" s="145">
        <v>1898.1990000000001</v>
      </c>
      <c r="G4" s="145">
        <v>1414.9580000000001</v>
      </c>
      <c r="H4" s="145">
        <v>885.18700000000001</v>
      </c>
      <c r="I4" s="145">
        <v>917.81299999999999</v>
      </c>
      <c r="J4" s="145">
        <v>1162.549</v>
      </c>
      <c r="K4" s="145">
        <v>666.36199999999997</v>
      </c>
    </row>
    <row r="5" spans="1:11" x14ac:dyDescent="0.25">
      <c r="A5" s="101" t="s">
        <v>156</v>
      </c>
      <c r="B5" s="166">
        <v>30.397621000000001</v>
      </c>
      <c r="C5" s="165">
        <v>-31.485040999999999</v>
      </c>
      <c r="D5" s="165">
        <v>-41.639724999999999</v>
      </c>
      <c r="E5" s="165">
        <v>-0.83012200000000003</v>
      </c>
      <c r="F5" s="166">
        <v>12.218515</v>
      </c>
      <c r="G5" s="166">
        <v>1.363383</v>
      </c>
      <c r="H5" s="166">
        <v>71.281647000000007</v>
      </c>
      <c r="I5" s="166">
        <v>26.376920999999999</v>
      </c>
      <c r="J5" s="165">
        <v>-29.470589</v>
      </c>
      <c r="K5" s="166">
        <v>67.474373</v>
      </c>
    </row>
    <row r="6" spans="1:11" x14ac:dyDescent="0.25">
      <c r="A6" s="100" t="s">
        <v>158</v>
      </c>
      <c r="B6" s="167">
        <v>58.722465999999997</v>
      </c>
      <c r="C6" s="167">
        <v>37.875121999999998</v>
      </c>
      <c r="D6" s="167">
        <v>2.7412679999999998</v>
      </c>
      <c r="E6" s="167">
        <v>23.764075999999999</v>
      </c>
      <c r="F6" s="167">
        <v>15.099648999999999</v>
      </c>
      <c r="G6" s="167">
        <v>88.680946000000006</v>
      </c>
      <c r="H6" s="167">
        <v>12.565671</v>
      </c>
      <c r="I6" s="167">
        <v>67.738440999999995</v>
      </c>
      <c r="J6" s="167">
        <v>32.753413999999999</v>
      </c>
      <c r="K6" s="168">
        <v>-13.560945</v>
      </c>
    </row>
    <row r="7" spans="1:11" x14ac:dyDescent="0.25">
      <c r="A7" s="101" t="s">
        <v>160</v>
      </c>
      <c r="B7">
        <v>41.3</v>
      </c>
      <c r="C7">
        <v>14.4</v>
      </c>
      <c r="D7">
        <v>-123.5</v>
      </c>
      <c r="E7">
        <v>45.8</v>
      </c>
      <c r="F7">
        <v>-37.6</v>
      </c>
      <c r="G7">
        <v>84.4</v>
      </c>
      <c r="H7">
        <v>550.9</v>
      </c>
      <c r="I7">
        <v>2.5</v>
      </c>
      <c r="J7">
        <v>31.5</v>
      </c>
      <c r="K7">
        <v>-46.4</v>
      </c>
    </row>
    <row r="8" spans="1:11" x14ac:dyDescent="0.25">
      <c r="A8" s="100" t="s">
        <v>162</v>
      </c>
      <c r="B8">
        <v>-15.5</v>
      </c>
      <c r="C8">
        <v>18.2</v>
      </c>
      <c r="D8">
        <v>23</v>
      </c>
      <c r="E8">
        <v>12.9</v>
      </c>
      <c r="F8">
        <v>13.9</v>
      </c>
      <c r="G8">
        <v>3.2</v>
      </c>
      <c r="H8">
        <v>8.8000000000000007</v>
      </c>
      <c r="I8">
        <v>17.3</v>
      </c>
      <c r="J8">
        <v>8.9</v>
      </c>
      <c r="K8">
        <v>6.6</v>
      </c>
    </row>
    <row r="9" spans="1:11" x14ac:dyDescent="0.25">
      <c r="A9" s="101" t="s">
        <v>164</v>
      </c>
      <c r="B9">
        <v>562</v>
      </c>
      <c r="C9">
        <v>835</v>
      </c>
      <c r="D9" s="170">
        <v>1641</v>
      </c>
      <c r="E9" s="170">
        <v>2268</v>
      </c>
      <c r="F9" s="170">
        <v>1957</v>
      </c>
      <c r="G9" s="170">
        <v>1215</v>
      </c>
      <c r="H9" s="170">
        <v>1220</v>
      </c>
      <c r="I9" s="170">
        <v>1528</v>
      </c>
      <c r="J9" s="170">
        <v>1480</v>
      </c>
      <c r="K9" s="170">
        <v>2453</v>
      </c>
    </row>
    <row r="10" spans="1:11" x14ac:dyDescent="0.25">
      <c r="A10" s="100" t="s">
        <v>166</v>
      </c>
      <c r="B10" s="168">
        <v>-282.27572600000002</v>
      </c>
      <c r="C10" s="168">
        <v>-233.63774100000001</v>
      </c>
      <c r="D10" s="168">
        <v>-181.85841400000001</v>
      </c>
      <c r="E10" s="168">
        <v>-97.053047000000007</v>
      </c>
      <c r="F10" s="169" t="s">
        <v>176</v>
      </c>
      <c r="G10" s="167">
        <v>401.526703</v>
      </c>
      <c r="H10" s="169" t="s">
        <v>176</v>
      </c>
      <c r="I10" s="167">
        <v>288.549622</v>
      </c>
      <c r="J10" s="168">
        <v>-100.361664</v>
      </c>
      <c r="K10" s="168">
        <v>-71.767241999999996</v>
      </c>
    </row>
    <row r="11" spans="1:11" x14ac:dyDescent="0.25">
      <c r="A11" s="101" t="s">
        <v>168</v>
      </c>
      <c r="B11" s="167">
        <v>20.813106999999999</v>
      </c>
      <c r="C11" s="168">
        <v>-25.445544999999999</v>
      </c>
      <c r="D11" s="168">
        <v>-18.248531</v>
      </c>
      <c r="E11" s="168">
        <v>-10.445387</v>
      </c>
      <c r="F11" s="168">
        <v>-20.873611</v>
      </c>
      <c r="G11" s="167">
        <v>5.7700719999999999</v>
      </c>
      <c r="H11" s="167">
        <v>18.576069</v>
      </c>
      <c r="I11" s="167">
        <v>10.875956</v>
      </c>
      <c r="J11" s="167">
        <v>31.857792</v>
      </c>
      <c r="K11" s="167">
        <v>39.458477000000002</v>
      </c>
    </row>
    <row r="12" spans="1:11" x14ac:dyDescent="0.25">
      <c r="A12" s="100" t="s">
        <v>170</v>
      </c>
      <c r="B12">
        <v>26.2</v>
      </c>
      <c r="C12">
        <v>-4.5</v>
      </c>
      <c r="D12">
        <v>-18.7</v>
      </c>
      <c r="E12">
        <v>-14.5</v>
      </c>
      <c r="F12">
        <v>-13.3</v>
      </c>
      <c r="G12">
        <v>-7.7</v>
      </c>
      <c r="H12">
        <v>19.399999999999999</v>
      </c>
      <c r="I12">
        <v>33.700000000000003</v>
      </c>
      <c r="J12">
        <v>32.200000000000003</v>
      </c>
      <c r="K12">
        <v>36.6</v>
      </c>
    </row>
    <row r="13" spans="1:11" x14ac:dyDescent="0.25">
      <c r="A13" s="115"/>
    </row>
    <row r="14" spans="1:11" x14ac:dyDescent="0.25">
      <c r="A14" s="100" t="s">
        <v>22</v>
      </c>
      <c r="B14" s="171">
        <f>AVERAGE(B2:B12)</f>
        <v>274.85529281818185</v>
      </c>
      <c r="C14" s="171">
        <f t="shared" ref="C14:K14" si="0">AVERAGE(C2:C12)</f>
        <v>365.91573599999998</v>
      </c>
      <c r="D14" s="171">
        <f t="shared" si="0"/>
        <v>410.46445500000004</v>
      </c>
      <c r="E14" s="171">
        <f t="shared" si="0"/>
        <v>584.57374599999991</v>
      </c>
      <c r="F14" s="171">
        <f t="shared" si="0"/>
        <v>726.65254769999979</v>
      </c>
      <c r="G14" s="171">
        <f t="shared" si="0"/>
        <v>635.20965609090922</v>
      </c>
      <c r="H14" s="171">
        <f t="shared" si="0"/>
        <v>695.56889219999994</v>
      </c>
      <c r="I14" s="171">
        <f t="shared" si="0"/>
        <v>658.08312963636365</v>
      </c>
      <c r="J14" s="171">
        <f t="shared" si="0"/>
        <v>731.97735918181809</v>
      </c>
      <c r="K14" s="171">
        <f t="shared" si="0"/>
        <v>746.61298718181831</v>
      </c>
    </row>
    <row r="15" spans="1:11" x14ac:dyDescent="0.25">
      <c r="A15" s="101" t="s">
        <v>175</v>
      </c>
      <c r="B15" s="171">
        <f>MEDIAN(B2:B12)</f>
        <v>30.397621000000001</v>
      </c>
      <c r="C15" s="171">
        <f t="shared" ref="C15:K15" si="1">MEDIAN(C2:C12)</f>
        <v>18.2</v>
      </c>
      <c r="D15" s="171">
        <f t="shared" si="1"/>
        <v>2.7412679999999998</v>
      </c>
      <c r="E15" s="171">
        <f t="shared" si="1"/>
        <v>12.9</v>
      </c>
      <c r="F15" s="171">
        <f t="shared" si="1"/>
        <v>13.059257500000001</v>
      </c>
      <c r="G15" s="171">
        <f t="shared" si="1"/>
        <v>84.4</v>
      </c>
      <c r="H15" s="171">
        <f t="shared" si="1"/>
        <v>45.340823499999999</v>
      </c>
      <c r="I15" s="171">
        <f t="shared" si="1"/>
        <v>51.060485999999997</v>
      </c>
      <c r="J15" s="171">
        <f t="shared" si="1"/>
        <v>32.200000000000003</v>
      </c>
      <c r="K15" s="171">
        <f t="shared" si="1"/>
        <v>39.458477000000002</v>
      </c>
    </row>
    <row r="17" spans="1:11" x14ac:dyDescent="0.25">
      <c r="A17" s="109" t="s">
        <v>536</v>
      </c>
      <c r="B17" s="139" t="s">
        <v>278</v>
      </c>
      <c r="C17" s="139" t="s">
        <v>277</v>
      </c>
      <c r="D17" s="139" t="s">
        <v>276</v>
      </c>
      <c r="E17" s="139" t="s">
        <v>275</v>
      </c>
      <c r="F17" s="139" t="s">
        <v>274</v>
      </c>
      <c r="G17" s="139" t="s">
        <v>273</v>
      </c>
      <c r="H17" s="139" t="s">
        <v>272</v>
      </c>
      <c r="I17" s="139" t="s">
        <v>271</v>
      </c>
      <c r="J17" s="139" t="s">
        <v>270</v>
      </c>
      <c r="K17" s="139" t="s">
        <v>269</v>
      </c>
    </row>
    <row r="18" spans="1:11" x14ac:dyDescent="0.25">
      <c r="A18" s="100" t="s">
        <v>151</v>
      </c>
      <c r="B18" s="311">
        <v>3.1</v>
      </c>
      <c r="C18" s="311">
        <v>3.13</v>
      </c>
      <c r="D18" s="311">
        <v>3.58</v>
      </c>
      <c r="E18" s="312">
        <v>-0.01</v>
      </c>
      <c r="F18" s="311">
        <v>3.37</v>
      </c>
      <c r="G18" s="311">
        <v>3.42</v>
      </c>
      <c r="H18" s="311">
        <v>3.51</v>
      </c>
      <c r="I18" s="311">
        <v>3.49</v>
      </c>
      <c r="J18" s="311">
        <v>3.47</v>
      </c>
      <c r="K18" s="311">
        <v>3.45</v>
      </c>
    </row>
    <row r="19" spans="1:11" x14ac:dyDescent="0.25">
      <c r="A19" s="101" t="s">
        <v>153</v>
      </c>
      <c r="B19" s="307">
        <v>0.85</v>
      </c>
      <c r="C19" s="307">
        <v>0.93</v>
      </c>
      <c r="D19" s="307">
        <v>1.3</v>
      </c>
      <c r="E19" s="307">
        <v>1.36</v>
      </c>
      <c r="F19" s="307">
        <v>1.42</v>
      </c>
      <c r="G19" s="307">
        <v>1.38</v>
      </c>
      <c r="H19" s="307">
        <v>1.54</v>
      </c>
      <c r="I19" s="307">
        <v>1.55</v>
      </c>
      <c r="J19" s="307">
        <v>1.48</v>
      </c>
      <c r="K19" s="307">
        <v>1.46</v>
      </c>
    </row>
    <row r="20" spans="1:11" x14ac:dyDescent="0.25">
      <c r="A20" s="102" t="s">
        <v>141</v>
      </c>
      <c r="B20" s="136">
        <v>2.71</v>
      </c>
      <c r="C20" s="136">
        <v>2.7</v>
      </c>
      <c r="D20" s="136">
        <v>2.74</v>
      </c>
      <c r="E20" s="136">
        <v>2.73</v>
      </c>
      <c r="F20" s="136">
        <v>2.8</v>
      </c>
      <c r="G20" s="136">
        <v>2.85</v>
      </c>
      <c r="H20" s="136">
        <v>2.97</v>
      </c>
      <c r="I20" s="136">
        <v>2.98</v>
      </c>
      <c r="J20" s="136">
        <v>2.94</v>
      </c>
      <c r="K20" s="136">
        <v>2.95</v>
      </c>
    </row>
    <row r="21" spans="1:11" x14ac:dyDescent="0.25">
      <c r="A21" s="101" t="s">
        <v>156</v>
      </c>
      <c r="B21" s="301">
        <v>2.58</v>
      </c>
      <c r="C21" s="301">
        <v>2.75</v>
      </c>
      <c r="D21" s="301">
        <v>3.28</v>
      </c>
      <c r="E21" s="301">
        <v>3.27</v>
      </c>
      <c r="F21" s="301">
        <v>3.32</v>
      </c>
      <c r="G21" s="301">
        <v>3.37</v>
      </c>
      <c r="H21" s="301">
        <v>3.28</v>
      </c>
      <c r="I21" s="301">
        <v>3.29</v>
      </c>
      <c r="J21" s="301">
        <v>2.87</v>
      </c>
      <c r="K21" s="301">
        <v>3.21</v>
      </c>
    </row>
    <row r="22" spans="1:11" x14ac:dyDescent="0.25">
      <c r="A22" s="100" t="s">
        <v>158</v>
      </c>
      <c r="B22" s="309">
        <v>2.5299999999999998</v>
      </c>
      <c r="C22" s="309">
        <v>2.8</v>
      </c>
      <c r="D22" s="309">
        <v>3.12</v>
      </c>
      <c r="E22" s="309">
        <v>3.26</v>
      </c>
      <c r="F22" s="309">
        <v>3.34</v>
      </c>
      <c r="G22" s="309">
        <v>3.68</v>
      </c>
      <c r="H22" s="309">
        <v>3.81</v>
      </c>
      <c r="I22" s="309">
        <v>3.69</v>
      </c>
      <c r="J22" s="309">
        <v>3.62</v>
      </c>
      <c r="K22" s="309">
        <v>3.59</v>
      </c>
    </row>
    <row r="23" spans="1:11" x14ac:dyDescent="0.25">
      <c r="A23" s="101" t="s">
        <v>160</v>
      </c>
      <c r="B23" s="166">
        <v>1.03</v>
      </c>
      <c r="C23" s="166">
        <v>1.22</v>
      </c>
      <c r="D23" s="166">
        <v>1.51</v>
      </c>
      <c r="E23" s="166">
        <v>1.55</v>
      </c>
      <c r="F23" s="166">
        <v>1.58</v>
      </c>
      <c r="G23" s="166">
        <v>1.58</v>
      </c>
      <c r="H23" s="166">
        <v>1.55</v>
      </c>
      <c r="I23" s="165">
        <v>-0.01</v>
      </c>
      <c r="J23" s="166">
        <v>1.47</v>
      </c>
      <c r="K23" s="166">
        <v>1.48</v>
      </c>
    </row>
    <row r="24" spans="1:11" x14ac:dyDescent="0.25">
      <c r="A24" s="100" t="s">
        <v>162</v>
      </c>
      <c r="B24" s="305">
        <v>2.95</v>
      </c>
      <c r="C24" s="305">
        <v>3.13</v>
      </c>
      <c r="D24" s="305">
        <v>3.65</v>
      </c>
      <c r="E24" s="305">
        <v>3.64</v>
      </c>
      <c r="F24" s="305">
        <v>3.78</v>
      </c>
      <c r="G24" s="305">
        <v>3.91</v>
      </c>
      <c r="H24" s="305">
        <v>4.04</v>
      </c>
      <c r="I24" s="305">
        <v>3.92</v>
      </c>
      <c r="J24" s="305">
        <v>3.88</v>
      </c>
      <c r="K24" s="305">
        <v>3.83</v>
      </c>
    </row>
    <row r="25" spans="1:11" x14ac:dyDescent="0.25">
      <c r="A25" s="101" t="s">
        <v>164</v>
      </c>
      <c r="B25" s="298">
        <v>2.83</v>
      </c>
      <c r="C25" s="298">
        <v>2.88</v>
      </c>
      <c r="D25" s="298">
        <v>3.1</v>
      </c>
      <c r="E25" s="298">
        <v>3.04</v>
      </c>
      <c r="F25" s="298">
        <v>3.12</v>
      </c>
      <c r="G25" s="298">
        <v>3.2</v>
      </c>
      <c r="H25" s="299"/>
      <c r="I25" s="298">
        <v>0.01</v>
      </c>
      <c r="J25" s="298">
        <v>3.19</v>
      </c>
      <c r="K25" s="298">
        <v>3.18</v>
      </c>
    </row>
    <row r="26" spans="1:11" x14ac:dyDescent="0.25">
      <c r="A26" s="100" t="s">
        <v>166</v>
      </c>
      <c r="B26" s="294">
        <v>2.65</v>
      </c>
      <c r="C26" s="294">
        <v>2.23</v>
      </c>
      <c r="D26" s="294">
        <v>2.4500000000000002</v>
      </c>
      <c r="E26" s="294">
        <v>2.64</v>
      </c>
      <c r="F26" s="294">
        <v>2.7</v>
      </c>
      <c r="G26" s="294">
        <v>2.4300000000000002</v>
      </c>
      <c r="H26" s="294">
        <v>2.46</v>
      </c>
      <c r="I26" s="294">
        <v>2.66</v>
      </c>
      <c r="J26" s="294">
        <v>2.5</v>
      </c>
      <c r="K26" s="294">
        <v>2.5299999999999998</v>
      </c>
    </row>
    <row r="27" spans="1:11" x14ac:dyDescent="0.25">
      <c r="A27" s="101" t="s">
        <v>168</v>
      </c>
      <c r="B27" s="303">
        <v>2.96</v>
      </c>
      <c r="C27" s="303">
        <v>2.94</v>
      </c>
      <c r="D27" s="303">
        <v>3.14</v>
      </c>
      <c r="E27" s="303">
        <v>3.12</v>
      </c>
      <c r="F27" s="303">
        <v>3.2</v>
      </c>
      <c r="G27" s="303">
        <v>3.31</v>
      </c>
      <c r="H27" s="303">
        <v>3.39</v>
      </c>
      <c r="I27" s="303">
        <v>3.41</v>
      </c>
      <c r="J27" s="303">
        <v>3.32</v>
      </c>
      <c r="K27" s="303">
        <v>3.29</v>
      </c>
    </row>
    <row r="28" spans="1:11" x14ac:dyDescent="0.25">
      <c r="A28" s="100" t="s">
        <v>170</v>
      </c>
      <c r="B28" s="296">
        <v>2.97</v>
      </c>
      <c r="C28" s="296">
        <v>2.94</v>
      </c>
      <c r="D28" s="296">
        <v>3.33</v>
      </c>
      <c r="E28" s="296">
        <v>3.36</v>
      </c>
      <c r="F28" s="296">
        <v>3.43</v>
      </c>
      <c r="G28" s="296">
        <v>3.61</v>
      </c>
      <c r="H28" s="296">
        <v>3.52</v>
      </c>
      <c r="I28" s="296">
        <v>0.02</v>
      </c>
      <c r="J28" s="296">
        <v>3.52</v>
      </c>
      <c r="K28" s="296">
        <v>3.65</v>
      </c>
    </row>
    <row r="29" spans="1:11" x14ac:dyDescent="0.25">
      <c r="A29" s="115"/>
    </row>
    <row r="30" spans="1:11" x14ac:dyDescent="0.25">
      <c r="A30" s="100" t="s">
        <v>22</v>
      </c>
      <c r="B30" s="293">
        <f>AVERAGE(B18:B28)</f>
        <v>2.4690909090909088</v>
      </c>
      <c r="C30" s="293">
        <f t="shared" ref="C30:K30" si="2">AVERAGE(C18:C28)</f>
        <v>2.5136363636363637</v>
      </c>
      <c r="D30" s="293">
        <f t="shared" si="2"/>
        <v>2.8363636363636364</v>
      </c>
      <c r="E30" s="293">
        <f t="shared" si="2"/>
        <v>2.541818181818182</v>
      </c>
      <c r="F30" s="293">
        <f t="shared" si="2"/>
        <v>2.9145454545454546</v>
      </c>
      <c r="G30" s="293">
        <f t="shared" si="2"/>
        <v>2.9763636363636365</v>
      </c>
      <c r="H30" s="293">
        <f t="shared" si="2"/>
        <v>3.0070000000000001</v>
      </c>
      <c r="I30" s="293">
        <f t="shared" si="2"/>
        <v>2.2736363636363635</v>
      </c>
      <c r="J30" s="293">
        <f t="shared" si="2"/>
        <v>2.9327272727272731</v>
      </c>
      <c r="K30" s="293">
        <f t="shared" si="2"/>
        <v>2.9654545454545453</v>
      </c>
    </row>
    <row r="31" spans="1:11" x14ac:dyDescent="0.25">
      <c r="A31" s="101" t="s">
        <v>175</v>
      </c>
    </row>
    <row r="33" spans="1:11" x14ac:dyDescent="0.25">
      <c r="A33" s="109" t="s">
        <v>477</v>
      </c>
      <c r="B33" s="313" t="s">
        <v>278</v>
      </c>
      <c r="C33" s="313" t="s">
        <v>277</v>
      </c>
      <c r="D33" s="313" t="s">
        <v>276</v>
      </c>
      <c r="E33" s="313" t="s">
        <v>275</v>
      </c>
      <c r="F33" s="313" t="s">
        <v>274</v>
      </c>
      <c r="G33" s="313" t="s">
        <v>273</v>
      </c>
      <c r="H33" s="313" t="s">
        <v>272</v>
      </c>
      <c r="I33" s="313" t="s">
        <v>271</v>
      </c>
      <c r="J33" s="313" t="s">
        <v>270</v>
      </c>
      <c r="K33" s="313" t="s">
        <v>269</v>
      </c>
    </row>
    <row r="34" spans="1:11" x14ac:dyDescent="0.25">
      <c r="A34" s="100" t="s">
        <v>151</v>
      </c>
      <c r="B34" s="314">
        <v>60.604303000000002</v>
      </c>
      <c r="C34" s="314">
        <v>59.054281000000003</v>
      </c>
      <c r="D34" s="314">
        <v>58.213586999999997</v>
      </c>
      <c r="E34" s="314">
        <v>59.217343</v>
      </c>
      <c r="F34" s="314">
        <v>56.916550999999998</v>
      </c>
      <c r="G34" s="314">
        <v>57.258620999999998</v>
      </c>
      <c r="H34" s="314">
        <v>58.200553999999997</v>
      </c>
      <c r="I34" s="314">
        <v>58.744705000000003</v>
      </c>
      <c r="J34" s="314">
        <v>60.428916999999998</v>
      </c>
      <c r="K34" s="314">
        <v>60.660766000000002</v>
      </c>
    </row>
    <row r="35" spans="1:11" x14ac:dyDescent="0.25">
      <c r="A35" s="101" t="s">
        <v>153</v>
      </c>
      <c r="B35" s="308">
        <v>72.447577999999993</v>
      </c>
      <c r="C35" s="308">
        <v>72.267994999999999</v>
      </c>
      <c r="D35" s="308">
        <v>73.487318999999999</v>
      </c>
      <c r="E35" s="308">
        <v>75.146593999999993</v>
      </c>
      <c r="F35" s="308">
        <v>75.910034999999993</v>
      </c>
      <c r="G35" s="308">
        <v>74.842200000000005</v>
      </c>
      <c r="H35" s="308">
        <v>75.240750000000006</v>
      </c>
      <c r="I35" s="308">
        <v>73.923464999999993</v>
      </c>
      <c r="J35" s="308">
        <v>72.647274999999993</v>
      </c>
      <c r="K35" s="308">
        <v>72.113381000000004</v>
      </c>
    </row>
    <row r="36" spans="1:11" x14ac:dyDescent="0.25">
      <c r="A36" s="102" t="s">
        <v>141</v>
      </c>
      <c r="B36" s="134">
        <v>62.900773999999998</v>
      </c>
      <c r="C36" s="134">
        <v>63.761752000000001</v>
      </c>
      <c r="D36" s="134">
        <v>64.560533000000007</v>
      </c>
      <c r="E36" s="134">
        <v>64.582160999999999</v>
      </c>
      <c r="F36" s="134">
        <v>64.303920000000005</v>
      </c>
      <c r="G36" s="134">
        <v>64.141022000000007</v>
      </c>
      <c r="H36" s="134">
        <v>63.792251</v>
      </c>
      <c r="I36" s="134">
        <v>63.312660999999999</v>
      </c>
      <c r="J36" s="134">
        <v>63.664439999999999</v>
      </c>
      <c r="K36" s="134">
        <v>63.498842000000003</v>
      </c>
    </row>
    <row r="37" spans="1:11" x14ac:dyDescent="0.25">
      <c r="A37" s="101" t="s">
        <v>156</v>
      </c>
      <c r="B37" s="302">
        <v>60.218297</v>
      </c>
      <c r="C37" s="302">
        <v>55.465924999999999</v>
      </c>
      <c r="D37" s="302">
        <v>56.658104999999999</v>
      </c>
      <c r="E37" s="302">
        <v>54.335769999999997</v>
      </c>
      <c r="F37" s="302">
        <v>53.093645000000002</v>
      </c>
      <c r="G37" s="302">
        <v>54.721029999999999</v>
      </c>
      <c r="H37" s="302">
        <v>52.792458000000003</v>
      </c>
      <c r="I37" s="302">
        <v>54.374907999999998</v>
      </c>
      <c r="J37" s="302">
        <v>58.070720999999999</v>
      </c>
      <c r="K37" s="302">
        <v>50.621761999999997</v>
      </c>
    </row>
    <row r="38" spans="1:11" x14ac:dyDescent="0.25">
      <c r="A38" s="100" t="s">
        <v>158</v>
      </c>
      <c r="B38" s="310">
        <v>50.440339999999999</v>
      </c>
      <c r="C38" s="310">
        <v>51.908225999999999</v>
      </c>
      <c r="D38" s="310">
        <v>49.435710999999998</v>
      </c>
      <c r="E38" s="310">
        <v>47.659204000000003</v>
      </c>
      <c r="F38" s="310">
        <v>45.273099000000002</v>
      </c>
      <c r="G38" s="310">
        <v>44.008802000000003</v>
      </c>
      <c r="H38" s="310">
        <v>44.359364999999997</v>
      </c>
      <c r="I38" s="310">
        <v>44.021161999999997</v>
      </c>
      <c r="J38" s="310">
        <v>45.471690000000002</v>
      </c>
      <c r="K38" s="310">
        <v>46.601863000000002</v>
      </c>
    </row>
    <row r="39" spans="1:11" x14ac:dyDescent="0.25">
      <c r="A39" s="101" t="s">
        <v>160</v>
      </c>
      <c r="B39" s="167">
        <v>69.705224999999999</v>
      </c>
      <c r="C39" s="167">
        <v>68.208027000000001</v>
      </c>
      <c r="D39" s="167">
        <v>67.690443000000002</v>
      </c>
      <c r="E39" s="167">
        <v>68.370591000000005</v>
      </c>
      <c r="F39" s="167">
        <v>68.008589999999998</v>
      </c>
      <c r="G39" s="167">
        <v>68.166794999999993</v>
      </c>
      <c r="H39" s="167">
        <v>68.064102000000005</v>
      </c>
      <c r="I39" s="167">
        <v>67.517253999999994</v>
      </c>
      <c r="J39" s="167">
        <v>68.081034000000002</v>
      </c>
      <c r="K39" s="167">
        <v>68.447576999999995</v>
      </c>
    </row>
    <row r="40" spans="1:11" x14ac:dyDescent="0.25">
      <c r="A40" s="100" t="s">
        <v>162</v>
      </c>
      <c r="B40" s="306">
        <v>55.242050999999996</v>
      </c>
      <c r="C40" s="306">
        <v>55.468960000000003</v>
      </c>
      <c r="D40" s="306">
        <v>57.203591000000003</v>
      </c>
      <c r="E40" s="306">
        <v>57.019278</v>
      </c>
      <c r="F40" s="306">
        <v>54.738408</v>
      </c>
      <c r="G40" s="306">
        <v>53.787382000000001</v>
      </c>
      <c r="H40" s="306">
        <v>51.455725000000001</v>
      </c>
      <c r="I40" s="306">
        <v>53.365194000000002</v>
      </c>
      <c r="J40" s="306">
        <v>56.989669999999997</v>
      </c>
      <c r="K40" s="306">
        <v>58.220996999999997</v>
      </c>
    </row>
    <row r="41" spans="1:11" x14ac:dyDescent="0.25">
      <c r="A41" s="101" t="s">
        <v>164</v>
      </c>
      <c r="B41" s="300">
        <v>55.439036000000002</v>
      </c>
      <c r="C41" s="300">
        <v>55.245333000000002</v>
      </c>
      <c r="D41" s="300">
        <v>56.518124</v>
      </c>
      <c r="E41" s="300">
        <v>57.528089999999999</v>
      </c>
      <c r="F41" s="300">
        <v>55.954568000000002</v>
      </c>
      <c r="G41" s="300">
        <v>56.566324999999999</v>
      </c>
      <c r="H41" s="300">
        <v>56.825397000000002</v>
      </c>
      <c r="I41" s="300">
        <v>57.620252999999998</v>
      </c>
      <c r="J41" s="300">
        <v>58.385620000000003</v>
      </c>
      <c r="K41" s="300">
        <v>59.006531000000003</v>
      </c>
    </row>
    <row r="42" spans="1:11" x14ac:dyDescent="0.25">
      <c r="A42" s="100" t="s">
        <v>166</v>
      </c>
      <c r="B42" s="295">
        <v>64.324933000000001</v>
      </c>
      <c r="C42" s="295">
        <v>63.785080000000001</v>
      </c>
      <c r="D42" s="295">
        <v>63.876033999999997</v>
      </c>
      <c r="E42" s="295">
        <v>61.305298000000001</v>
      </c>
      <c r="F42" s="295">
        <v>62.067022999999999</v>
      </c>
      <c r="G42" s="295">
        <v>62.523138000000003</v>
      </c>
      <c r="H42" s="295">
        <v>62.751871000000001</v>
      </c>
      <c r="I42" s="295">
        <v>64.490398999999996</v>
      </c>
      <c r="J42" s="295">
        <v>63.786068</v>
      </c>
      <c r="K42" s="295">
        <v>63.872664</v>
      </c>
    </row>
    <row r="43" spans="1:11" x14ac:dyDescent="0.25">
      <c r="A43" s="101" t="s">
        <v>168</v>
      </c>
      <c r="B43" s="304">
        <v>55.493274</v>
      </c>
      <c r="C43" s="304">
        <v>55.295985000000002</v>
      </c>
      <c r="D43" s="304">
        <v>55.914951000000002</v>
      </c>
      <c r="E43" s="304">
        <v>57.211961000000002</v>
      </c>
      <c r="F43" s="304">
        <v>57.389972</v>
      </c>
      <c r="G43" s="304">
        <v>58.149684000000001</v>
      </c>
      <c r="H43" s="304">
        <v>58.020327000000002</v>
      </c>
      <c r="I43" s="304">
        <v>58.368715000000002</v>
      </c>
      <c r="J43" s="304">
        <v>56.713963999999997</v>
      </c>
      <c r="K43" s="304">
        <v>58.165754</v>
      </c>
    </row>
    <row r="44" spans="1:11" x14ac:dyDescent="0.25">
      <c r="A44" s="100" t="s">
        <v>170</v>
      </c>
      <c r="B44" s="297">
        <v>58.363771999999997</v>
      </c>
      <c r="C44" s="297">
        <v>59.244118999999998</v>
      </c>
      <c r="D44" s="297">
        <v>58.282257999999999</v>
      </c>
      <c r="E44" s="297">
        <v>57.201718</v>
      </c>
      <c r="F44" s="297">
        <v>56.553829999999998</v>
      </c>
      <c r="G44" s="297">
        <v>56.297601999999998</v>
      </c>
      <c r="H44" s="297">
        <v>55.667895000000001</v>
      </c>
      <c r="I44" s="297">
        <v>54.999006999999999</v>
      </c>
      <c r="J44" s="297">
        <v>56.759076999999998</v>
      </c>
      <c r="K44" s="297">
        <v>58.536458000000003</v>
      </c>
    </row>
    <row r="45" spans="1:11" x14ac:dyDescent="0.25">
      <c r="A45" s="115"/>
    </row>
    <row r="46" spans="1:11" x14ac:dyDescent="0.25">
      <c r="A46" s="100" t="s">
        <v>22</v>
      </c>
      <c r="B46" s="293">
        <f>AVERAGE(B34:B44)</f>
        <v>60.47087118181819</v>
      </c>
      <c r="C46" s="293">
        <f t="shared" ref="C46:K46" si="3">AVERAGE(C34:C44)</f>
        <v>59.973243909090904</v>
      </c>
      <c r="D46" s="293">
        <f t="shared" si="3"/>
        <v>60.167332363636362</v>
      </c>
      <c r="E46" s="293">
        <f t="shared" si="3"/>
        <v>59.9616370909091</v>
      </c>
      <c r="F46" s="293">
        <f t="shared" si="3"/>
        <v>59.109967363636365</v>
      </c>
      <c r="G46" s="293">
        <f t="shared" si="3"/>
        <v>59.132963727272724</v>
      </c>
      <c r="H46" s="293">
        <f t="shared" si="3"/>
        <v>58.83369954545455</v>
      </c>
      <c r="I46" s="293">
        <f t="shared" si="3"/>
        <v>59.157974818181806</v>
      </c>
      <c r="J46" s="293">
        <f t="shared" si="3"/>
        <v>60.090770545454554</v>
      </c>
      <c r="K46" s="293">
        <f t="shared" si="3"/>
        <v>59.976963181818178</v>
      </c>
    </row>
    <row r="47" spans="1:11" x14ac:dyDescent="0.25">
      <c r="A47" s="101" t="s">
        <v>175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C481F-2A9D-4984-B1E7-E35B845456C4}">
  <sheetPr>
    <outlinePr summaryBelow="0" summaryRight="0"/>
  </sheetPr>
  <dimension ref="A1:I46"/>
  <sheetViews>
    <sheetView topLeftCell="A16" workbookViewId="0">
      <selection activeCell="A46" sqref="A46"/>
    </sheetView>
  </sheetViews>
  <sheetFormatPr defaultColWidth="8" defaultRowHeight="15" customHeight="1" outlineLevelRow="2" x14ac:dyDescent="0.2"/>
  <cols>
    <col min="1" max="1" width="96.25" style="130" customWidth="1"/>
    <col min="2" max="2" width="19.25" style="130" customWidth="1"/>
    <col min="3" max="3" width="18.75" style="130" customWidth="1"/>
    <col min="4" max="4" width="12.25" style="130" customWidth="1"/>
    <col min="5" max="5" width="38.125" style="130" customWidth="1"/>
    <col min="6" max="6" width="20.25" style="130" customWidth="1"/>
    <col min="7" max="7" width="14.625" style="130" customWidth="1"/>
    <col min="8" max="8" width="13.5" style="130" customWidth="1"/>
    <col min="9" max="9" width="11.625" style="130" customWidth="1"/>
    <col min="10" max="16384" width="8" style="130"/>
  </cols>
  <sheetData>
    <row r="1" spans="1:9" ht="15" customHeight="1" x14ac:dyDescent="0.2">
      <c r="A1" s="142" t="s">
        <v>77</v>
      </c>
    </row>
    <row r="2" spans="1:9" ht="15" customHeight="1" x14ac:dyDescent="0.2">
      <c r="A2" s="141" t="s">
        <v>281</v>
      </c>
    </row>
    <row r="3" spans="1:9" ht="15" customHeight="1" x14ac:dyDescent="0.2">
      <c r="A3" s="140"/>
      <c r="B3" s="140"/>
      <c r="C3" s="140"/>
      <c r="D3" s="140"/>
      <c r="E3" s="140"/>
      <c r="F3" s="140"/>
      <c r="G3" s="140"/>
      <c r="H3" s="140"/>
      <c r="I3" s="140"/>
    </row>
    <row r="4" spans="1:9" ht="15" customHeight="1" x14ac:dyDescent="0.2">
      <c r="A4" s="142" t="s">
        <v>397</v>
      </c>
    </row>
    <row r="6" spans="1:9" ht="15" customHeight="1" x14ac:dyDescent="0.2">
      <c r="A6" s="139" t="s">
        <v>353</v>
      </c>
      <c r="B6" s="139" t="s">
        <v>352</v>
      </c>
      <c r="C6" s="139" t="s">
        <v>351</v>
      </c>
      <c r="D6" s="139" t="s">
        <v>350</v>
      </c>
      <c r="E6" s="139" t="s">
        <v>396</v>
      </c>
      <c r="F6" s="139" t="s">
        <v>395</v>
      </c>
      <c r="G6" s="139" t="s">
        <v>394</v>
      </c>
      <c r="H6" s="139" t="s">
        <v>355</v>
      </c>
      <c r="I6" s="139" t="s">
        <v>393</v>
      </c>
    </row>
    <row r="7" spans="1:9" ht="15" customHeight="1" x14ac:dyDescent="0.2">
      <c r="A7" s="133" t="s">
        <v>177</v>
      </c>
      <c r="B7" s="132">
        <v>10</v>
      </c>
      <c r="C7" s="137">
        <v>239.7893</v>
      </c>
      <c r="D7" s="137">
        <v>100</v>
      </c>
      <c r="E7" s="133"/>
      <c r="F7" s="137">
        <v>5246.6287549999997</v>
      </c>
      <c r="G7" s="133"/>
      <c r="H7" s="133"/>
      <c r="I7" s="133" t="s">
        <v>176</v>
      </c>
    </row>
    <row r="8" spans="1:9" ht="15" customHeight="1" x14ac:dyDescent="0.2">
      <c r="A8" s="160" t="s">
        <v>343</v>
      </c>
      <c r="B8" s="152">
        <v>1</v>
      </c>
      <c r="C8" s="188">
        <v>0</v>
      </c>
      <c r="D8" s="188">
        <v>0</v>
      </c>
      <c r="E8" s="160"/>
      <c r="F8" s="188">
        <v>485</v>
      </c>
      <c r="G8" s="160"/>
      <c r="H8" s="160"/>
      <c r="I8" s="160" t="s">
        <v>176</v>
      </c>
    </row>
    <row r="9" spans="1:9" ht="15" customHeight="1" outlineLevel="1" x14ac:dyDescent="0.2">
      <c r="A9" s="146" t="s">
        <v>392</v>
      </c>
      <c r="B9" s="156">
        <v>1</v>
      </c>
      <c r="C9" s="149" t="s">
        <v>176</v>
      </c>
      <c r="D9" s="149" t="s">
        <v>176</v>
      </c>
      <c r="E9" s="149"/>
      <c r="F9" s="189">
        <v>485</v>
      </c>
      <c r="G9" s="149" t="s">
        <v>358</v>
      </c>
      <c r="H9" s="149"/>
      <c r="I9" s="149" t="s">
        <v>176</v>
      </c>
    </row>
    <row r="10" spans="1:9" ht="15" customHeight="1" outlineLevel="2" x14ac:dyDescent="0.2">
      <c r="A10" s="144" t="s">
        <v>391</v>
      </c>
      <c r="B10" s="135" t="s">
        <v>176</v>
      </c>
      <c r="C10" s="135" t="s">
        <v>176</v>
      </c>
      <c r="D10" s="135" t="s">
        <v>176</v>
      </c>
      <c r="E10" s="135" t="s">
        <v>356</v>
      </c>
      <c r="F10" s="138">
        <v>485</v>
      </c>
      <c r="G10" s="135" t="s">
        <v>176</v>
      </c>
      <c r="H10" s="135" t="s">
        <v>355</v>
      </c>
      <c r="I10" s="135" t="s">
        <v>390</v>
      </c>
    </row>
    <row r="11" spans="1:9" ht="15" customHeight="1" x14ac:dyDescent="0.2">
      <c r="A11" s="149" t="s">
        <v>347</v>
      </c>
      <c r="B11" s="156">
        <v>1</v>
      </c>
      <c r="C11" s="189">
        <v>1.3257000000000001</v>
      </c>
      <c r="D11" s="189">
        <v>0.55286036532906202</v>
      </c>
      <c r="E11" s="149"/>
      <c r="F11" s="189">
        <v>1.3257000000000001</v>
      </c>
      <c r="G11" s="149"/>
      <c r="H11" s="149"/>
      <c r="I11" s="149" t="s">
        <v>176</v>
      </c>
    </row>
    <row r="12" spans="1:9" ht="15" customHeight="1" outlineLevel="1" x14ac:dyDescent="0.2">
      <c r="A12" s="153" t="s">
        <v>389</v>
      </c>
      <c r="B12" s="152">
        <v>1</v>
      </c>
      <c r="C12" s="188">
        <v>1.3257000000000001</v>
      </c>
      <c r="D12" s="188">
        <v>0.55286036532906202</v>
      </c>
      <c r="E12" s="160"/>
      <c r="F12" s="188">
        <v>1.3257000000000001</v>
      </c>
      <c r="G12" s="160" t="s">
        <v>358</v>
      </c>
      <c r="H12" s="160"/>
      <c r="I12" s="160" t="s">
        <v>176</v>
      </c>
    </row>
    <row r="13" spans="1:9" ht="15" customHeight="1" outlineLevel="2" x14ac:dyDescent="0.2">
      <c r="A13" s="143" t="s">
        <v>388</v>
      </c>
      <c r="B13" s="133" t="s">
        <v>176</v>
      </c>
      <c r="C13" s="137">
        <v>1.3257000000000001</v>
      </c>
      <c r="D13" s="137">
        <v>0.55286036532906202</v>
      </c>
      <c r="E13" s="133" t="s">
        <v>356</v>
      </c>
      <c r="F13" s="137">
        <v>1.3257000000000001</v>
      </c>
      <c r="G13" s="133" t="s">
        <v>176</v>
      </c>
      <c r="H13" s="133" t="s">
        <v>355</v>
      </c>
      <c r="I13" s="133" t="s">
        <v>387</v>
      </c>
    </row>
    <row r="14" spans="1:9" ht="15" customHeight="1" x14ac:dyDescent="0.2">
      <c r="A14" s="160" t="s">
        <v>348</v>
      </c>
      <c r="B14" s="152">
        <v>1</v>
      </c>
      <c r="C14" s="188">
        <v>62.5</v>
      </c>
      <c r="D14" s="188">
        <v>26.0645491687911</v>
      </c>
      <c r="E14" s="160"/>
      <c r="F14" s="188">
        <v>4525</v>
      </c>
      <c r="G14" s="160"/>
      <c r="H14" s="160"/>
      <c r="I14" s="160" t="s">
        <v>176</v>
      </c>
    </row>
    <row r="15" spans="1:9" ht="15" customHeight="1" outlineLevel="1" x14ac:dyDescent="0.2">
      <c r="A15" s="146" t="s">
        <v>386</v>
      </c>
      <c r="B15" s="156">
        <v>1</v>
      </c>
      <c r="C15" s="189">
        <v>62.5</v>
      </c>
      <c r="D15" s="189">
        <v>26.0645491687911</v>
      </c>
      <c r="E15" s="149"/>
      <c r="F15" s="189">
        <v>4525</v>
      </c>
      <c r="G15" s="149" t="s">
        <v>358</v>
      </c>
      <c r="H15" s="149"/>
      <c r="I15" s="149" t="s">
        <v>176</v>
      </c>
    </row>
    <row r="16" spans="1:9" ht="15" customHeight="1" outlineLevel="2" x14ac:dyDescent="0.2">
      <c r="A16" s="144" t="s">
        <v>385</v>
      </c>
      <c r="B16" s="135" t="s">
        <v>176</v>
      </c>
      <c r="C16" s="138">
        <v>42.5</v>
      </c>
      <c r="D16" s="138">
        <v>17.723893434777899</v>
      </c>
      <c r="E16" s="135" t="s">
        <v>384</v>
      </c>
      <c r="F16" s="138">
        <v>1500</v>
      </c>
      <c r="G16" s="135" t="s">
        <v>176</v>
      </c>
      <c r="H16" s="135" t="s">
        <v>355</v>
      </c>
      <c r="I16" s="135" t="s">
        <v>382</v>
      </c>
    </row>
    <row r="17" spans="1:9" ht="15" customHeight="1" outlineLevel="2" x14ac:dyDescent="0.2">
      <c r="A17" s="143" t="s">
        <v>383</v>
      </c>
      <c r="B17" s="133" t="s">
        <v>176</v>
      </c>
      <c r="C17" s="137">
        <v>20</v>
      </c>
      <c r="D17" s="137">
        <v>8.3406557340131506</v>
      </c>
      <c r="E17" s="133" t="s">
        <v>356</v>
      </c>
      <c r="F17" s="137">
        <v>750</v>
      </c>
      <c r="G17" s="133" t="s">
        <v>176</v>
      </c>
      <c r="H17" s="133" t="s">
        <v>355</v>
      </c>
      <c r="I17" s="133" t="s">
        <v>382</v>
      </c>
    </row>
    <row r="18" spans="1:9" ht="15" customHeight="1" outlineLevel="2" x14ac:dyDescent="0.2">
      <c r="A18" s="144" t="s">
        <v>381</v>
      </c>
      <c r="B18" s="135" t="s">
        <v>176</v>
      </c>
      <c r="C18" s="138">
        <v>20</v>
      </c>
      <c r="D18" s="138">
        <v>8.3406557340131506</v>
      </c>
      <c r="E18" s="135" t="s">
        <v>356</v>
      </c>
      <c r="F18" s="138">
        <v>1250</v>
      </c>
      <c r="G18" s="135" t="s">
        <v>176</v>
      </c>
      <c r="H18" s="135" t="s">
        <v>355</v>
      </c>
      <c r="I18" s="135" t="s">
        <v>380</v>
      </c>
    </row>
    <row r="19" spans="1:9" ht="15" customHeight="1" outlineLevel="2" x14ac:dyDescent="0.2">
      <c r="A19" s="143" t="s">
        <v>379</v>
      </c>
      <c r="B19" s="133" t="s">
        <v>176</v>
      </c>
      <c r="C19" s="137">
        <v>20</v>
      </c>
      <c r="D19" s="137">
        <v>8.3406557340131506</v>
      </c>
      <c r="E19" s="133" t="s">
        <v>356</v>
      </c>
      <c r="F19" s="137">
        <v>1025</v>
      </c>
      <c r="G19" s="133" t="s">
        <v>176</v>
      </c>
      <c r="H19" s="133" t="s">
        <v>355</v>
      </c>
      <c r="I19" s="133" t="s">
        <v>378</v>
      </c>
    </row>
    <row r="20" spans="1:9" ht="15" customHeight="1" x14ac:dyDescent="0.2">
      <c r="A20" s="160" t="s">
        <v>349</v>
      </c>
      <c r="B20" s="152">
        <v>3</v>
      </c>
      <c r="C20" s="188">
        <v>175</v>
      </c>
      <c r="D20" s="188">
        <v>72.980737672615106</v>
      </c>
      <c r="E20" s="160"/>
      <c r="F20" s="188">
        <v>184.33945499999999</v>
      </c>
      <c r="G20" s="160"/>
      <c r="H20" s="160"/>
      <c r="I20" s="160" t="s">
        <v>176</v>
      </c>
    </row>
    <row r="21" spans="1:9" ht="15" customHeight="1" outlineLevel="1" x14ac:dyDescent="0.2">
      <c r="A21" s="146" t="s">
        <v>377</v>
      </c>
      <c r="B21" s="156">
        <v>3</v>
      </c>
      <c r="C21" s="189">
        <v>175</v>
      </c>
      <c r="D21" s="189">
        <v>72.980737672615106</v>
      </c>
      <c r="E21" s="149"/>
      <c r="F21" s="189">
        <v>184.33945499999999</v>
      </c>
      <c r="G21" s="149" t="s">
        <v>176</v>
      </c>
      <c r="H21" s="149"/>
      <c r="I21" s="149" t="s">
        <v>176</v>
      </c>
    </row>
    <row r="22" spans="1:9" ht="15" customHeight="1" outlineLevel="2" x14ac:dyDescent="0.2">
      <c r="A22" s="144" t="s">
        <v>376</v>
      </c>
      <c r="B22" s="135" t="s">
        <v>176</v>
      </c>
      <c r="C22" s="138">
        <v>75</v>
      </c>
      <c r="D22" s="138">
        <v>31.2774590025493</v>
      </c>
      <c r="E22" s="135" t="s">
        <v>375</v>
      </c>
      <c r="F22" s="138">
        <v>75</v>
      </c>
      <c r="G22" s="135" t="s">
        <v>176</v>
      </c>
      <c r="H22" s="135" t="s">
        <v>355</v>
      </c>
      <c r="I22" s="135" t="s">
        <v>374</v>
      </c>
    </row>
    <row r="23" spans="1:9" ht="15" customHeight="1" outlineLevel="2" x14ac:dyDescent="0.2">
      <c r="A23" s="143" t="s">
        <v>373</v>
      </c>
      <c r="B23" s="133" t="s">
        <v>176</v>
      </c>
      <c r="C23" s="137">
        <v>25</v>
      </c>
      <c r="D23" s="137">
        <v>10.4258196675164</v>
      </c>
      <c r="E23" s="133" t="s">
        <v>372</v>
      </c>
      <c r="F23" s="137">
        <v>25</v>
      </c>
      <c r="G23" s="133" t="s">
        <v>176</v>
      </c>
      <c r="H23" s="133" t="s">
        <v>355</v>
      </c>
      <c r="I23" s="133" t="s">
        <v>371</v>
      </c>
    </row>
    <row r="24" spans="1:9" ht="15" customHeight="1" outlineLevel="2" x14ac:dyDescent="0.2">
      <c r="A24" s="144" t="s">
        <v>370</v>
      </c>
      <c r="B24" s="135" t="s">
        <v>176</v>
      </c>
      <c r="C24" s="138">
        <v>75</v>
      </c>
      <c r="D24" s="138">
        <v>31.2774590025493</v>
      </c>
      <c r="E24" s="135" t="s">
        <v>356</v>
      </c>
      <c r="F24" s="138">
        <v>84.339455000000001</v>
      </c>
      <c r="G24" s="135" t="s">
        <v>176</v>
      </c>
      <c r="H24" s="135" t="s">
        <v>355</v>
      </c>
      <c r="I24" s="135" t="s">
        <v>369</v>
      </c>
    </row>
    <row r="25" spans="1:9" ht="15" customHeight="1" x14ac:dyDescent="0.2">
      <c r="A25" s="149" t="s">
        <v>344</v>
      </c>
      <c r="B25" s="156">
        <v>1</v>
      </c>
      <c r="C25" s="189">
        <v>0</v>
      </c>
      <c r="D25" s="189">
        <v>0</v>
      </c>
      <c r="E25" s="149"/>
      <c r="F25" s="189">
        <v>50</v>
      </c>
      <c r="G25" s="149"/>
      <c r="H25" s="149"/>
      <c r="I25" s="149" t="s">
        <v>176</v>
      </c>
    </row>
    <row r="26" spans="1:9" ht="15" customHeight="1" outlineLevel="1" x14ac:dyDescent="0.2">
      <c r="A26" s="153" t="s">
        <v>368</v>
      </c>
      <c r="B26" s="152">
        <v>1</v>
      </c>
      <c r="C26" s="160" t="s">
        <v>176</v>
      </c>
      <c r="D26" s="160" t="s">
        <v>176</v>
      </c>
      <c r="E26" s="160"/>
      <c r="F26" s="188">
        <v>50</v>
      </c>
      <c r="G26" s="160" t="s">
        <v>358</v>
      </c>
      <c r="H26" s="160"/>
      <c r="I26" s="160" t="s">
        <v>176</v>
      </c>
    </row>
    <row r="27" spans="1:9" ht="15" customHeight="1" outlineLevel="2" x14ac:dyDescent="0.2">
      <c r="A27" s="143" t="s">
        <v>367</v>
      </c>
      <c r="B27" s="133" t="s">
        <v>176</v>
      </c>
      <c r="C27" s="133" t="s">
        <v>176</v>
      </c>
      <c r="D27" s="133" t="s">
        <v>176</v>
      </c>
      <c r="E27" s="133" t="s">
        <v>366</v>
      </c>
      <c r="F27" s="137">
        <v>50</v>
      </c>
      <c r="G27" s="133" t="s">
        <v>176</v>
      </c>
      <c r="H27" s="133" t="s">
        <v>355</v>
      </c>
      <c r="I27" s="133" t="s">
        <v>365</v>
      </c>
    </row>
    <row r="28" spans="1:9" ht="15" customHeight="1" x14ac:dyDescent="0.2">
      <c r="A28" s="160" t="s">
        <v>346</v>
      </c>
      <c r="B28" s="152">
        <v>2</v>
      </c>
      <c r="C28" s="188">
        <v>0.4849</v>
      </c>
      <c r="D28" s="188">
        <v>0.20221919827114901</v>
      </c>
      <c r="E28" s="160"/>
      <c r="F28" s="188">
        <v>0.4849</v>
      </c>
      <c r="G28" s="160"/>
      <c r="H28" s="160"/>
      <c r="I28" s="160" t="s">
        <v>176</v>
      </c>
    </row>
    <row r="29" spans="1:9" ht="15" customHeight="1" outlineLevel="1" x14ac:dyDescent="0.2">
      <c r="A29" s="146" t="s">
        <v>364</v>
      </c>
      <c r="B29" s="156">
        <v>1</v>
      </c>
      <c r="C29" s="189">
        <v>0.17630000000000001</v>
      </c>
      <c r="D29" s="189">
        <v>7.3522880295325901E-2</v>
      </c>
      <c r="E29" s="149"/>
      <c r="F29" s="189">
        <v>0.17630000000000001</v>
      </c>
      <c r="G29" s="149" t="s">
        <v>358</v>
      </c>
      <c r="H29" s="149"/>
      <c r="I29" s="149" t="s">
        <v>176</v>
      </c>
    </row>
    <row r="30" spans="1:9" ht="15" customHeight="1" outlineLevel="2" x14ac:dyDescent="0.2">
      <c r="A30" s="144" t="s">
        <v>363</v>
      </c>
      <c r="B30" s="135" t="s">
        <v>176</v>
      </c>
      <c r="C30" s="138">
        <v>0.17630000000000001</v>
      </c>
      <c r="D30" s="138">
        <v>7.3522880295325901E-2</v>
      </c>
      <c r="E30" s="135" t="s">
        <v>356</v>
      </c>
      <c r="F30" s="138">
        <v>0.17630000000000001</v>
      </c>
      <c r="G30" s="135" t="s">
        <v>176</v>
      </c>
      <c r="H30" s="135" t="s">
        <v>355</v>
      </c>
      <c r="I30" s="135" t="s">
        <v>362</v>
      </c>
    </row>
    <row r="31" spans="1:9" ht="15" customHeight="1" outlineLevel="1" x14ac:dyDescent="0.2">
      <c r="A31" s="146" t="s">
        <v>361</v>
      </c>
      <c r="B31" s="156">
        <v>1</v>
      </c>
      <c r="C31" s="189">
        <v>0.30859999999999999</v>
      </c>
      <c r="D31" s="189">
        <v>0.12869631797582301</v>
      </c>
      <c r="E31" s="149"/>
      <c r="F31" s="189">
        <v>0.30859999999999999</v>
      </c>
      <c r="G31" s="149" t="s">
        <v>358</v>
      </c>
      <c r="H31" s="149"/>
      <c r="I31" s="149" t="s">
        <v>176</v>
      </c>
    </row>
    <row r="32" spans="1:9" ht="15" customHeight="1" outlineLevel="2" x14ac:dyDescent="0.2">
      <c r="A32" s="144" t="s">
        <v>360</v>
      </c>
      <c r="B32" s="135" t="s">
        <v>176</v>
      </c>
      <c r="C32" s="138">
        <v>0.30859999999999999</v>
      </c>
      <c r="D32" s="138">
        <v>0.12869631797582301</v>
      </c>
      <c r="E32" s="135" t="s">
        <v>356</v>
      </c>
      <c r="F32" s="138">
        <v>0.30859999999999999</v>
      </c>
      <c r="G32" s="135" t="s">
        <v>176</v>
      </c>
      <c r="H32" s="135" t="s">
        <v>355</v>
      </c>
      <c r="I32" s="135" t="s">
        <v>354</v>
      </c>
    </row>
    <row r="33" spans="1:9" ht="15" customHeight="1" x14ac:dyDescent="0.2">
      <c r="A33" s="149" t="s">
        <v>345</v>
      </c>
      <c r="B33" s="156">
        <v>1</v>
      </c>
      <c r="C33" s="189">
        <v>0.47870000000000001</v>
      </c>
      <c r="D33" s="189">
        <v>0.199633594993605</v>
      </c>
      <c r="E33" s="149"/>
      <c r="F33" s="189">
        <v>0.47870000000000001</v>
      </c>
      <c r="G33" s="149"/>
      <c r="H33" s="149"/>
      <c r="I33" s="149" t="s">
        <v>176</v>
      </c>
    </row>
    <row r="34" spans="1:9" ht="15" customHeight="1" outlineLevel="1" x14ac:dyDescent="0.2">
      <c r="A34" s="153" t="s">
        <v>359</v>
      </c>
      <c r="B34" s="152">
        <v>1</v>
      </c>
      <c r="C34" s="188">
        <v>0.47870000000000001</v>
      </c>
      <c r="D34" s="188">
        <v>0.199633594993605</v>
      </c>
      <c r="E34" s="160"/>
      <c r="F34" s="188">
        <v>0.47870000000000001</v>
      </c>
      <c r="G34" s="160" t="s">
        <v>358</v>
      </c>
      <c r="H34" s="160"/>
      <c r="I34" s="160" t="s">
        <v>176</v>
      </c>
    </row>
    <row r="35" spans="1:9" ht="15" customHeight="1" outlineLevel="2" x14ac:dyDescent="0.2">
      <c r="A35" s="143" t="s">
        <v>357</v>
      </c>
      <c r="B35" s="133" t="s">
        <v>176</v>
      </c>
      <c r="C35" s="137">
        <v>0.47870000000000001</v>
      </c>
      <c r="D35" s="137">
        <v>0.199633594993605</v>
      </c>
      <c r="E35" s="133" t="s">
        <v>356</v>
      </c>
      <c r="F35" s="137">
        <v>0.47870000000000001</v>
      </c>
      <c r="G35" s="133" t="s">
        <v>176</v>
      </c>
      <c r="H35" s="133" t="s">
        <v>355</v>
      </c>
      <c r="I35" s="133" t="s">
        <v>354</v>
      </c>
    </row>
    <row r="38" spans="1:9" ht="15" customHeight="1" x14ac:dyDescent="0.2">
      <c r="A38" s="139" t="s">
        <v>353</v>
      </c>
      <c r="B38" s="139" t="s">
        <v>352</v>
      </c>
      <c r="C38" s="139" t="s">
        <v>351</v>
      </c>
      <c r="D38" s="139" t="s">
        <v>350</v>
      </c>
    </row>
    <row r="39" spans="1:9" ht="15" customHeight="1" x14ac:dyDescent="0.2">
      <c r="A39" s="133" t="s">
        <v>177</v>
      </c>
      <c r="B39" s="132">
        <v>10</v>
      </c>
      <c r="C39" s="137">
        <v>239.7893</v>
      </c>
      <c r="D39" s="137">
        <v>100</v>
      </c>
    </row>
    <row r="40" spans="1:9" ht="15" customHeight="1" x14ac:dyDescent="0.2">
      <c r="A40" s="160" t="s">
        <v>349</v>
      </c>
      <c r="B40" s="130">
        <v>3</v>
      </c>
      <c r="C40" s="188">
        <v>175</v>
      </c>
      <c r="D40" s="188">
        <v>72.980737672615106</v>
      </c>
    </row>
    <row r="41" spans="1:9" ht="15" customHeight="1" x14ac:dyDescent="0.2">
      <c r="A41" s="160" t="s">
        <v>348</v>
      </c>
      <c r="B41" s="130">
        <v>1</v>
      </c>
      <c r="C41" s="189">
        <v>62.5</v>
      </c>
      <c r="D41" s="189">
        <v>26.0645491687911</v>
      </c>
    </row>
    <row r="42" spans="1:9" ht="15" customHeight="1" x14ac:dyDescent="0.2">
      <c r="A42" s="149" t="s">
        <v>347</v>
      </c>
      <c r="B42" s="156">
        <v>1</v>
      </c>
      <c r="C42" s="189">
        <v>1.3257000000000001</v>
      </c>
      <c r="D42" s="189">
        <v>0.55286036532906202</v>
      </c>
    </row>
    <row r="43" spans="1:9" ht="15" customHeight="1" x14ac:dyDescent="0.2">
      <c r="A43" s="160" t="s">
        <v>346</v>
      </c>
      <c r="B43" s="152">
        <v>2</v>
      </c>
      <c r="C43" s="188">
        <v>0.4849</v>
      </c>
      <c r="D43" s="188">
        <v>0.20221919827114901</v>
      </c>
    </row>
    <row r="44" spans="1:9" ht="15" customHeight="1" x14ac:dyDescent="0.2">
      <c r="A44" s="149" t="s">
        <v>345</v>
      </c>
      <c r="B44" s="156">
        <v>1</v>
      </c>
      <c r="C44" s="189">
        <v>0.47870000000000001</v>
      </c>
      <c r="D44" s="189">
        <v>0.199633594993605</v>
      </c>
    </row>
    <row r="45" spans="1:9" ht="15" customHeight="1" x14ac:dyDescent="0.2">
      <c r="A45" s="149" t="s">
        <v>344</v>
      </c>
      <c r="B45" s="156">
        <v>1</v>
      </c>
      <c r="C45" s="189">
        <v>0</v>
      </c>
      <c r="D45" s="189">
        <v>0</v>
      </c>
    </row>
    <row r="46" spans="1:9" ht="15" customHeight="1" x14ac:dyDescent="0.2">
      <c r="A46" s="160" t="s">
        <v>343</v>
      </c>
      <c r="B46" s="152">
        <v>1</v>
      </c>
      <c r="C46" s="188">
        <v>0</v>
      </c>
      <c r="D46" s="188">
        <v>0</v>
      </c>
    </row>
  </sheetData>
  <pageMargins left="0.75" right="0.75" top="1" bottom="1" header="0.5" footer="0.5"/>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DB07-E420-480A-9805-D23324D86D75}">
  <dimension ref="A1:O46"/>
  <sheetViews>
    <sheetView zoomScale="70" zoomScaleNormal="70" workbookViewId="0">
      <selection activeCell="R15" sqref="R15"/>
    </sheetView>
  </sheetViews>
  <sheetFormatPr defaultRowHeight="15.75" x14ac:dyDescent="0.25"/>
  <cols>
    <col min="1" max="1" width="18.375" customWidth="1"/>
  </cols>
  <sheetData>
    <row r="1" spans="1:15" x14ac:dyDescent="0.25">
      <c r="A1" s="115" t="s">
        <v>149</v>
      </c>
      <c r="B1" s="115" t="s">
        <v>160</v>
      </c>
      <c r="C1" s="115" t="s">
        <v>153</v>
      </c>
      <c r="D1" s="115" t="s">
        <v>170</v>
      </c>
      <c r="E1" s="115" t="s">
        <v>156</v>
      </c>
      <c r="F1" s="115" t="s">
        <v>158</v>
      </c>
      <c r="G1" s="115" t="s">
        <v>151</v>
      </c>
      <c r="H1" s="115" t="s">
        <v>162</v>
      </c>
      <c r="I1" s="115" t="s">
        <v>168</v>
      </c>
      <c r="J1" s="115" t="s">
        <v>164</v>
      </c>
      <c r="K1" s="115" t="s">
        <v>141</v>
      </c>
      <c r="L1" s="115" t="s">
        <v>166</v>
      </c>
      <c r="M1" s="115"/>
      <c r="N1" s="115" t="s">
        <v>22</v>
      </c>
      <c r="O1" s="115" t="s">
        <v>175</v>
      </c>
    </row>
    <row r="2" spans="1:15" x14ac:dyDescent="0.25">
      <c r="A2" s="115" t="s">
        <v>150</v>
      </c>
      <c r="B2" s="115" t="s">
        <v>161</v>
      </c>
      <c r="C2" s="115" t="s">
        <v>154</v>
      </c>
      <c r="D2" s="115" t="s">
        <v>171</v>
      </c>
      <c r="E2" s="115" t="s">
        <v>157</v>
      </c>
      <c r="F2" s="115" t="s">
        <v>159</v>
      </c>
      <c r="G2" s="115" t="s">
        <v>152</v>
      </c>
      <c r="H2" s="115" t="s">
        <v>163</v>
      </c>
      <c r="I2" s="115" t="s">
        <v>169</v>
      </c>
      <c r="J2" s="115" t="s">
        <v>165</v>
      </c>
      <c r="K2" s="115" t="s">
        <v>155</v>
      </c>
      <c r="L2" s="115" t="s">
        <v>167</v>
      </c>
      <c r="M2" s="115"/>
      <c r="N2" s="115" t="s">
        <v>176</v>
      </c>
      <c r="O2" s="115" t="s">
        <v>176</v>
      </c>
    </row>
    <row r="3" spans="1:15" x14ac:dyDescent="0.25">
      <c r="A3" s="115" t="s">
        <v>206</v>
      </c>
      <c r="B3" s="115">
        <v>43830</v>
      </c>
      <c r="C3" s="115">
        <v>43830</v>
      </c>
      <c r="D3" s="115">
        <v>43830</v>
      </c>
      <c r="E3" s="115">
        <v>43830</v>
      </c>
      <c r="F3" s="115">
        <v>43830</v>
      </c>
      <c r="G3" s="115">
        <v>43830</v>
      </c>
      <c r="H3" s="115">
        <v>43830</v>
      </c>
      <c r="I3" s="115">
        <v>43830</v>
      </c>
      <c r="J3" s="115">
        <v>43830</v>
      </c>
      <c r="K3" s="115">
        <v>43830</v>
      </c>
      <c r="L3" s="115">
        <v>43830</v>
      </c>
      <c r="M3" s="115"/>
      <c r="N3" s="115" t="s">
        <v>176</v>
      </c>
      <c r="O3" s="115" t="s">
        <v>176</v>
      </c>
    </row>
    <row r="4" spans="1:15" x14ac:dyDescent="0.25">
      <c r="A4" s="115" t="s">
        <v>207</v>
      </c>
      <c r="B4" s="115">
        <v>19061.803</v>
      </c>
      <c r="C4" s="115">
        <v>25323.84</v>
      </c>
      <c r="D4" s="115">
        <v>7774.4916999999996</v>
      </c>
      <c r="E4" s="115">
        <v>19648.543000000001</v>
      </c>
      <c r="F4" s="115">
        <v>19475.116999999998</v>
      </c>
      <c r="G4" s="115">
        <v>63348.160000000003</v>
      </c>
      <c r="H4" s="115">
        <v>16033.743</v>
      </c>
      <c r="I4" s="115">
        <v>12624.664000000001</v>
      </c>
      <c r="J4" s="115">
        <v>14998.804</v>
      </c>
      <c r="K4" s="115">
        <v>24187.741999999998</v>
      </c>
      <c r="L4" s="115">
        <v>12913.020500000001</v>
      </c>
      <c r="M4" s="115"/>
      <c r="N4" s="115">
        <v>21399.0843818182</v>
      </c>
      <c r="O4" s="115">
        <v>19061.803</v>
      </c>
    </row>
    <row r="5" spans="1:15" x14ac:dyDescent="0.25">
      <c r="A5" s="115" t="s">
        <v>208</v>
      </c>
      <c r="B5" s="115">
        <v>6923.6</v>
      </c>
      <c r="C5" s="115">
        <v>12504</v>
      </c>
      <c r="D5" s="115">
        <v>1437.289</v>
      </c>
      <c r="E5" s="115">
        <v>9389</v>
      </c>
      <c r="F5" s="115">
        <v>3511.172</v>
      </c>
      <c r="G5" s="115">
        <v>14550</v>
      </c>
      <c r="H5" s="115">
        <v>6821.2380000000003</v>
      </c>
      <c r="I5" s="115">
        <v>5484</v>
      </c>
      <c r="J5" s="115">
        <v>7805</v>
      </c>
      <c r="K5" s="115">
        <v>4155.8320000000003</v>
      </c>
      <c r="L5" s="115">
        <v>11567</v>
      </c>
      <c r="M5" s="115"/>
      <c r="N5" s="115">
        <v>7649.8300909090904</v>
      </c>
      <c r="O5" s="115">
        <v>6923.6</v>
      </c>
    </row>
    <row r="6" spans="1:15" x14ac:dyDescent="0.25">
      <c r="A6" s="115" t="s">
        <v>209</v>
      </c>
      <c r="B6" s="115" t="s">
        <v>176</v>
      </c>
      <c r="C6" s="115" t="s">
        <v>176</v>
      </c>
      <c r="D6" s="115" t="s">
        <v>176</v>
      </c>
      <c r="E6" s="115" t="s">
        <v>176</v>
      </c>
      <c r="F6" s="115" t="s">
        <v>176</v>
      </c>
      <c r="G6" s="115" t="s">
        <v>176</v>
      </c>
      <c r="H6" s="115" t="s">
        <v>176</v>
      </c>
      <c r="I6" s="115" t="s">
        <v>176</v>
      </c>
      <c r="J6" s="115" t="s">
        <v>176</v>
      </c>
      <c r="K6" s="115" t="s">
        <v>176</v>
      </c>
      <c r="L6" s="115" t="s">
        <v>176</v>
      </c>
      <c r="M6" s="115"/>
      <c r="N6" s="115" t="s">
        <v>176</v>
      </c>
      <c r="O6" s="115" t="s">
        <v>176</v>
      </c>
    </row>
    <row r="7" spans="1:15" x14ac:dyDescent="0.25">
      <c r="A7" s="115" t="s">
        <v>210</v>
      </c>
      <c r="B7" s="115" t="s">
        <v>232</v>
      </c>
      <c r="C7" s="115" t="s">
        <v>228</v>
      </c>
      <c r="D7" s="115" t="s">
        <v>237</v>
      </c>
      <c r="E7" s="115" t="s">
        <v>230</v>
      </c>
      <c r="F7" s="115" t="s">
        <v>231</v>
      </c>
      <c r="G7" s="115" t="s">
        <v>224</v>
      </c>
      <c r="H7" s="115" t="s">
        <v>233</v>
      </c>
      <c r="I7" s="115" t="s">
        <v>236</v>
      </c>
      <c r="J7" s="115" t="s">
        <v>234</v>
      </c>
      <c r="K7" s="115" t="s">
        <v>229</v>
      </c>
      <c r="L7" s="115" t="s">
        <v>235</v>
      </c>
      <c r="M7" s="115"/>
      <c r="N7" s="115" t="s">
        <v>176</v>
      </c>
      <c r="O7" s="115" t="s">
        <v>176</v>
      </c>
    </row>
    <row r="8" spans="1:15" x14ac:dyDescent="0.25">
      <c r="A8" s="115" t="s">
        <v>211</v>
      </c>
      <c r="B8" s="115" t="s">
        <v>225</v>
      </c>
      <c r="C8" s="115" t="s">
        <v>225</v>
      </c>
      <c r="D8" s="115" t="s">
        <v>225</v>
      </c>
      <c r="E8" s="115" t="s">
        <v>225</v>
      </c>
      <c r="F8" s="115" t="s">
        <v>225</v>
      </c>
      <c r="G8" s="115" t="s">
        <v>225</v>
      </c>
      <c r="H8" s="115" t="s">
        <v>225</v>
      </c>
      <c r="I8" s="115" t="s">
        <v>225</v>
      </c>
      <c r="J8" s="115" t="s">
        <v>225</v>
      </c>
      <c r="K8" s="115" t="s">
        <v>225</v>
      </c>
      <c r="L8" s="115" t="s">
        <v>225</v>
      </c>
      <c r="M8" s="115"/>
      <c r="N8" s="115" t="s">
        <v>176</v>
      </c>
      <c r="O8" s="115" t="s">
        <v>176</v>
      </c>
    </row>
    <row r="9" spans="1:15" x14ac:dyDescent="0.25">
      <c r="A9" s="115" t="s">
        <v>212</v>
      </c>
      <c r="B9" s="115" t="s">
        <v>226</v>
      </c>
      <c r="C9" s="115" t="s">
        <v>226</v>
      </c>
      <c r="D9" s="115" t="s">
        <v>226</v>
      </c>
      <c r="E9" s="115" t="s">
        <v>226</v>
      </c>
      <c r="F9" s="115" t="s">
        <v>226</v>
      </c>
      <c r="G9" s="115" t="s">
        <v>226</v>
      </c>
      <c r="H9" s="115" t="s">
        <v>226</v>
      </c>
      <c r="I9" s="115" t="s">
        <v>226</v>
      </c>
      <c r="J9" s="115" t="s">
        <v>226</v>
      </c>
      <c r="K9" s="115" t="s">
        <v>226</v>
      </c>
      <c r="L9" s="115" t="s">
        <v>226</v>
      </c>
      <c r="M9" s="115"/>
      <c r="N9" s="115" t="s">
        <v>176</v>
      </c>
      <c r="O9" s="115" t="s">
        <v>176</v>
      </c>
    </row>
    <row r="10" spans="1:15" x14ac:dyDescent="0.25">
      <c r="A10" s="115" t="s">
        <v>213</v>
      </c>
      <c r="B10" s="115" t="s">
        <v>227</v>
      </c>
      <c r="C10" s="115" t="s">
        <v>227</v>
      </c>
      <c r="D10" s="115" t="s">
        <v>227</v>
      </c>
      <c r="E10" s="115" t="s">
        <v>227</v>
      </c>
      <c r="F10" s="115" t="s">
        <v>227</v>
      </c>
      <c r="G10" s="115" t="s">
        <v>227</v>
      </c>
      <c r="H10" s="115" t="s">
        <v>227</v>
      </c>
      <c r="I10" s="115" t="s">
        <v>227</v>
      </c>
      <c r="J10" s="115" t="s">
        <v>227</v>
      </c>
      <c r="K10" s="115" t="s">
        <v>227</v>
      </c>
      <c r="L10" s="115" t="s">
        <v>227</v>
      </c>
      <c r="M10" s="115"/>
      <c r="N10" s="115" t="s">
        <v>176</v>
      </c>
      <c r="O10" s="115" t="s">
        <v>176</v>
      </c>
    </row>
    <row r="11" spans="1:15" x14ac:dyDescent="0.25">
      <c r="A11" s="115" t="s">
        <v>172</v>
      </c>
      <c r="B11" s="115">
        <v>2.2000000000000002</v>
      </c>
      <c r="C11" s="115">
        <v>1.5</v>
      </c>
      <c r="D11" s="115">
        <v>2.2999999999999998</v>
      </c>
      <c r="E11" s="115">
        <v>1.2</v>
      </c>
      <c r="F11" s="115">
        <v>2.2999999999999998</v>
      </c>
      <c r="G11" s="115">
        <v>1.3</v>
      </c>
      <c r="H11" s="115">
        <v>1.5</v>
      </c>
      <c r="I11" s="115">
        <v>1.5</v>
      </c>
      <c r="J11" s="115">
        <v>0.8</v>
      </c>
      <c r="K11" s="115">
        <v>2.1</v>
      </c>
      <c r="L11" s="115">
        <v>0.8</v>
      </c>
      <c r="M11" s="115"/>
      <c r="N11" s="115">
        <v>1.52</v>
      </c>
      <c r="O11" s="115">
        <v>1.5</v>
      </c>
    </row>
    <row r="12" spans="1:15" x14ac:dyDescent="0.25">
      <c r="A12" s="115" t="s">
        <v>173</v>
      </c>
      <c r="B12" s="115">
        <v>17.5</v>
      </c>
      <c r="C12" s="115">
        <v>14.7</v>
      </c>
      <c r="D12" s="115">
        <v>18.399999999999999</v>
      </c>
      <c r="E12" s="115">
        <v>10.3</v>
      </c>
      <c r="F12" s="115">
        <v>17.8</v>
      </c>
      <c r="G12" s="115">
        <v>15.2</v>
      </c>
      <c r="H12" s="115">
        <v>16</v>
      </c>
      <c r="I12" s="115">
        <v>13.9</v>
      </c>
      <c r="J12" s="115">
        <v>13.8</v>
      </c>
      <c r="K12" s="115">
        <v>20.3</v>
      </c>
      <c r="L12" s="115">
        <v>9.4499999999999993</v>
      </c>
      <c r="M12" s="115"/>
      <c r="N12" s="115">
        <v>14.895</v>
      </c>
      <c r="O12" s="115">
        <v>14.95</v>
      </c>
    </row>
    <row r="13" spans="1:15" x14ac:dyDescent="0.25">
      <c r="A13" s="115" t="s">
        <v>214</v>
      </c>
      <c r="B13" s="115">
        <v>1.306</v>
      </c>
      <c r="C13" s="115">
        <v>1.268</v>
      </c>
      <c r="D13" s="115">
        <v>3.2380000000000004</v>
      </c>
      <c r="E13" s="115">
        <v>3.0640000000000001</v>
      </c>
      <c r="F13" s="115">
        <v>3.0840000000000001</v>
      </c>
      <c r="G13" s="115">
        <v>3.41</v>
      </c>
      <c r="H13" s="115">
        <v>3.4780000000000002</v>
      </c>
      <c r="I13" s="115">
        <v>3.2399999999999998</v>
      </c>
      <c r="J13" s="115">
        <v>2.992</v>
      </c>
      <c r="K13" s="115">
        <v>3.0660000000000003</v>
      </c>
      <c r="L13" s="115">
        <v>2.54</v>
      </c>
      <c r="M13" s="115"/>
      <c r="N13" s="115">
        <v>2.7447999999999997</v>
      </c>
      <c r="O13" s="115">
        <v>3.0650000000000004</v>
      </c>
    </row>
    <row r="14" spans="1:15" x14ac:dyDescent="0.25">
      <c r="A14" s="115" t="s">
        <v>215</v>
      </c>
      <c r="B14" s="115">
        <v>1.6974814000000003</v>
      </c>
      <c r="C14" s="115">
        <v>1.6099412000000002</v>
      </c>
      <c r="D14" s="115">
        <v>3.3614907999999999</v>
      </c>
      <c r="E14" s="115">
        <v>3.6911867999999997</v>
      </c>
      <c r="F14" s="115">
        <v>3.2324876000000002</v>
      </c>
      <c r="G14" s="115">
        <v>3.9327114000000001</v>
      </c>
      <c r="H14" s="115">
        <v>3.908712</v>
      </c>
      <c r="I14" s="115">
        <v>3.7651653999999999</v>
      </c>
      <c r="J14" s="115">
        <v>3.6543813999999997</v>
      </c>
      <c r="K14" s="115">
        <v>3.3384783999999996</v>
      </c>
      <c r="L14" s="115">
        <v>5.5837637999999998</v>
      </c>
      <c r="M14" s="115"/>
      <c r="N14" s="115">
        <v>3.44143094</v>
      </c>
      <c r="O14" s="115">
        <v>3.6727840999999994</v>
      </c>
    </row>
    <row r="15" spans="1:15" x14ac:dyDescent="0.25">
      <c r="A15" s="115" t="s">
        <v>216</v>
      </c>
      <c r="B15" s="115">
        <v>0.18941740000000001</v>
      </c>
      <c r="C15" s="115">
        <v>0.20153199999999999</v>
      </c>
      <c r="D15" s="115">
        <v>1.9227399999999999E-2</v>
      </c>
      <c r="E15" s="115">
        <v>0.39748960000000005</v>
      </c>
      <c r="F15" s="115">
        <v>0.36836360000000001</v>
      </c>
      <c r="G15" s="115">
        <v>0.41578619999999999</v>
      </c>
      <c r="H15" s="115">
        <v>0.33487</v>
      </c>
      <c r="I15" s="115">
        <v>0.27192460000000002</v>
      </c>
      <c r="J15" s="115">
        <v>0.26984980000000003</v>
      </c>
      <c r="K15" s="115">
        <v>0.17896280000000001</v>
      </c>
      <c r="L15" s="115">
        <v>1.2635305999999999</v>
      </c>
      <c r="M15" s="115"/>
      <c r="N15" s="115">
        <v>0.38917266</v>
      </c>
      <c r="O15" s="115">
        <v>0.30339729999999998</v>
      </c>
    </row>
    <row r="16" spans="1:15" x14ac:dyDescent="0.25">
      <c r="A16" s="115" t="s">
        <v>217</v>
      </c>
      <c r="B16" s="115">
        <v>72.330001599999989</v>
      </c>
      <c r="C16" s="115">
        <v>77.660884600000003</v>
      </c>
      <c r="D16" s="115">
        <v>35.866745999999999</v>
      </c>
      <c r="E16" s="115">
        <v>29.010618800000003</v>
      </c>
      <c r="F16" s="115">
        <v>22.164624199999999</v>
      </c>
      <c r="G16" s="115">
        <v>36.888327000000004</v>
      </c>
      <c r="H16" s="115">
        <v>29.507929400000002</v>
      </c>
      <c r="I16" s="115">
        <v>25.342737</v>
      </c>
      <c r="J16" s="115">
        <v>23.101059800000002</v>
      </c>
      <c r="K16" s="115">
        <v>15.8021774</v>
      </c>
      <c r="L16" s="115">
        <v>3.8030748000000001</v>
      </c>
      <c r="M16" s="115"/>
      <c r="N16" s="115">
        <v>33.561143459999997</v>
      </c>
      <c r="O16" s="115">
        <v>27.176677900000001</v>
      </c>
    </row>
    <row r="17" spans="1:15" x14ac:dyDescent="0.25">
      <c r="A17" s="115" t="s">
        <v>218</v>
      </c>
      <c r="B17" s="115">
        <v>0.96369459999999996</v>
      </c>
      <c r="C17" s="115">
        <v>0.90734619999999988</v>
      </c>
      <c r="D17" s="115">
        <v>1.3426741999999998</v>
      </c>
      <c r="E17" s="115">
        <v>1.3814950000000001</v>
      </c>
      <c r="F17" s="115">
        <v>1.2526272000000001</v>
      </c>
      <c r="G17" s="115">
        <v>1.1284673999999999</v>
      </c>
      <c r="H17" s="115">
        <v>1.2774517999999999</v>
      </c>
      <c r="I17" s="115">
        <v>1.1220209999999999</v>
      </c>
      <c r="J17" s="115">
        <v>0.92511359999999987</v>
      </c>
      <c r="K17" s="115">
        <v>0.94024459999999999</v>
      </c>
      <c r="L17" s="115">
        <v>0.70320540000000009</v>
      </c>
      <c r="M17" s="115"/>
      <c r="N17" s="115">
        <v>1.0601666799999998</v>
      </c>
      <c r="O17" s="115">
        <v>1.0428577999999999</v>
      </c>
    </row>
    <row r="18" spans="1:15" x14ac:dyDescent="0.25">
      <c r="A18" s="115" t="s">
        <v>219</v>
      </c>
      <c r="B18" s="115">
        <v>1.3969352000000002</v>
      </c>
      <c r="C18" s="115">
        <v>1.0793649999999999</v>
      </c>
      <c r="D18" s="115">
        <v>1.4225224000000001</v>
      </c>
      <c r="E18" s="115">
        <v>1.5473484</v>
      </c>
      <c r="F18" s="115">
        <v>1.3241564000000001</v>
      </c>
      <c r="G18" s="115">
        <v>1.3014313999999998</v>
      </c>
      <c r="H18" s="115">
        <v>1.4201678000000002</v>
      </c>
      <c r="I18" s="115">
        <v>1.2257386000000001</v>
      </c>
      <c r="J18" s="115">
        <v>1.0266486000000001</v>
      </c>
      <c r="K18" s="115">
        <v>1.0015372</v>
      </c>
      <c r="L18" s="115">
        <v>0.85381859999999998</v>
      </c>
      <c r="M18" s="115"/>
      <c r="N18" s="115">
        <v>1.2177147199999998</v>
      </c>
      <c r="O18" s="115">
        <v>1.263585</v>
      </c>
    </row>
    <row r="19" spans="1:15" x14ac:dyDescent="0.25">
      <c r="A19" s="115" t="s">
        <v>220</v>
      </c>
      <c r="B19" s="115">
        <v>1.8681095999999999</v>
      </c>
      <c r="C19" s="115">
        <v>2.2450898000000001</v>
      </c>
      <c r="D19" s="115">
        <v>1.7801690000000001</v>
      </c>
      <c r="E19" s="115">
        <v>1.6119752000000003</v>
      </c>
      <c r="F19" s="115">
        <v>1.8296485999999998</v>
      </c>
      <c r="G19" s="115">
        <v>1.3237730000000001</v>
      </c>
      <c r="H19" s="115">
        <v>1.5312846</v>
      </c>
      <c r="I19" s="115">
        <v>1.3619895999999998</v>
      </c>
      <c r="J19" s="115">
        <v>1.0768552</v>
      </c>
      <c r="K19" s="115">
        <v>1.2223565999999999</v>
      </c>
      <c r="L19" s="115">
        <v>0.8341900000000001</v>
      </c>
      <c r="M19" s="115"/>
      <c r="N19" s="115">
        <v>1.4905272199999999</v>
      </c>
      <c r="O19" s="115">
        <v>1.4466370999999998</v>
      </c>
    </row>
    <row r="20" spans="1:15" x14ac:dyDescent="0.25">
      <c r="A20" s="115" t="s">
        <v>221</v>
      </c>
      <c r="B20" s="115">
        <v>12.488816000000002</v>
      </c>
      <c r="C20" s="115">
        <v>9.9146881999999987</v>
      </c>
      <c r="D20" s="115">
        <v>12.665995399999998</v>
      </c>
      <c r="E20" s="115">
        <v>12.0789194</v>
      </c>
      <c r="F20" s="115">
        <v>15.147677400000001</v>
      </c>
      <c r="G20" s="115">
        <v>8.4222386</v>
      </c>
      <c r="H20" s="115">
        <v>9.6780843999999995</v>
      </c>
      <c r="I20" s="115">
        <v>11.082796599999998</v>
      </c>
      <c r="J20" s="115">
        <v>6.9166613999999997</v>
      </c>
      <c r="K20" s="115">
        <v>10.264219399999998</v>
      </c>
      <c r="L20" s="115">
        <v>8.6652296</v>
      </c>
      <c r="M20" s="115"/>
      <c r="N20" s="115">
        <v>10.465933099999999</v>
      </c>
      <c r="O20" s="115">
        <v>10.089453799999998</v>
      </c>
    </row>
    <row r="21" spans="1:15" x14ac:dyDescent="0.25">
      <c r="A21" s="115" t="s">
        <v>222</v>
      </c>
      <c r="B21" s="115">
        <v>13.150072599999998</v>
      </c>
      <c r="C21" s="115">
        <v>10.541808400000001</v>
      </c>
      <c r="D21" s="115">
        <v>13.0350112</v>
      </c>
      <c r="E21" s="115">
        <v>12.652462</v>
      </c>
      <c r="F21" s="115">
        <v>15.266378600000001</v>
      </c>
      <c r="G21" s="115">
        <v>8.7373031999999995</v>
      </c>
      <c r="H21" s="115">
        <v>9.9805372000000006</v>
      </c>
      <c r="I21" s="115">
        <v>11.494265799999999</v>
      </c>
      <c r="J21" s="115">
        <v>6.9639443999999999</v>
      </c>
      <c r="K21" s="115">
        <v>11.011932000000002</v>
      </c>
      <c r="L21" s="115">
        <v>4.9289271999999995</v>
      </c>
      <c r="M21" s="115"/>
      <c r="N21" s="115">
        <v>10.472763140000001</v>
      </c>
      <c r="O21" s="115">
        <v>10.776870200000001</v>
      </c>
    </row>
    <row r="22" spans="1:15" x14ac:dyDescent="0.25">
      <c r="A22" s="115" t="s">
        <v>223</v>
      </c>
      <c r="B22" s="115">
        <v>69.180585400000012</v>
      </c>
      <c r="C22" s="115">
        <v>72.857516000000004</v>
      </c>
      <c r="D22" s="115">
        <v>59.94</v>
      </c>
      <c r="E22" s="115">
        <v>57.620000000000005</v>
      </c>
      <c r="F22" s="115">
        <v>50.233999999999995</v>
      </c>
      <c r="G22" s="115">
        <v>57.959999999999994</v>
      </c>
      <c r="H22" s="115">
        <v>55.923999999999999</v>
      </c>
      <c r="I22" s="115">
        <v>61.14</v>
      </c>
      <c r="J22" s="115">
        <v>61.351999999999997</v>
      </c>
      <c r="K22" s="115">
        <v>62</v>
      </c>
      <c r="L22" s="115">
        <v>59.903857400000007</v>
      </c>
      <c r="M22" s="115"/>
      <c r="N22" s="115">
        <v>60.81719588</v>
      </c>
      <c r="O22" s="115">
        <v>60.521928700000004</v>
      </c>
    </row>
    <row r="23" spans="1:15" x14ac:dyDescent="0.25">
      <c r="A23" s="115" t="s">
        <v>174</v>
      </c>
      <c r="B23" s="115">
        <v>96.89</v>
      </c>
      <c r="C23" s="115">
        <v>77.13</v>
      </c>
      <c r="D23" s="115">
        <v>70.05</v>
      </c>
      <c r="E23" s="115">
        <v>31.18</v>
      </c>
      <c r="F23" s="115">
        <v>424.03</v>
      </c>
      <c r="G23" s="115">
        <v>50.65</v>
      </c>
      <c r="H23" s="115">
        <v>144.24</v>
      </c>
      <c r="I23" s="115">
        <v>14.43</v>
      </c>
      <c r="J23" s="115">
        <v>39.56</v>
      </c>
      <c r="K23" s="115">
        <v>161.88999999999999</v>
      </c>
      <c r="L23" s="115">
        <v>37.369999999999997</v>
      </c>
      <c r="M23" s="115"/>
      <c r="N23" s="115">
        <v>107.73699999999999</v>
      </c>
      <c r="O23" s="115">
        <v>63.89</v>
      </c>
    </row>
    <row r="24" spans="1:15" x14ac:dyDescent="0.25">
      <c r="A24" s="115" t="s">
        <v>342</v>
      </c>
      <c r="B24" s="115"/>
      <c r="C24" s="115"/>
      <c r="D24" s="115"/>
      <c r="E24" s="115"/>
      <c r="F24" s="115"/>
      <c r="G24" s="115"/>
      <c r="H24" s="115"/>
      <c r="I24" s="115"/>
      <c r="J24" s="115"/>
      <c r="K24" s="115"/>
      <c r="L24" s="115"/>
      <c r="M24" s="115"/>
      <c r="N24" s="115"/>
      <c r="O24" s="115"/>
    </row>
    <row r="25" spans="1:15" x14ac:dyDescent="0.25">
      <c r="A25" s="115" t="s">
        <v>246</v>
      </c>
      <c r="B25" s="115">
        <v>2.750579999999999E-2</v>
      </c>
      <c r="C25" s="115">
        <v>4.0533300000000008E-2</v>
      </c>
      <c r="D25" s="115">
        <v>0.14749089999999998</v>
      </c>
      <c r="E25" s="115">
        <v>0.16070010000000001</v>
      </c>
      <c r="F25" s="115">
        <v>0.1295974</v>
      </c>
      <c r="G25" s="115">
        <v>0.13195259999999998</v>
      </c>
      <c r="H25" s="115">
        <v>0.10479089999999998</v>
      </c>
      <c r="I25" s="115">
        <v>0.18030869999999999</v>
      </c>
      <c r="J25" s="115">
        <v>0.17336880000000002</v>
      </c>
      <c r="K25" s="115">
        <v>2.6974500000000002E-2</v>
      </c>
      <c r="L25" s="115">
        <v>0.236016</v>
      </c>
      <c r="M25" s="115"/>
      <c r="N25" s="115"/>
      <c r="O25" s="115"/>
    </row>
    <row r="26" spans="1:15" x14ac:dyDescent="0.25">
      <c r="A26" s="115" t="s">
        <v>245</v>
      </c>
      <c r="B26" s="115">
        <v>0.42702340000000005</v>
      </c>
      <c r="C26" s="115">
        <v>0.31914480000000001</v>
      </c>
      <c r="D26" s="115">
        <v>1.1934895000000001</v>
      </c>
      <c r="E26" s="115">
        <v>1.4331146000000001</v>
      </c>
      <c r="F26" s="115">
        <v>1.1574114</v>
      </c>
      <c r="G26" s="115">
        <v>1.2158232999999998</v>
      </c>
      <c r="H26" s="115">
        <v>1.3034050999999998</v>
      </c>
      <c r="I26" s="115">
        <v>1.3488538000000001</v>
      </c>
      <c r="J26" s="115">
        <v>1.5280187500000002</v>
      </c>
      <c r="K26" s="115">
        <v>0.57288249999999996</v>
      </c>
      <c r="L26" s="115">
        <v>1.5135353999999999</v>
      </c>
      <c r="M26" s="115"/>
      <c r="N26" s="115"/>
      <c r="O26" s="115"/>
    </row>
    <row r="27" spans="1:15" x14ac:dyDescent="0.25">
      <c r="A27" s="115" t="s">
        <v>244</v>
      </c>
      <c r="B27" s="115">
        <v>0.31626280000000001</v>
      </c>
      <c r="C27" s="115"/>
      <c r="D27" s="115">
        <v>0.15760249999999998</v>
      </c>
      <c r="E27" s="115">
        <v>0.51702420000000004</v>
      </c>
      <c r="F27" s="115">
        <v>0.33869150000000003</v>
      </c>
      <c r="G27" s="115">
        <v>0.571913</v>
      </c>
      <c r="H27" s="115">
        <v>1.0658271999999998</v>
      </c>
      <c r="I27" s="115">
        <v>0.55984849999999997</v>
      </c>
      <c r="J27" s="115">
        <v>0.68318199999999996</v>
      </c>
      <c r="K27" s="115">
        <v>0.12058369999999999</v>
      </c>
      <c r="L27" s="115">
        <v>0.89127479999999992</v>
      </c>
      <c r="M27" s="115"/>
      <c r="N27" s="115"/>
      <c r="O27" s="115"/>
    </row>
    <row r="28" spans="1:15" x14ac:dyDescent="0.25">
      <c r="A28" s="115" t="s">
        <v>243</v>
      </c>
      <c r="B28" s="115">
        <v>79.696501499999997</v>
      </c>
      <c r="C28" s="115"/>
      <c r="D28" s="115">
        <v>13.2545254</v>
      </c>
      <c r="E28" s="115">
        <v>37.985031199999995</v>
      </c>
      <c r="F28" s="115">
        <v>31.157842699999996</v>
      </c>
      <c r="G28" s="115">
        <v>58.167011100000003</v>
      </c>
      <c r="H28" s="115">
        <v>83.02896309999997</v>
      </c>
      <c r="I28" s="115">
        <v>43.363034600000006</v>
      </c>
      <c r="J28" s="115">
        <v>64.170692000000003</v>
      </c>
      <c r="K28" s="115">
        <v>21.116915300000002</v>
      </c>
      <c r="L28" s="115">
        <v>66.699959899999996</v>
      </c>
      <c r="M28" s="115"/>
      <c r="N28" s="115"/>
      <c r="O28" s="115"/>
    </row>
    <row r="29" spans="1:15" x14ac:dyDescent="0.25">
      <c r="A29" s="115" t="s">
        <v>242</v>
      </c>
      <c r="B29" s="115"/>
      <c r="C29" s="115"/>
      <c r="D29" s="115"/>
      <c r="E29" s="115"/>
      <c r="F29" s="115"/>
      <c r="G29" s="115"/>
      <c r="H29" s="115"/>
      <c r="I29" s="115"/>
      <c r="J29" s="115"/>
      <c r="K29" s="115"/>
      <c r="L29" s="115"/>
      <c r="M29" s="115"/>
      <c r="N29" s="115"/>
      <c r="O29" s="115"/>
    </row>
    <row r="30" spans="1:15" x14ac:dyDescent="0.25">
      <c r="A30" s="115" t="s">
        <v>241</v>
      </c>
      <c r="B30" s="115">
        <v>14.12</v>
      </c>
      <c r="C30" s="115">
        <v>15.12</v>
      </c>
      <c r="D30" s="115">
        <v>14.531000000000001</v>
      </c>
      <c r="E30" s="115">
        <v>11.137000000000002</v>
      </c>
      <c r="F30" s="115">
        <v>13.276</v>
      </c>
      <c r="G30" s="115">
        <v>11.670000000000002</v>
      </c>
      <c r="H30" s="115">
        <v>11.129</v>
      </c>
      <c r="I30" s="115">
        <v>11.455</v>
      </c>
      <c r="J30" s="115">
        <v>11.15</v>
      </c>
      <c r="K30" s="115">
        <v>11.489000000000001</v>
      </c>
      <c r="L30" s="115">
        <v>11.241000000000001</v>
      </c>
      <c r="M30" s="115"/>
      <c r="N30" s="115"/>
      <c r="O30" s="115"/>
    </row>
    <row r="31" spans="1:15" x14ac:dyDescent="0.25">
      <c r="A31" s="115" t="s">
        <v>240</v>
      </c>
      <c r="B31" s="115">
        <v>16.04</v>
      </c>
      <c r="C31" s="115">
        <v>16</v>
      </c>
      <c r="D31" s="115">
        <v>15.455000000000002</v>
      </c>
      <c r="E31" s="115">
        <v>14.212</v>
      </c>
      <c r="F31" s="115">
        <v>14.206999999999999</v>
      </c>
      <c r="G31" s="115">
        <v>13.84</v>
      </c>
      <c r="H31" s="115">
        <v>13.413</v>
      </c>
      <c r="I31" s="115">
        <v>13.385</v>
      </c>
      <c r="J31" s="115">
        <v>13.220000000000002</v>
      </c>
      <c r="K31" s="115">
        <v>13.092000000000002</v>
      </c>
      <c r="L31" s="115">
        <v>12.894</v>
      </c>
      <c r="M31" s="115"/>
      <c r="N31" s="115"/>
      <c r="O31" s="115"/>
    </row>
    <row r="32" spans="1:15" x14ac:dyDescent="0.25">
      <c r="A32" s="115" t="s">
        <v>252</v>
      </c>
      <c r="B32" s="115"/>
      <c r="C32" s="115"/>
      <c r="D32" s="115"/>
      <c r="E32" s="115"/>
      <c r="F32" s="115"/>
      <c r="G32" s="115"/>
      <c r="H32" s="115"/>
      <c r="I32" s="115"/>
      <c r="J32" s="115"/>
      <c r="K32" s="115"/>
      <c r="L32" s="115"/>
      <c r="M32" s="115"/>
      <c r="N32" s="115"/>
      <c r="O32" s="115"/>
    </row>
    <row r="33" spans="1:15" x14ac:dyDescent="0.25">
      <c r="A33" s="115" t="s">
        <v>251</v>
      </c>
      <c r="B33" s="115">
        <v>88.601764099999997</v>
      </c>
      <c r="C33" s="115">
        <v>99.841985999999991</v>
      </c>
      <c r="D33" s="115">
        <v>52.607556899999999</v>
      </c>
      <c r="E33" s="115">
        <v>39.59460649999999</v>
      </c>
      <c r="F33" s="115">
        <v>61.530937299999991</v>
      </c>
      <c r="G33" s="115">
        <v>34.172906999999995</v>
      </c>
      <c r="H33" s="115">
        <v>24.308674700000005</v>
      </c>
      <c r="I33" s="115">
        <v>33.917457300000002</v>
      </c>
      <c r="J33" s="115">
        <v>26.623377200000004</v>
      </c>
      <c r="K33" s="115">
        <v>25.320327200000001</v>
      </c>
      <c r="L33" s="115">
        <v>34.489382800000001</v>
      </c>
      <c r="M33" s="115"/>
      <c r="N33" s="115"/>
      <c r="O33" s="115"/>
    </row>
    <row r="34" spans="1:15" x14ac:dyDescent="0.25">
      <c r="A34" s="115" t="s">
        <v>250</v>
      </c>
      <c r="B34" s="115">
        <v>54.217124999999996</v>
      </c>
      <c r="C34" s="115">
        <v>97.680304800000002</v>
      </c>
      <c r="D34" s="115">
        <v>50.436562899999998</v>
      </c>
      <c r="E34" s="115">
        <v>37.349637600000008</v>
      </c>
      <c r="F34" s="115">
        <v>51.935454500000013</v>
      </c>
      <c r="G34" s="115">
        <v>32.761648000000001</v>
      </c>
      <c r="H34" s="115">
        <v>22.832337800000001</v>
      </c>
      <c r="I34" s="115">
        <v>31.034139099999994</v>
      </c>
      <c r="J34" s="115">
        <v>25.758994999999999</v>
      </c>
      <c r="K34" s="115">
        <v>21.761609300000003</v>
      </c>
      <c r="L34" s="115">
        <v>33.096976599999991</v>
      </c>
      <c r="M34" s="115"/>
      <c r="N34" s="115"/>
      <c r="O34" s="115"/>
    </row>
    <row r="35" spans="1:15" x14ac:dyDescent="0.25">
      <c r="A35" s="115" t="s">
        <v>249</v>
      </c>
      <c r="B35" s="115">
        <v>29.797484100000002</v>
      </c>
      <c r="C35" s="115">
        <v>14.036174900000001</v>
      </c>
      <c r="D35" s="115">
        <v>69.648364100000009</v>
      </c>
      <c r="E35" s="115">
        <v>84.623074799999998</v>
      </c>
      <c r="F35" s="115">
        <v>53.3437512</v>
      </c>
      <c r="G35" s="115">
        <v>90.715960699999997</v>
      </c>
      <c r="H35" s="115">
        <v>94.432172600000015</v>
      </c>
      <c r="I35" s="115">
        <v>89.645949800000011</v>
      </c>
      <c r="J35" s="115">
        <v>94.099652700000007</v>
      </c>
      <c r="K35" s="115">
        <v>98.592972100000011</v>
      </c>
      <c r="L35" s="115">
        <v>109.6781007</v>
      </c>
      <c r="M35" s="115"/>
      <c r="N35" s="115"/>
      <c r="O35" s="115"/>
    </row>
    <row r="36" spans="1:15" x14ac:dyDescent="0.25">
      <c r="A36" s="115" t="s">
        <v>248</v>
      </c>
      <c r="B36" s="115">
        <v>83.89005019999999</v>
      </c>
      <c r="C36" s="115">
        <v>111.67190759999998</v>
      </c>
      <c r="D36" s="115">
        <v>119.2565108</v>
      </c>
      <c r="E36" s="115">
        <v>120.78860079999997</v>
      </c>
      <c r="F36" s="115">
        <v>104.66433190000001</v>
      </c>
      <c r="G36" s="115">
        <v>122.3861034</v>
      </c>
      <c r="H36" s="115">
        <v>116.07097229999999</v>
      </c>
      <c r="I36" s="115">
        <v>119.48033430000001</v>
      </c>
      <c r="J36" s="115">
        <v>118.63010059999999</v>
      </c>
      <c r="K36" s="115">
        <v>119.78988999999999</v>
      </c>
      <c r="L36" s="115">
        <v>141.2004507</v>
      </c>
      <c r="M36" s="115"/>
      <c r="N36" s="115"/>
      <c r="O36" s="115"/>
    </row>
    <row r="37" spans="1:15" x14ac:dyDescent="0.25">
      <c r="A37" s="115" t="s">
        <v>262</v>
      </c>
      <c r="B37" s="115"/>
      <c r="C37" s="115"/>
      <c r="D37" s="115"/>
      <c r="E37" s="115"/>
      <c r="F37" s="115"/>
      <c r="G37" s="115"/>
      <c r="H37" s="115"/>
      <c r="I37" s="115"/>
      <c r="J37" s="115"/>
      <c r="K37" s="115"/>
      <c r="L37" s="115"/>
      <c r="M37" s="115"/>
      <c r="N37" s="115"/>
      <c r="O37" s="115"/>
    </row>
    <row r="38" spans="1:15" x14ac:dyDescent="0.25">
      <c r="A38" s="115" t="s">
        <v>261</v>
      </c>
      <c r="B38" s="115">
        <v>6.5507816999999999</v>
      </c>
      <c r="C38" s="115">
        <v>6.0515052999999996</v>
      </c>
      <c r="D38" s="115">
        <v>3.1821796000000004</v>
      </c>
      <c r="E38" s="115">
        <v>3.2834822499999996</v>
      </c>
      <c r="F38" s="115">
        <v>18.964958299999999</v>
      </c>
      <c r="G38" s="115">
        <v>3.6211074999999995</v>
      </c>
      <c r="H38" s="115">
        <v>12.6478445</v>
      </c>
      <c r="I38" s="115">
        <v>1.1300401</v>
      </c>
      <c r="J38" s="115">
        <v>3.4576001000000005</v>
      </c>
      <c r="K38" s="115">
        <v>5.1433315999999998</v>
      </c>
      <c r="L38" s="115">
        <v>3.1179284000000003</v>
      </c>
      <c r="M38" s="115"/>
      <c r="N38" s="115"/>
      <c r="O38" s="115"/>
    </row>
    <row r="39" spans="1:15" x14ac:dyDescent="0.25">
      <c r="A39" s="115" t="s">
        <v>260</v>
      </c>
      <c r="B39" s="115">
        <v>6.4638299999999997</v>
      </c>
      <c r="C39" s="115">
        <v>5.9000599999999999</v>
      </c>
      <c r="D39" s="115">
        <v>3.1554099999999998</v>
      </c>
      <c r="E39" s="115">
        <v>2.8699599999999998</v>
      </c>
      <c r="F39" s="115">
        <v>18.782969999999999</v>
      </c>
      <c r="G39" s="115">
        <v>3.6288499999999999</v>
      </c>
      <c r="H39" s="115">
        <v>12.22151</v>
      </c>
      <c r="I39" s="115">
        <v>1.1138600000000001</v>
      </c>
      <c r="J39" s="115">
        <v>3.3742700000000001</v>
      </c>
      <c r="K39" s="115">
        <v>5.0474199999999998</v>
      </c>
      <c r="L39" s="115">
        <v>3.0023499999999999</v>
      </c>
      <c r="M39" s="115"/>
      <c r="N39" s="115"/>
      <c r="O39" s="115"/>
    </row>
    <row r="40" spans="1:15" x14ac:dyDescent="0.25">
      <c r="A40" s="115" t="s">
        <v>259</v>
      </c>
      <c r="B40" s="115">
        <v>2.3200000000000003</v>
      </c>
      <c r="C40" s="115">
        <v>1.9</v>
      </c>
      <c r="D40" s="115">
        <v>0.89042080000000001</v>
      </c>
      <c r="E40" s="115">
        <v>0.86599999999999999</v>
      </c>
      <c r="F40" s="115"/>
      <c r="G40" s="115">
        <v>1.6260000000000001</v>
      </c>
      <c r="H40" s="115">
        <v>3.8699999999999997</v>
      </c>
      <c r="I40" s="115">
        <v>0.54100000000000004</v>
      </c>
      <c r="J40" s="115">
        <v>1.2020000000000002</v>
      </c>
      <c r="K40" s="115">
        <v>0.73499999999999999</v>
      </c>
      <c r="L40" s="115">
        <v>0.63300000000000012</v>
      </c>
      <c r="M40" s="115"/>
      <c r="N40" s="115"/>
      <c r="O40" s="115"/>
    </row>
    <row r="41" spans="1:15" x14ac:dyDescent="0.25">
      <c r="A41" s="115" t="s">
        <v>258</v>
      </c>
      <c r="B41" s="115">
        <v>35.893955899999995</v>
      </c>
      <c r="C41" s="115">
        <v>32.4124415</v>
      </c>
      <c r="D41" s="115">
        <v>28.693371500000001</v>
      </c>
      <c r="E41" s="115">
        <v>32.440871799999996</v>
      </c>
      <c r="F41" s="115"/>
      <c r="G41" s="115">
        <v>45.493120499999996</v>
      </c>
      <c r="H41" s="115">
        <v>32.147460699999996</v>
      </c>
      <c r="I41" s="115">
        <v>51.392804400000003</v>
      </c>
      <c r="J41" s="115">
        <v>38.088614499999998</v>
      </c>
      <c r="K41" s="115">
        <v>14.572865100000001</v>
      </c>
      <c r="L41" s="115">
        <v>23.067276000000003</v>
      </c>
      <c r="M41" s="115"/>
      <c r="N41" s="115"/>
      <c r="O41" s="115"/>
    </row>
    <row r="42" spans="1:15" x14ac:dyDescent="0.25">
      <c r="A42" s="115" t="s">
        <v>257</v>
      </c>
      <c r="B42" s="115">
        <v>46.366720000000001</v>
      </c>
      <c r="C42" s="115">
        <v>58.759658000000002</v>
      </c>
      <c r="D42" s="115">
        <v>24.634171000000002</v>
      </c>
      <c r="E42" s="115">
        <v>25.903078999999998</v>
      </c>
      <c r="F42" s="115">
        <v>112.88765600000002</v>
      </c>
      <c r="G42" s="115">
        <v>39.934701999999994</v>
      </c>
      <c r="H42" s="115">
        <v>107.98365899999999</v>
      </c>
      <c r="I42" s="115">
        <v>9.9930330000000005</v>
      </c>
      <c r="J42" s="115">
        <v>45.350393999999987</v>
      </c>
      <c r="K42" s="115">
        <v>50.107431999999996</v>
      </c>
      <c r="L42" s="115">
        <v>35.294102999999993</v>
      </c>
      <c r="M42" s="115"/>
      <c r="N42" s="115"/>
      <c r="O42" s="115"/>
    </row>
    <row r="43" spans="1:15" x14ac:dyDescent="0.25">
      <c r="A43" s="115" t="s">
        <v>256</v>
      </c>
      <c r="B43" s="115">
        <v>42.574444299999996</v>
      </c>
      <c r="C43" s="115">
        <v>33.589453800000001</v>
      </c>
      <c r="D43" s="115">
        <v>23.461372699999998</v>
      </c>
      <c r="E43" s="115">
        <v>20.420247</v>
      </c>
      <c r="F43" s="115">
        <v>110.34140629999999</v>
      </c>
      <c r="G43" s="115">
        <v>23.699492399999997</v>
      </c>
      <c r="H43" s="115">
        <v>73.454092299999985</v>
      </c>
      <c r="I43" s="115">
        <v>7.7244810000000017</v>
      </c>
      <c r="J43" s="115">
        <v>29.706715899999999</v>
      </c>
      <c r="K43" s="115">
        <v>48.579078899999999</v>
      </c>
      <c r="L43" s="115">
        <v>34.476982599999999</v>
      </c>
      <c r="M43" s="115"/>
      <c r="N43" s="115"/>
      <c r="O43" s="115"/>
    </row>
    <row r="44" spans="1:15" x14ac:dyDescent="0.25">
      <c r="A44" s="115" t="s">
        <v>255</v>
      </c>
      <c r="B44" s="115">
        <v>216.05484139999999</v>
      </c>
      <c r="C44" s="115">
        <v>370.07439999999997</v>
      </c>
      <c r="D44" s="115">
        <v>119.74662029999999</v>
      </c>
      <c r="E44" s="115">
        <v>707.46921520000001</v>
      </c>
      <c r="F44" s="115">
        <v>52.652676199999995</v>
      </c>
      <c r="G44" s="115">
        <v>967.37029999999993</v>
      </c>
      <c r="H44" s="115">
        <v>135.21869999999998</v>
      </c>
      <c r="I44" s="115">
        <v>1061.8439999999998</v>
      </c>
      <c r="J44" s="115">
        <v>452.32531980000005</v>
      </c>
      <c r="K44" s="115">
        <v>169.33449999999999</v>
      </c>
      <c r="L44" s="115">
        <v>398.24540000000002</v>
      </c>
      <c r="M44" s="115"/>
      <c r="N44" s="115"/>
      <c r="O44" s="115"/>
    </row>
    <row r="45" spans="1:15" x14ac:dyDescent="0.25">
      <c r="A45" s="115" t="s">
        <v>254</v>
      </c>
      <c r="B45" s="115">
        <v>215.02349870000003</v>
      </c>
      <c r="C45" s="115">
        <v>365.86710000000005</v>
      </c>
      <c r="D45" s="115">
        <v>119.51090669999999</v>
      </c>
      <c r="E45" s="115">
        <v>698.84164580000004</v>
      </c>
      <c r="F45" s="115">
        <v>52.201712000000001</v>
      </c>
      <c r="G45" s="115">
        <v>957.13109999999995</v>
      </c>
      <c r="H45" s="115">
        <v>135.14460000000003</v>
      </c>
      <c r="I45" s="115">
        <v>1044.8845999999999</v>
      </c>
      <c r="J45" s="115">
        <v>450.84743750000007</v>
      </c>
      <c r="K45" s="115">
        <v>167.62210000000002</v>
      </c>
      <c r="L45" s="115">
        <v>396.44049999999999</v>
      </c>
      <c r="M45" s="115"/>
      <c r="N45" s="115"/>
      <c r="O45" s="115"/>
    </row>
    <row r="46" spans="1:15" x14ac:dyDescent="0.25">
      <c r="A46" s="115" t="s">
        <v>253</v>
      </c>
      <c r="B46" s="115">
        <v>214.21130899999997</v>
      </c>
      <c r="C46" s="115">
        <v>365.26946759999998</v>
      </c>
      <c r="D46" s="115">
        <v>120.2030925</v>
      </c>
      <c r="E46" s="115">
        <v>702.03804749999995</v>
      </c>
      <c r="F46" s="115">
        <v>52.116166999999997</v>
      </c>
      <c r="G46" s="115">
        <v>999.19800000000009</v>
      </c>
      <c r="H46" s="115">
        <v>134.28563749999998</v>
      </c>
      <c r="I46" s="115">
        <v>1039.8401462999998</v>
      </c>
      <c r="J46" s="115">
        <v>450.07231619999993</v>
      </c>
      <c r="K46" s="115">
        <v>168.06175719999999</v>
      </c>
      <c r="L46" s="115">
        <v>391.84827959999996</v>
      </c>
      <c r="M46" s="115"/>
      <c r="N46" s="115"/>
      <c r="O46" s="1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29F74-85AC-425E-938A-5426F6E6048F}">
  <dimension ref="A1:D18"/>
  <sheetViews>
    <sheetView zoomScale="130" zoomScaleNormal="130" workbookViewId="0">
      <selection activeCell="F18" sqref="F18"/>
    </sheetView>
  </sheetViews>
  <sheetFormatPr defaultRowHeight="15.75" x14ac:dyDescent="0.25"/>
  <cols>
    <col min="1" max="1" width="10.625" customWidth="1"/>
    <col min="2" max="2" width="14.25" customWidth="1"/>
    <col min="3" max="3" width="17.875" customWidth="1"/>
    <col min="4" max="4" width="26.375" customWidth="1"/>
  </cols>
  <sheetData>
    <row r="1" spans="1:4" ht="27" x14ac:dyDescent="0.35">
      <c r="A1" s="62" t="s">
        <v>88</v>
      </c>
      <c r="B1" s="48"/>
      <c r="C1" s="48"/>
      <c r="D1" s="48"/>
    </row>
    <row r="2" spans="1:4" ht="21.75" x14ac:dyDescent="0.3">
      <c r="A2" s="63" t="s">
        <v>110</v>
      </c>
      <c r="B2" s="48"/>
      <c r="C2" s="48"/>
      <c r="D2" s="48"/>
    </row>
    <row r="3" spans="1:4" x14ac:dyDescent="0.25">
      <c r="A3" s="48"/>
      <c r="B3" s="48"/>
      <c r="C3" s="48"/>
      <c r="D3" s="48"/>
    </row>
    <row r="4" spans="1:4" ht="29.25" thickBot="1" x14ac:dyDescent="0.3">
      <c r="A4" s="73" t="s">
        <v>61</v>
      </c>
      <c r="B4" s="73" t="s">
        <v>14</v>
      </c>
      <c r="C4" s="73" t="s">
        <v>116</v>
      </c>
      <c r="D4" s="73" t="s">
        <v>103</v>
      </c>
    </row>
    <row r="5" spans="1:4" x14ac:dyDescent="0.25">
      <c r="A5" s="78">
        <v>0</v>
      </c>
      <c r="B5" s="78" t="s">
        <v>131</v>
      </c>
      <c r="C5" s="75">
        <v>9851.11</v>
      </c>
      <c r="D5" s="94">
        <f>C5</f>
        <v>9851.11</v>
      </c>
    </row>
    <row r="6" spans="1:4" x14ac:dyDescent="0.25">
      <c r="A6" s="78">
        <v>1</v>
      </c>
      <c r="B6" s="78" t="s">
        <v>111</v>
      </c>
      <c r="C6" s="75">
        <f>'RIM  data'!C$51</f>
        <v>866.89400569674274</v>
      </c>
      <c r="D6" s="94">
        <f>C6/(1+CAPM!$C$8)^A6</f>
        <v>811.55674972084034</v>
      </c>
    </row>
    <row r="7" spans="1:4" x14ac:dyDescent="0.25">
      <c r="A7" s="78">
        <v>2</v>
      </c>
      <c r="B7" s="78" t="s">
        <v>112</v>
      </c>
      <c r="C7" s="75">
        <f>'RIM  data'!D$51</f>
        <v>937.55759574663648</v>
      </c>
      <c r="D7" s="94">
        <f>C7/(1+CAPM!$C$8)^A7</f>
        <v>821.68194650099485</v>
      </c>
    </row>
    <row r="8" spans="1:4" x14ac:dyDescent="0.25">
      <c r="A8" s="78">
        <v>3</v>
      </c>
      <c r="B8" s="78" t="s">
        <v>113</v>
      </c>
      <c r="C8" s="75" t="e">
        <f>'RIM  data'!E$51</f>
        <v>#REF!</v>
      </c>
      <c r="D8" s="94" t="e">
        <f>C8/(1+CAPM!$C$8)^A8</f>
        <v>#REF!</v>
      </c>
    </row>
    <row r="9" spans="1:4" x14ac:dyDescent="0.25">
      <c r="A9" s="78">
        <v>4</v>
      </c>
      <c r="B9" s="78" t="s">
        <v>114</v>
      </c>
      <c r="C9" s="75" t="e">
        <f>'RIM  data'!F51</f>
        <v>#REF!</v>
      </c>
      <c r="D9" s="94" t="e">
        <f>C9/(1+CAPM!$C$8)^A9</f>
        <v>#REF!</v>
      </c>
    </row>
    <row r="10" spans="1:4" x14ac:dyDescent="0.25">
      <c r="A10" s="78">
        <v>5</v>
      </c>
      <c r="B10" s="78" t="s">
        <v>115</v>
      </c>
      <c r="C10" s="75" t="e">
        <f>'RIM  data'!G51</f>
        <v>#REF!</v>
      </c>
      <c r="D10" s="94" t="e">
        <f>C10/(1+CAPM!$C$8)^A10</f>
        <v>#REF!</v>
      </c>
    </row>
    <row r="11" spans="1:4" x14ac:dyDescent="0.25">
      <c r="A11" s="78">
        <v>5</v>
      </c>
      <c r="B11" s="78" t="s">
        <v>72</v>
      </c>
      <c r="C11" s="75" t="e">
        <f>'RIM  data'!H51/('RIM  data'!B28-'RIM  data'!B230)</f>
        <v>#REF!</v>
      </c>
      <c r="D11" s="94" t="e">
        <f>C11/(1+CAPM!$C$8)^A11</f>
        <v>#REF!</v>
      </c>
    </row>
    <row r="12" spans="1:4" s="92" customFormat="1" x14ac:dyDescent="0.25">
      <c r="A12" s="92" t="s">
        <v>134</v>
      </c>
      <c r="D12" s="94" t="e">
        <f>SUM(D5:D11)</f>
        <v>#REF!</v>
      </c>
    </row>
    <row r="13" spans="1:4" s="92" customFormat="1" x14ac:dyDescent="0.25">
      <c r="A13" s="92" t="s">
        <v>133</v>
      </c>
      <c r="D13" s="94">
        <v>168.62</v>
      </c>
    </row>
    <row r="14" spans="1:4" x14ac:dyDescent="0.25">
      <c r="A14" s="82" t="s">
        <v>102</v>
      </c>
      <c r="B14" s="76"/>
      <c r="C14" s="76"/>
      <c r="D14" s="95" t="e">
        <f>D12/D13</f>
        <v>#REF!</v>
      </c>
    </row>
    <row r="15" spans="1:4" x14ac:dyDescent="0.25">
      <c r="A15" s="328" t="s">
        <v>73</v>
      </c>
      <c r="B15" s="329"/>
      <c r="C15" s="329"/>
      <c r="D15" s="94">
        <f>Data!E1</f>
        <v>144.87</v>
      </c>
    </row>
    <row r="16" spans="1:4" x14ac:dyDescent="0.25">
      <c r="A16" s="67" t="s">
        <v>95</v>
      </c>
      <c r="B16" s="67"/>
      <c r="C16" s="67"/>
      <c r="D16" s="67"/>
    </row>
    <row r="18" spans="1:1" x14ac:dyDescent="0.25">
      <c r="A18" s="83" t="s">
        <v>117</v>
      </c>
    </row>
  </sheetData>
  <mergeCells count="1">
    <mergeCell ref="A15:C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E2417-0EE5-E046-91DE-27698F91011B}">
  <dimension ref="A1:B19"/>
  <sheetViews>
    <sheetView zoomScale="135" workbookViewId="0">
      <selection activeCell="C16" sqref="C16"/>
    </sheetView>
  </sheetViews>
  <sheetFormatPr defaultColWidth="25.875" defaultRowHeight="15.75" x14ac:dyDescent="0.25"/>
  <cols>
    <col min="1" max="16384" width="25.875" style="48"/>
  </cols>
  <sheetData>
    <row r="1" spans="1:2" ht="27" x14ac:dyDescent="0.35">
      <c r="A1" s="53" t="s">
        <v>88</v>
      </c>
      <c r="B1" s="54"/>
    </row>
    <row r="2" spans="1:2" ht="21.75" x14ac:dyDescent="0.3">
      <c r="A2" s="55" t="s">
        <v>20</v>
      </c>
      <c r="B2" s="54"/>
    </row>
    <row r="3" spans="1:2" x14ac:dyDescent="0.25">
      <c r="A3" s="54"/>
      <c r="B3" s="54"/>
    </row>
    <row r="4" spans="1:2" x14ac:dyDescent="0.25">
      <c r="A4" s="54" t="s">
        <v>82</v>
      </c>
      <c r="B4" s="56">
        <f>_xlfn.VAR.S(Data!E7:E65)</f>
        <v>5.9795755231009124E-3</v>
      </c>
    </row>
    <row r="5" spans="1:2" x14ac:dyDescent="0.25">
      <c r="A5" s="54" t="s">
        <v>21</v>
      </c>
      <c r="B5" s="56">
        <f>_xlfn.VAR.P(Data!G7:G65)</f>
        <v>1.9369152962955469E-3</v>
      </c>
    </row>
    <row r="6" spans="1:2" x14ac:dyDescent="0.25">
      <c r="A6" s="54" t="s">
        <v>83</v>
      </c>
      <c r="B6" s="56">
        <f>COVAR(Data!E7:E65,Data!G7:G65)</f>
        <v>2.0991340412481372E-3</v>
      </c>
    </row>
    <row r="7" spans="1:2" x14ac:dyDescent="0.25">
      <c r="A7" s="54" t="s">
        <v>84</v>
      </c>
      <c r="B7" s="56">
        <f>CORREL(Data!E7:E65,Data!G7:G65)</f>
        <v>0.62210213013754434</v>
      </c>
    </row>
    <row r="8" spans="1:2" x14ac:dyDescent="0.25">
      <c r="A8" s="57" t="s">
        <v>85</v>
      </c>
      <c r="B8" s="58">
        <f>B6/B5</f>
        <v>1.0837510784611193</v>
      </c>
    </row>
    <row r="9" spans="1:2" x14ac:dyDescent="0.25">
      <c r="A9" s="54" t="s">
        <v>86</v>
      </c>
      <c r="B9" s="59">
        <f>Data!E69-'Systematic Risk (β) Estimation'!B8*Data!G69</f>
        <v>7.0455818040306133E-3</v>
      </c>
    </row>
    <row r="10" spans="1:2" x14ac:dyDescent="0.25">
      <c r="A10" s="54" t="s">
        <v>29</v>
      </c>
      <c r="B10" s="59">
        <v>1.4500000000000001E-2</v>
      </c>
    </row>
    <row r="11" spans="1:2" x14ac:dyDescent="0.25">
      <c r="A11" s="60"/>
      <c r="B11" s="60"/>
    </row>
    <row r="12" spans="1:2" x14ac:dyDescent="0.25">
      <c r="A12" s="60" t="s">
        <v>76</v>
      </c>
      <c r="B12" s="60"/>
    </row>
    <row r="13" spans="1:2" x14ac:dyDescent="0.25">
      <c r="A13" s="60"/>
      <c r="B13" s="61"/>
    </row>
    <row r="14" spans="1:2" x14ac:dyDescent="0.25">
      <c r="A14" s="60"/>
      <c r="B14" s="60"/>
    </row>
    <row r="15" spans="1:2" x14ac:dyDescent="0.25">
      <c r="A15" s="60"/>
      <c r="B15" s="60"/>
    </row>
    <row r="16" spans="1:2" x14ac:dyDescent="0.25">
      <c r="A16" s="60"/>
    </row>
    <row r="17" spans="1:1" x14ac:dyDescent="0.25">
      <c r="A17" s="60"/>
    </row>
    <row r="18" spans="1:1" x14ac:dyDescent="0.25">
      <c r="A18" s="60"/>
    </row>
    <row r="19" spans="1:1" x14ac:dyDescent="0.25">
      <c r="A19" s="6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A2BB8-7B2C-4587-951E-87B04CEA4B3E}">
  <dimension ref="A1:H52"/>
  <sheetViews>
    <sheetView topLeftCell="A22" zoomScale="115" zoomScaleNormal="115" workbookViewId="0">
      <selection activeCell="D32" sqref="D32"/>
    </sheetView>
  </sheetViews>
  <sheetFormatPr defaultColWidth="25.875" defaultRowHeight="15.75" x14ac:dyDescent="0.25"/>
  <cols>
    <col min="1" max="1" width="29.125" style="37" customWidth="1"/>
    <col min="2" max="16384" width="25.875" style="37"/>
  </cols>
  <sheetData>
    <row r="1" spans="1:8" ht="27" x14ac:dyDescent="0.35">
      <c r="A1" s="62" t="s">
        <v>88</v>
      </c>
      <c r="B1" s="29"/>
      <c r="C1" s="29"/>
      <c r="D1" s="29"/>
      <c r="E1" s="29"/>
      <c r="F1" s="29"/>
      <c r="G1" s="29"/>
      <c r="H1" s="29"/>
    </row>
    <row r="2" spans="1:8" ht="21.75" x14ac:dyDescent="0.3">
      <c r="A2" s="63" t="s">
        <v>96</v>
      </c>
      <c r="B2" s="29"/>
      <c r="C2" s="29"/>
      <c r="D2" s="29"/>
      <c r="E2" s="29"/>
      <c r="F2" s="29"/>
      <c r="G2" s="29"/>
      <c r="H2" s="29"/>
    </row>
    <row r="3" spans="1:8" x14ac:dyDescent="0.25">
      <c r="A3" s="29"/>
      <c r="B3" s="29"/>
      <c r="C3" s="29"/>
      <c r="D3" s="29"/>
      <c r="E3" s="29"/>
      <c r="F3" s="29"/>
      <c r="G3" s="29"/>
      <c r="H3" s="29"/>
    </row>
    <row r="4" spans="1:8" ht="16.5" thickBot="1" x14ac:dyDescent="0.3">
      <c r="A4" s="175"/>
      <c r="B4" s="176" t="s">
        <v>22</v>
      </c>
      <c r="C4" s="176" t="s">
        <v>326</v>
      </c>
      <c r="D4" s="40">
        <v>43830</v>
      </c>
      <c r="E4" s="40">
        <v>43465</v>
      </c>
      <c r="F4" s="40">
        <v>43100</v>
      </c>
      <c r="G4" s="40">
        <v>42735</v>
      </c>
      <c r="H4" s="40">
        <v>42369</v>
      </c>
    </row>
    <row r="5" spans="1:8" ht="17.25" x14ac:dyDescent="0.25">
      <c r="A5" s="41" t="s">
        <v>33</v>
      </c>
      <c r="B5" s="42"/>
      <c r="C5" s="42"/>
      <c r="D5" s="42"/>
      <c r="E5" s="42"/>
      <c r="F5" s="42"/>
      <c r="G5" s="42"/>
      <c r="H5" s="42"/>
    </row>
    <row r="6" spans="1:8" x14ac:dyDescent="0.25">
      <c r="A6" s="43" t="s">
        <v>104</v>
      </c>
      <c r="B6" s="42"/>
      <c r="C6" s="42">
        <v>0.79</v>
      </c>
      <c r="D6" s="42">
        <v>0.75</v>
      </c>
      <c r="E6" s="42">
        <v>0.71</v>
      </c>
      <c r="F6" s="42">
        <v>0.67</v>
      </c>
      <c r="G6" s="42">
        <v>0.63</v>
      </c>
      <c r="H6" s="42">
        <v>0.59</v>
      </c>
    </row>
    <row r="7" spans="1:8" x14ac:dyDescent="0.25">
      <c r="A7" s="43" t="s">
        <v>105</v>
      </c>
      <c r="B7" s="42"/>
      <c r="C7" s="42">
        <v>5.81</v>
      </c>
      <c r="D7" s="42">
        <v>5.2</v>
      </c>
      <c r="E7" s="42">
        <v>4.8099999999999996</v>
      </c>
      <c r="F7" s="42">
        <v>4.3099999999999996</v>
      </c>
      <c r="G7" s="42">
        <v>3.93</v>
      </c>
      <c r="H7" s="42">
        <v>3.18</v>
      </c>
    </row>
    <row r="8" spans="1:8" x14ac:dyDescent="0.25">
      <c r="A8" s="44" t="s">
        <v>60</v>
      </c>
      <c r="B8" s="42"/>
      <c r="C8" s="42">
        <v>1064</v>
      </c>
      <c r="D8" s="45">
        <v>930.3</v>
      </c>
      <c r="E8" s="45">
        <v>853.8</v>
      </c>
      <c r="F8" s="45">
        <v>757.7</v>
      </c>
      <c r="G8" s="45">
        <v>673.4</v>
      </c>
      <c r="H8" s="45">
        <v>522.1</v>
      </c>
    </row>
    <row r="9" spans="1:8" s="43" customFormat="1" x14ac:dyDescent="0.25">
      <c r="A9" s="44" t="s">
        <v>35</v>
      </c>
      <c r="B9" s="42"/>
      <c r="C9" s="42">
        <v>3971</v>
      </c>
      <c r="D9" s="45">
        <v>3341</v>
      </c>
      <c r="E9" s="45">
        <v>3046</v>
      </c>
      <c r="F9" s="45">
        <v>2612</v>
      </c>
      <c r="G9" s="45">
        <v>2212</v>
      </c>
      <c r="H9" s="45">
        <v>1842</v>
      </c>
    </row>
    <row r="10" spans="1:8" s="43" customFormat="1" x14ac:dyDescent="0.25">
      <c r="A10" s="44" t="s">
        <v>62</v>
      </c>
      <c r="B10" s="42"/>
      <c r="C10" s="42">
        <v>142502</v>
      </c>
      <c r="D10" s="45">
        <v>116661</v>
      </c>
      <c r="E10" s="45">
        <v>99323</v>
      </c>
      <c r="F10" s="45">
        <v>87882</v>
      </c>
      <c r="G10" s="45">
        <v>73401</v>
      </c>
      <c r="H10" s="45">
        <v>59080</v>
      </c>
    </row>
    <row r="11" spans="1:8" x14ac:dyDescent="0.25">
      <c r="A11" s="44" t="s">
        <v>52</v>
      </c>
      <c r="B11" s="42"/>
      <c r="C11" s="42">
        <v>11751</v>
      </c>
      <c r="D11" s="45">
        <v>9851</v>
      </c>
      <c r="E11" s="45">
        <v>8678</v>
      </c>
      <c r="F11" s="45">
        <v>7818</v>
      </c>
      <c r="G11" s="45">
        <v>6909</v>
      </c>
      <c r="H11" s="45">
        <v>5706</v>
      </c>
    </row>
    <row r="12" spans="1:8" ht="17.25" x14ac:dyDescent="0.25">
      <c r="A12" s="41" t="s">
        <v>23</v>
      </c>
      <c r="B12" s="42"/>
      <c r="C12" s="42"/>
      <c r="D12" s="42"/>
      <c r="E12" s="42"/>
      <c r="F12" s="42"/>
      <c r="G12" s="42"/>
      <c r="H12" s="42"/>
    </row>
    <row r="13" spans="1:8" x14ac:dyDescent="0.25">
      <c r="A13" s="44" t="s">
        <v>24</v>
      </c>
      <c r="B13" s="42"/>
      <c r="C13" s="42">
        <f t="shared" ref="C13:H13" si="0">1-C6/C7</f>
        <v>0.86402753872633387</v>
      </c>
      <c r="D13" s="46">
        <f t="shared" si="0"/>
        <v>0.85576923076923084</v>
      </c>
      <c r="E13" s="46">
        <f t="shared" si="0"/>
        <v>0.85239085239085233</v>
      </c>
      <c r="F13" s="46">
        <f t="shared" si="0"/>
        <v>0.84454756380510432</v>
      </c>
      <c r="G13" s="46">
        <f t="shared" si="0"/>
        <v>0.83969465648854968</v>
      </c>
      <c r="H13" s="46">
        <f t="shared" si="0"/>
        <v>0.81446540880503149</v>
      </c>
    </row>
    <row r="14" spans="1:8" x14ac:dyDescent="0.25">
      <c r="A14" s="44" t="s">
        <v>25</v>
      </c>
      <c r="B14" s="42"/>
      <c r="C14" s="88">
        <f>C8/C9</f>
        <v>0.26794258373205743</v>
      </c>
      <c r="D14" s="47">
        <f t="shared" ref="D14:H16" si="1">D8/D9</f>
        <v>0.27844956599820414</v>
      </c>
      <c r="E14" s="47">
        <f t="shared" si="1"/>
        <v>0.28030203545633614</v>
      </c>
      <c r="F14" s="47">
        <f t="shared" si="1"/>
        <v>0.29008422664624811</v>
      </c>
      <c r="G14" s="47">
        <f t="shared" si="1"/>
        <v>0.30443037974683546</v>
      </c>
      <c r="H14" s="47">
        <f t="shared" si="1"/>
        <v>0.28344191096634097</v>
      </c>
    </row>
    <row r="15" spans="1:8" x14ac:dyDescent="0.25">
      <c r="A15" s="44" t="s">
        <v>26</v>
      </c>
      <c r="B15" s="42"/>
      <c r="C15" s="93">
        <f>C9/C10</f>
        <v>2.7866275561044759E-2</v>
      </c>
      <c r="D15" s="46">
        <f t="shared" si="1"/>
        <v>2.8638533871645194E-2</v>
      </c>
      <c r="E15" s="46">
        <f t="shared" si="1"/>
        <v>3.0667619785950888E-2</v>
      </c>
      <c r="F15" s="46">
        <f t="shared" si="1"/>
        <v>2.9721672242324935E-2</v>
      </c>
      <c r="G15" s="46">
        <f t="shared" si="1"/>
        <v>3.0135829212136075E-2</v>
      </c>
      <c r="H15" s="46">
        <f t="shared" si="1"/>
        <v>3.1178063642518617E-2</v>
      </c>
    </row>
    <row r="16" spans="1:8" x14ac:dyDescent="0.25">
      <c r="A16" s="44" t="s">
        <v>27</v>
      </c>
      <c r="B16" s="42"/>
      <c r="C16" s="93">
        <f>C10/C11</f>
        <v>12.126797719343035</v>
      </c>
      <c r="D16" s="46">
        <f t="shared" si="1"/>
        <v>11.842554055425845</v>
      </c>
      <c r="E16" s="46">
        <f t="shared" si="1"/>
        <v>11.445379119612815</v>
      </c>
      <c r="F16" s="46">
        <f t="shared" si="1"/>
        <v>11.240982348426707</v>
      </c>
      <c r="G16" s="46">
        <f t="shared" si="1"/>
        <v>10.623968736430742</v>
      </c>
      <c r="H16" s="46">
        <f t="shared" si="1"/>
        <v>10.354013319313005</v>
      </c>
    </row>
    <row r="17" spans="1:8" ht="17.25" x14ac:dyDescent="0.25">
      <c r="A17" s="41" t="s">
        <v>28</v>
      </c>
      <c r="B17" s="42"/>
      <c r="C17" s="42"/>
      <c r="D17" s="42"/>
      <c r="E17" s="42"/>
      <c r="F17" s="42"/>
      <c r="G17" s="42"/>
      <c r="H17" s="42"/>
    </row>
    <row r="18" spans="1:8" x14ac:dyDescent="0.25">
      <c r="A18" s="44" t="s">
        <v>24</v>
      </c>
      <c r="B18" s="46">
        <f>AVERAGE(C13:G13)</f>
        <v>0.85128596843601423</v>
      </c>
      <c r="C18" s="46"/>
      <c r="D18" s="42"/>
      <c r="E18" s="42"/>
      <c r="F18" s="42"/>
      <c r="G18" s="42"/>
      <c r="H18" s="42"/>
    </row>
    <row r="19" spans="1:8" x14ac:dyDescent="0.25">
      <c r="A19" s="44" t="s">
        <v>25</v>
      </c>
      <c r="B19" s="46">
        <f>AVERAGE(C14:G14)</f>
        <v>0.28424175831593623</v>
      </c>
      <c r="C19" s="46"/>
      <c r="D19" s="42"/>
      <c r="E19" s="42"/>
      <c r="F19" s="42"/>
      <c r="G19" s="42"/>
      <c r="H19" s="42"/>
    </row>
    <row r="20" spans="1:8" x14ac:dyDescent="0.25">
      <c r="A20" s="44" t="s">
        <v>26</v>
      </c>
      <c r="B20" s="46">
        <f>AVERAGE(C15:G15)</f>
        <v>2.9405986134620376E-2</v>
      </c>
      <c r="C20" s="46"/>
      <c r="D20" s="42"/>
      <c r="E20" s="42"/>
      <c r="F20" s="42"/>
      <c r="G20" s="42"/>
      <c r="H20" s="42"/>
    </row>
    <row r="21" spans="1:8" x14ac:dyDescent="0.25">
      <c r="A21" s="44" t="s">
        <v>27</v>
      </c>
      <c r="B21" s="46">
        <f>AVERAGE(C16:G16)</f>
        <v>11.455936395847829</v>
      </c>
      <c r="C21" s="46"/>
      <c r="D21" s="42"/>
      <c r="E21" s="42"/>
      <c r="F21" s="42"/>
      <c r="G21" s="42"/>
      <c r="H21" s="42"/>
    </row>
    <row r="22" spans="1:8" x14ac:dyDescent="0.25">
      <c r="A22" s="29"/>
      <c r="B22" s="46"/>
      <c r="C22" s="46"/>
      <c r="D22" s="29"/>
      <c r="E22" s="29"/>
      <c r="F22" s="29"/>
      <c r="G22" s="29"/>
      <c r="H22" s="29"/>
    </row>
    <row r="23" spans="1:8" x14ac:dyDescent="0.25">
      <c r="A23" s="34" t="s">
        <v>97</v>
      </c>
      <c r="B23" s="30">
        <f>B18*B19*B20*B21</f>
        <v>8.1513529434431561E-2</v>
      </c>
      <c r="C23" s="177"/>
      <c r="D23" s="29"/>
      <c r="E23" s="29"/>
      <c r="F23" s="29"/>
      <c r="G23" s="29"/>
      <c r="H23" s="29"/>
    </row>
    <row r="24" spans="1:8" x14ac:dyDescent="0.25">
      <c r="A24" s="35" t="s">
        <v>95</v>
      </c>
      <c r="B24" s="31"/>
      <c r="C24" s="31"/>
      <c r="D24" s="31"/>
      <c r="E24" s="31"/>
      <c r="F24" s="31"/>
      <c r="G24" s="31"/>
    </row>
    <row r="25" spans="1:8" x14ac:dyDescent="0.25">
      <c r="A25" s="85"/>
      <c r="B25" s="32"/>
      <c r="C25" s="32"/>
      <c r="D25" s="32"/>
      <c r="E25" s="32"/>
      <c r="F25" s="32"/>
      <c r="G25" s="32"/>
    </row>
    <row r="26" spans="1:8" ht="21.75" x14ac:dyDescent="0.25">
      <c r="A26" s="330" t="s">
        <v>140</v>
      </c>
      <c r="B26" s="330"/>
      <c r="C26" s="330"/>
      <c r="D26" s="32"/>
      <c r="E26" s="32"/>
      <c r="F26" s="32"/>
      <c r="G26" s="32"/>
      <c r="H26" s="32"/>
    </row>
    <row r="27" spans="1:8" x14ac:dyDescent="0.25">
      <c r="A27" s="42" t="s">
        <v>129</v>
      </c>
      <c r="B27" s="93">
        <f>Data!E1</f>
        <v>144.87</v>
      </c>
      <c r="C27" s="87"/>
      <c r="D27" s="32"/>
      <c r="E27" s="32"/>
      <c r="F27" s="32"/>
      <c r="G27" s="32"/>
      <c r="H27" s="32"/>
    </row>
    <row r="28" spans="1:8" x14ac:dyDescent="0.25">
      <c r="A28" s="87" t="s">
        <v>139</v>
      </c>
      <c r="B28" s="88" t="e">
        <f>(B27*CAPM!C8-'DDM Model'!C5)/(Growth!#REF!+'DDM Model'!C5)</f>
        <v>#REF!</v>
      </c>
      <c r="C28" s="32"/>
      <c r="D28" s="32"/>
      <c r="E28" s="32"/>
      <c r="F28" s="32"/>
      <c r="G28" s="32"/>
      <c r="H28" s="32"/>
    </row>
    <row r="29" spans="1:8" x14ac:dyDescent="0.25">
      <c r="A29" s="87"/>
      <c r="B29" s="86"/>
      <c r="C29" s="32"/>
      <c r="D29" s="32"/>
      <c r="E29" s="32"/>
      <c r="F29" s="32"/>
      <c r="G29" s="32"/>
      <c r="H29" s="32"/>
    </row>
    <row r="30" spans="1:8" x14ac:dyDescent="0.25">
      <c r="A30" s="42" t="s">
        <v>125</v>
      </c>
      <c r="B30" s="86"/>
      <c r="C30" s="32"/>
      <c r="D30" s="32"/>
      <c r="E30" s="32"/>
      <c r="F30" s="32"/>
      <c r="G30" s="32"/>
      <c r="H30" s="32"/>
    </row>
    <row r="31" spans="1:8" x14ac:dyDescent="0.25">
      <c r="A31" s="87" t="s">
        <v>126</v>
      </c>
      <c r="B31" s="86"/>
      <c r="C31" s="32"/>
      <c r="D31" s="32"/>
      <c r="E31" s="32"/>
      <c r="F31" s="32"/>
      <c r="G31" s="32"/>
      <c r="H31" s="32"/>
    </row>
    <row r="32" spans="1:8" x14ac:dyDescent="0.25">
      <c r="A32" s="87" t="s">
        <v>127</v>
      </c>
      <c r="B32" s="90"/>
      <c r="D32" s="32"/>
      <c r="E32" s="32"/>
      <c r="F32" s="32"/>
      <c r="G32" s="32"/>
      <c r="H32" s="32"/>
    </row>
    <row r="33" spans="1:8" x14ac:dyDescent="0.25">
      <c r="A33" s="87" t="s">
        <v>128</v>
      </c>
      <c r="B33" s="90"/>
      <c r="D33" s="32"/>
      <c r="E33" s="32"/>
      <c r="F33" s="32"/>
      <c r="G33" s="32"/>
      <c r="H33" s="32"/>
    </row>
    <row r="34" spans="1:8" x14ac:dyDescent="0.25">
      <c r="A34" s="87"/>
      <c r="B34" s="90"/>
      <c r="D34" s="32"/>
      <c r="E34" s="32"/>
      <c r="F34" s="32"/>
      <c r="G34" s="32"/>
      <c r="H34" s="32"/>
    </row>
    <row r="35" spans="1:8" ht="16.5" thickBot="1" x14ac:dyDescent="0.3">
      <c r="A35" s="84" t="s">
        <v>61</v>
      </c>
      <c r="B35" s="84" t="s">
        <v>14</v>
      </c>
      <c r="C35" s="84" t="s">
        <v>118</v>
      </c>
      <c r="D35" s="32"/>
      <c r="E35" s="32"/>
      <c r="F35" s="32"/>
      <c r="G35" s="32"/>
      <c r="H35" s="32"/>
    </row>
    <row r="36" spans="1:8" x14ac:dyDescent="0.25">
      <c r="A36" s="2">
        <v>1</v>
      </c>
      <c r="B36" s="2" t="s">
        <v>119</v>
      </c>
      <c r="C36" s="3">
        <f>B23</f>
        <v>8.1513529434431561E-2</v>
      </c>
      <c r="D36" s="32"/>
      <c r="E36" s="32"/>
      <c r="F36" s="32"/>
      <c r="G36" s="32"/>
      <c r="H36" s="32"/>
    </row>
    <row r="37" spans="1:8" x14ac:dyDescent="0.25">
      <c r="A37" s="2">
        <v>2</v>
      </c>
      <c r="B37" s="2" t="s">
        <v>120</v>
      </c>
      <c r="C37" s="3" t="e">
        <f>C36+($C$40-$C$36)/4</f>
        <v>#REF!</v>
      </c>
      <c r="D37" s="32"/>
      <c r="E37" s="32"/>
      <c r="F37" s="32"/>
      <c r="G37" s="32"/>
      <c r="H37" s="32"/>
    </row>
    <row r="38" spans="1:8" x14ac:dyDescent="0.25">
      <c r="A38" s="2">
        <v>3</v>
      </c>
      <c r="B38" s="2" t="s">
        <v>121</v>
      </c>
      <c r="C38" s="3" t="e">
        <f>C37+($C$40-$C$36)/4</f>
        <v>#REF!</v>
      </c>
      <c r="D38" s="32"/>
      <c r="E38" s="32"/>
      <c r="F38" s="32"/>
      <c r="G38" s="32"/>
      <c r="H38" s="32"/>
    </row>
    <row r="39" spans="1:8" x14ac:dyDescent="0.25">
      <c r="A39" s="2">
        <v>4</v>
      </c>
      <c r="B39" s="2" t="s">
        <v>122</v>
      </c>
      <c r="C39" s="3" t="e">
        <f>C38+($C$40-$C$36)/4</f>
        <v>#REF!</v>
      </c>
      <c r="D39" s="32"/>
      <c r="E39" s="32"/>
      <c r="F39" s="32"/>
      <c r="G39" s="32"/>
      <c r="H39" s="32"/>
    </row>
    <row r="40" spans="1:8" x14ac:dyDescent="0.25">
      <c r="A40" s="2" t="s">
        <v>123</v>
      </c>
      <c r="B40" s="2" t="s">
        <v>124</v>
      </c>
      <c r="C40" s="3" t="e">
        <f>B28</f>
        <v>#REF!</v>
      </c>
    </row>
    <row r="42" spans="1:8" x14ac:dyDescent="0.25">
      <c r="A42" s="37" t="s">
        <v>130</v>
      </c>
    </row>
    <row r="44" spans="1:8" ht="21.75" x14ac:dyDescent="0.25">
      <c r="A44" s="330" t="s">
        <v>144</v>
      </c>
      <c r="B44" s="330"/>
      <c r="C44" s="330"/>
      <c r="D44" s="32"/>
      <c r="E44" s="32"/>
      <c r="F44" s="32"/>
      <c r="G44" s="32"/>
    </row>
    <row r="45" spans="1:8" ht="16.5" thickBot="1" x14ac:dyDescent="0.3">
      <c r="A45" s="89"/>
      <c r="B45" s="91" t="s">
        <v>22</v>
      </c>
      <c r="C45" s="40">
        <v>43830</v>
      </c>
      <c r="D45" s="40">
        <v>44196</v>
      </c>
      <c r="E45" s="40">
        <v>44561</v>
      </c>
      <c r="F45" s="40">
        <v>44926</v>
      </c>
      <c r="G45" s="40">
        <v>45291</v>
      </c>
      <c r="H45" s="40">
        <v>45657</v>
      </c>
    </row>
    <row r="46" spans="1:8" ht="17.25" x14ac:dyDescent="0.25">
      <c r="A46" s="41" t="s">
        <v>33</v>
      </c>
      <c r="B46" s="42"/>
      <c r="C46" s="42"/>
      <c r="D46" s="42"/>
      <c r="E46" s="42"/>
      <c r="F46" s="42"/>
      <c r="G46" s="42"/>
    </row>
    <row r="47" spans="1:8" x14ac:dyDescent="0.25">
      <c r="A47" s="43" t="s">
        <v>132</v>
      </c>
      <c r="B47" s="42"/>
      <c r="C47" s="46">
        <v>9851.11</v>
      </c>
      <c r="D47" s="46"/>
      <c r="E47" s="46"/>
      <c r="F47" s="46"/>
      <c r="G47" s="46"/>
      <c r="H47" s="46"/>
    </row>
    <row r="48" spans="1:8" x14ac:dyDescent="0.25">
      <c r="A48" s="43" t="s">
        <v>135</v>
      </c>
      <c r="B48" s="46"/>
      <c r="C48" s="46">
        <v>930.33</v>
      </c>
      <c r="D48" s="46">
        <f>C48*(1+C36)</f>
        <v>1006.1644818387348</v>
      </c>
      <c r="E48" s="46" t="e">
        <f>D48*(1+C37)</f>
        <v>#REF!</v>
      </c>
      <c r="F48" s="46" t="e">
        <f>E48*(1+C38)</f>
        <v>#REF!</v>
      </c>
      <c r="G48" s="46" t="e">
        <f>F48*(1+C39)</f>
        <v>#REF!</v>
      </c>
      <c r="H48" s="46" t="e">
        <f>G48*(1+Growth!#REF!)</f>
        <v>#REF!</v>
      </c>
    </row>
    <row r="49" spans="1:8" ht="17.25" x14ac:dyDescent="0.25">
      <c r="A49" s="41" t="s">
        <v>138</v>
      </c>
      <c r="B49" s="30"/>
      <c r="C49" s="46"/>
      <c r="D49" s="46"/>
      <c r="E49" s="46"/>
      <c r="F49" s="46"/>
      <c r="G49" s="46"/>
      <c r="H49" s="46"/>
    </row>
    <row r="50" spans="1:8" x14ac:dyDescent="0.25">
      <c r="A50" s="43" t="s">
        <v>136</v>
      </c>
      <c r="B50" s="43"/>
      <c r="C50" s="46">
        <f>C48*CAPM!$C$8</f>
        <v>63.435994303257303</v>
      </c>
      <c r="D50" s="46">
        <f>D48*CAPM!$C$8</f>
        <v>68.606886092098307</v>
      </c>
      <c r="E50" s="46" t="e">
        <f>E48*CAPM!$C$8</f>
        <v>#REF!</v>
      </c>
      <c r="F50" s="46" t="e">
        <f>F48*CAPM!$C$8</f>
        <v>#REF!</v>
      </c>
      <c r="G50" s="46" t="e">
        <f>G48*CAPM!$C$8</f>
        <v>#REF!</v>
      </c>
      <c r="H50" s="46" t="e">
        <f>H48*CAPM!$C$8</f>
        <v>#REF!</v>
      </c>
    </row>
    <row r="51" spans="1:8" x14ac:dyDescent="0.25">
      <c r="A51" s="43" t="s">
        <v>137</v>
      </c>
      <c r="B51" s="43"/>
      <c r="C51" s="46">
        <f t="shared" ref="C51:G51" si="2">C48-C50</f>
        <v>866.89400569674274</v>
      </c>
      <c r="D51" s="46">
        <f t="shared" si="2"/>
        <v>937.55759574663648</v>
      </c>
      <c r="E51" s="46" t="e">
        <f t="shared" si="2"/>
        <v>#REF!</v>
      </c>
      <c r="F51" s="46" t="e">
        <f t="shared" si="2"/>
        <v>#REF!</v>
      </c>
      <c r="G51" s="46" t="e">
        <f t="shared" si="2"/>
        <v>#REF!</v>
      </c>
      <c r="H51" s="110" t="e">
        <f>H48-H50</f>
        <v>#REF!</v>
      </c>
    </row>
    <row r="52" spans="1:8" x14ac:dyDescent="0.25">
      <c r="A52" s="35" t="s">
        <v>95</v>
      </c>
      <c r="B52" s="31"/>
      <c r="C52" s="31"/>
      <c r="D52" s="31"/>
      <c r="E52" s="31"/>
      <c r="F52" s="31"/>
      <c r="G52" s="31"/>
    </row>
  </sheetData>
  <mergeCells count="2">
    <mergeCell ref="A26:C26"/>
    <mergeCell ref="A44:C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824C8-5B03-4B1D-9648-4ED5FC0A7775}">
  <dimension ref="A1:H18"/>
  <sheetViews>
    <sheetView zoomScale="115" zoomScaleNormal="115" workbookViewId="0">
      <selection activeCell="C16" sqref="C16"/>
    </sheetView>
  </sheetViews>
  <sheetFormatPr defaultColWidth="25.875" defaultRowHeight="15.75" x14ac:dyDescent="0.25"/>
  <cols>
    <col min="1" max="1" width="35.625" style="37" customWidth="1"/>
    <col min="2" max="16384" width="25.875" style="37"/>
  </cols>
  <sheetData>
    <row r="1" spans="1:8" ht="27" x14ac:dyDescent="0.35">
      <c r="A1" s="62" t="s">
        <v>88</v>
      </c>
      <c r="B1" s="29"/>
      <c r="C1" s="29"/>
      <c r="D1" s="29"/>
      <c r="E1" s="29"/>
      <c r="F1" s="29"/>
      <c r="G1" s="29"/>
      <c r="H1" s="29"/>
    </row>
    <row r="2" spans="1:8" ht="21.75" x14ac:dyDescent="0.3">
      <c r="A2" s="63" t="s">
        <v>442</v>
      </c>
      <c r="B2" s="29"/>
      <c r="C2" s="29"/>
      <c r="D2" s="29"/>
      <c r="E2" s="29"/>
      <c r="F2" s="29"/>
      <c r="G2" s="29"/>
      <c r="H2" s="29"/>
    </row>
    <row r="3" spans="1:8" x14ac:dyDescent="0.25">
      <c r="A3" s="29"/>
      <c r="B3" s="29"/>
      <c r="C3" s="29"/>
      <c r="D3" s="29"/>
      <c r="E3" s="29"/>
      <c r="F3" s="29"/>
      <c r="G3" s="29"/>
      <c r="H3" s="29"/>
    </row>
    <row r="9" spans="1:8" x14ac:dyDescent="0.25">
      <c r="B9"/>
    </row>
    <row r="11" spans="1:8" x14ac:dyDescent="0.25">
      <c r="A11" s="216" t="s">
        <v>444</v>
      </c>
      <c r="B11" s="216"/>
      <c r="C11" s="216"/>
    </row>
    <row r="12" spans="1:8" x14ac:dyDescent="0.25">
      <c r="A12" s="219" t="s">
        <v>125</v>
      </c>
      <c r="B12" s="37" t="s">
        <v>443</v>
      </c>
      <c r="C12" s="37">
        <f>0.99</f>
        <v>0.99</v>
      </c>
    </row>
    <row r="13" spans="1:8" x14ac:dyDescent="0.25">
      <c r="A13" s="218"/>
      <c r="B13" s="37" t="s">
        <v>447</v>
      </c>
      <c r="C13" s="179">
        <f>Growth!I29</f>
        <v>0.23692474166649058</v>
      </c>
    </row>
    <row r="14" spans="1:8" x14ac:dyDescent="0.25">
      <c r="A14" s="218"/>
      <c r="B14" s="37" t="s">
        <v>445</v>
      </c>
      <c r="C14" s="179">
        <f>0.03</f>
        <v>0.03</v>
      </c>
    </row>
    <row r="15" spans="1:8" x14ac:dyDescent="0.25">
      <c r="A15" s="218"/>
      <c r="B15" s="37" t="s">
        <v>448</v>
      </c>
      <c r="C15" s="178">
        <f>CAPM!C8</f>
        <v>6.8186551334749282E-2</v>
      </c>
    </row>
    <row r="16" spans="1:8" x14ac:dyDescent="0.25">
      <c r="A16" s="218"/>
      <c r="B16" s="37" t="s">
        <v>446</v>
      </c>
      <c r="C16" s="37">
        <v>25</v>
      </c>
    </row>
    <row r="17" spans="1:3" x14ac:dyDescent="0.25">
      <c r="A17" s="218"/>
    </row>
    <row r="18" spans="1:3" x14ac:dyDescent="0.25">
      <c r="A18" s="217" t="s">
        <v>102</v>
      </c>
      <c r="B18" s="216"/>
      <c r="C18" s="216">
        <f>(C12*(1+C14)+C12*C16*(C13-C14))/(C15-C14)</f>
        <v>160.81806661229788</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6E0D7-C5DB-254E-9413-113C58617BB5}">
  <dimension ref="A1:D12"/>
  <sheetViews>
    <sheetView zoomScale="150" workbookViewId="0">
      <selection activeCell="B13" sqref="B13"/>
    </sheetView>
  </sheetViews>
  <sheetFormatPr defaultColWidth="25.875" defaultRowHeight="15.75" x14ac:dyDescent="0.25"/>
  <cols>
    <col min="1" max="1" width="35.875" style="48" customWidth="1"/>
    <col min="2" max="16384" width="25.875" style="48"/>
  </cols>
  <sheetData>
    <row r="1" spans="1:4" ht="27" x14ac:dyDescent="0.35">
      <c r="A1" s="53" t="s">
        <v>88</v>
      </c>
      <c r="B1" s="54"/>
      <c r="C1" s="54"/>
      <c r="D1" s="54"/>
    </row>
    <row r="2" spans="1:4" ht="21.75" x14ac:dyDescent="0.3">
      <c r="A2" s="55" t="s">
        <v>13</v>
      </c>
      <c r="B2" s="54"/>
      <c r="C2" s="54"/>
      <c r="D2" s="54"/>
    </row>
    <row r="3" spans="1:4" x14ac:dyDescent="0.25">
      <c r="A3" s="54"/>
      <c r="B3" s="54"/>
      <c r="C3" s="54"/>
      <c r="D3" s="54"/>
    </row>
    <row r="4" spans="1:4" x14ac:dyDescent="0.25">
      <c r="A4" s="57"/>
      <c r="B4" s="57" t="s">
        <v>14</v>
      </c>
      <c r="C4" s="57" t="s">
        <v>15</v>
      </c>
      <c r="D4" s="57" t="s">
        <v>16</v>
      </c>
    </row>
    <row r="5" spans="1:4" x14ac:dyDescent="0.25">
      <c r="A5" s="54" t="s">
        <v>17</v>
      </c>
      <c r="B5" s="54"/>
      <c r="C5" s="54"/>
      <c r="D5" s="69"/>
    </row>
    <row r="6" spans="1:4" x14ac:dyDescent="0.25">
      <c r="A6" s="54" t="s">
        <v>18</v>
      </c>
      <c r="B6" s="54"/>
      <c r="C6" s="54"/>
      <c r="D6" s="69"/>
    </row>
    <row r="7" spans="1:4" x14ac:dyDescent="0.25">
      <c r="A7" s="70" t="s">
        <v>93</v>
      </c>
      <c r="B7" s="70"/>
      <c r="C7" s="70"/>
      <c r="D7" s="70"/>
    </row>
    <row r="8" spans="1:4" x14ac:dyDescent="0.25">
      <c r="A8" s="42" t="s">
        <v>31</v>
      </c>
      <c r="B8" s="71"/>
    </row>
    <row r="9" spans="1:4" x14ac:dyDescent="0.25">
      <c r="A9" s="48" t="s">
        <v>19</v>
      </c>
      <c r="B9" s="72">
        <f>D5*C5+C6*D6*(1-B8)</f>
        <v>0</v>
      </c>
    </row>
    <row r="10" spans="1:4" x14ac:dyDescent="0.25">
      <c r="B10" s="72"/>
    </row>
    <row r="11" spans="1:4" x14ac:dyDescent="0.25">
      <c r="A11" s="54" t="s">
        <v>30</v>
      </c>
      <c r="B11" s="54"/>
      <c r="C11" s="54"/>
    </row>
    <row r="12" spans="1:4" x14ac:dyDescent="0.25">
      <c r="A12" s="54"/>
      <c r="B12" s="54"/>
      <c r="C12" s="5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9CCE0-9B01-664C-A320-24D5ECC437A3}">
  <dimension ref="A1:F18"/>
  <sheetViews>
    <sheetView zoomScale="135" workbookViewId="0">
      <selection activeCell="D25" sqref="D25"/>
    </sheetView>
  </sheetViews>
  <sheetFormatPr defaultColWidth="25.875" defaultRowHeight="15.75" x14ac:dyDescent="0.25"/>
  <sheetData>
    <row r="1" spans="1:6" ht="28.5" x14ac:dyDescent="0.45">
      <c r="A1" s="12" t="s">
        <v>88</v>
      </c>
    </row>
    <row r="2" spans="1:6" ht="22.5" x14ac:dyDescent="0.35">
      <c r="A2" s="18" t="s">
        <v>32</v>
      </c>
    </row>
    <row r="4" spans="1:6" ht="16.5" thickBot="1" x14ac:dyDescent="0.3">
      <c r="A4" s="13"/>
      <c r="B4" s="19">
        <v>43830</v>
      </c>
      <c r="C4" s="19">
        <v>43465</v>
      </c>
      <c r="D4" s="19">
        <v>43100</v>
      </c>
      <c r="E4" s="19">
        <v>42735</v>
      </c>
      <c r="F4" s="19">
        <v>42369</v>
      </c>
    </row>
    <row r="5" spans="1:6" ht="17.25" x14ac:dyDescent="0.25">
      <c r="A5" s="14" t="s">
        <v>33</v>
      </c>
    </row>
    <row r="6" spans="1:6" x14ac:dyDescent="0.25">
      <c r="A6" s="1" t="s">
        <v>34</v>
      </c>
      <c r="B6" s="4"/>
      <c r="C6" s="4"/>
      <c r="D6" s="4"/>
      <c r="E6" s="4"/>
      <c r="F6" s="4"/>
    </row>
    <row r="7" spans="1:6" x14ac:dyDescent="0.25">
      <c r="A7" s="20" t="s">
        <v>35</v>
      </c>
      <c r="B7" s="4"/>
      <c r="C7" s="4"/>
      <c r="D7" s="4"/>
      <c r="E7" s="4"/>
      <c r="F7" s="4"/>
    </row>
    <row r="8" spans="1:6" ht="31.5" x14ac:dyDescent="0.25">
      <c r="A8" s="20" t="s">
        <v>36</v>
      </c>
      <c r="B8" s="4"/>
      <c r="C8" s="4"/>
      <c r="D8" s="4"/>
      <c r="E8" s="4"/>
      <c r="F8" s="4"/>
    </row>
    <row r="9" spans="1:6" x14ac:dyDescent="0.25">
      <c r="A9" s="21" t="s">
        <v>37</v>
      </c>
      <c r="B9" s="22"/>
      <c r="C9" s="22"/>
      <c r="D9" s="22"/>
      <c r="E9" s="22"/>
      <c r="F9" s="22"/>
    </row>
    <row r="10" spans="1:6" ht="17.25" x14ac:dyDescent="0.25">
      <c r="A10" s="14" t="s">
        <v>38</v>
      </c>
    </row>
    <row r="11" spans="1:6" x14ac:dyDescent="0.25">
      <c r="A11" s="17" t="s">
        <v>39</v>
      </c>
      <c r="B11" s="16"/>
      <c r="C11" s="16"/>
      <c r="D11" s="16"/>
      <c r="E11" s="16"/>
      <c r="F11" s="16"/>
    </row>
    <row r="12" spans="1:6" x14ac:dyDescent="0.25">
      <c r="A12" s="23" t="s">
        <v>95</v>
      </c>
      <c r="B12" s="23"/>
      <c r="C12" s="23"/>
      <c r="D12" s="23"/>
      <c r="E12" s="23"/>
      <c r="F12" s="23"/>
    </row>
    <row r="13" spans="1:6" x14ac:dyDescent="0.25">
      <c r="A13" s="10"/>
      <c r="B13" s="11"/>
    </row>
    <row r="14" spans="1:6" x14ac:dyDescent="0.25">
      <c r="A14" s="10"/>
      <c r="B14" s="10"/>
    </row>
    <row r="15" spans="1:6" x14ac:dyDescent="0.25">
      <c r="A15" s="10"/>
      <c r="B15" s="10"/>
    </row>
    <row r="16" spans="1:6" x14ac:dyDescent="0.25">
      <c r="A16" s="10"/>
    </row>
    <row r="17" spans="1:1" x14ac:dyDescent="0.25">
      <c r="A17" s="10"/>
    </row>
    <row r="18" spans="1:1" x14ac:dyDescent="0.25">
      <c r="A18" s="1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54340-CE96-0545-8120-5B7537365F42}">
  <dimension ref="A1:F18"/>
  <sheetViews>
    <sheetView zoomScale="135" workbookViewId="0">
      <selection activeCell="B13" sqref="B13"/>
    </sheetView>
  </sheetViews>
  <sheetFormatPr defaultColWidth="25.875" defaultRowHeight="15.75" x14ac:dyDescent="0.25"/>
  <sheetData>
    <row r="1" spans="1:6" ht="28.5" x14ac:dyDescent="0.45">
      <c r="A1" s="5" t="s">
        <v>88</v>
      </c>
      <c r="B1" s="6"/>
      <c r="C1" s="6"/>
      <c r="D1" s="6"/>
      <c r="E1" s="6"/>
      <c r="F1" s="6"/>
    </row>
    <row r="2" spans="1:6" ht="22.5" x14ac:dyDescent="0.35">
      <c r="A2" s="7" t="s">
        <v>41</v>
      </c>
      <c r="B2" s="6"/>
      <c r="C2" s="6"/>
      <c r="D2" s="6"/>
      <c r="E2" s="6"/>
      <c r="F2" s="6"/>
    </row>
    <row r="3" spans="1:6" x14ac:dyDescent="0.25">
      <c r="A3" s="6"/>
      <c r="B3" s="6"/>
      <c r="C3" s="6"/>
      <c r="D3" s="6"/>
      <c r="E3" s="6"/>
      <c r="F3" s="6"/>
    </row>
    <row r="4" spans="1:6" x14ac:dyDescent="0.25">
      <c r="A4" s="8"/>
      <c r="B4" s="36">
        <v>43830</v>
      </c>
      <c r="C4" s="36">
        <v>43465</v>
      </c>
      <c r="D4" s="36">
        <v>43100</v>
      </c>
      <c r="E4" s="36">
        <v>42735</v>
      </c>
      <c r="F4" s="36">
        <v>42369</v>
      </c>
    </row>
    <row r="5" spans="1:6" ht="17.25" x14ac:dyDescent="0.3">
      <c r="A5" s="24" t="s">
        <v>33</v>
      </c>
      <c r="B5" s="10"/>
      <c r="C5" s="10"/>
      <c r="D5" s="10"/>
      <c r="E5" s="10"/>
      <c r="F5" s="10"/>
    </row>
    <row r="6" spans="1:6" x14ac:dyDescent="0.25">
      <c r="A6" s="10" t="s">
        <v>34</v>
      </c>
      <c r="B6" s="25"/>
      <c r="C6" s="25"/>
      <c r="D6" s="25"/>
      <c r="E6" s="25"/>
      <c r="F6" s="25"/>
    </row>
    <row r="7" spans="1:6" x14ac:dyDescent="0.25">
      <c r="A7" s="10" t="s">
        <v>42</v>
      </c>
      <c r="B7" s="10"/>
      <c r="C7" s="10"/>
      <c r="D7" s="10"/>
      <c r="E7" s="10"/>
      <c r="F7" s="10"/>
    </row>
    <row r="8" spans="1:6" ht="17.25" x14ac:dyDescent="0.3">
      <c r="A8" s="24" t="s">
        <v>38</v>
      </c>
      <c r="B8" s="10"/>
      <c r="C8" s="10"/>
      <c r="D8" s="10"/>
      <c r="E8" s="10"/>
      <c r="F8" s="10"/>
    </row>
    <row r="9" spans="1:6" x14ac:dyDescent="0.25">
      <c r="A9" s="26" t="s">
        <v>43</v>
      </c>
      <c r="B9" s="27"/>
      <c r="C9" s="27"/>
      <c r="D9" s="27"/>
      <c r="E9" s="27"/>
      <c r="F9" s="27"/>
    </row>
    <row r="10" spans="1:6" x14ac:dyDescent="0.25">
      <c r="A10" s="9" t="s">
        <v>44</v>
      </c>
    </row>
    <row r="11" spans="1:6" x14ac:dyDescent="0.25">
      <c r="A11" s="9" t="s">
        <v>46</v>
      </c>
      <c r="B11" s="9" t="s">
        <v>45</v>
      </c>
    </row>
    <row r="12" spans="1:6" x14ac:dyDescent="0.25">
      <c r="A12" s="9"/>
    </row>
    <row r="13" spans="1:6" x14ac:dyDescent="0.25">
      <c r="A13" s="9"/>
    </row>
    <row r="14" spans="1:6" x14ac:dyDescent="0.25">
      <c r="A14" s="9"/>
    </row>
    <row r="15" spans="1:6" x14ac:dyDescent="0.25">
      <c r="A15" s="9"/>
    </row>
    <row r="16" spans="1:6" x14ac:dyDescent="0.25">
      <c r="A16" s="10"/>
    </row>
    <row r="17" spans="1:1" x14ac:dyDescent="0.25">
      <c r="A17" s="10"/>
    </row>
    <row r="18" spans="1:1" x14ac:dyDescent="0.25">
      <c r="A18" s="1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4129-4364-B243-B9E0-37EBC6E99B5B}">
  <dimension ref="A1:F18"/>
  <sheetViews>
    <sheetView zoomScale="150" workbookViewId="0">
      <selection activeCell="D14" sqref="D14"/>
    </sheetView>
  </sheetViews>
  <sheetFormatPr defaultColWidth="25.875" defaultRowHeight="15.75" x14ac:dyDescent="0.25"/>
  <cols>
    <col min="1" max="1" width="35.875" customWidth="1"/>
  </cols>
  <sheetData>
    <row r="1" spans="1:6" ht="28.5" x14ac:dyDescent="0.45">
      <c r="A1" s="12" t="s">
        <v>88</v>
      </c>
    </row>
    <row r="2" spans="1:6" ht="22.5" x14ac:dyDescent="0.35">
      <c r="A2" s="18" t="s">
        <v>47</v>
      </c>
    </row>
    <row r="4" spans="1:6" x14ac:dyDescent="0.25">
      <c r="A4" t="s">
        <v>48</v>
      </c>
    </row>
    <row r="5" spans="1:6" ht="16.5" thickBot="1" x14ac:dyDescent="0.3">
      <c r="A5" s="13"/>
      <c r="B5" s="19">
        <v>43830</v>
      </c>
      <c r="C5" s="19">
        <v>43465</v>
      </c>
      <c r="D5" s="19">
        <v>43100</v>
      </c>
      <c r="E5" s="19">
        <v>42735</v>
      </c>
      <c r="F5" s="19">
        <v>42369</v>
      </c>
    </row>
    <row r="6" spans="1:6" x14ac:dyDescent="0.25">
      <c r="A6" s="2" t="s">
        <v>49</v>
      </c>
      <c r="B6" s="4"/>
      <c r="C6" s="4"/>
      <c r="D6" s="4"/>
      <c r="E6" s="4"/>
      <c r="F6" s="4">
        <v>2371362</v>
      </c>
    </row>
    <row r="7" spans="1:6" x14ac:dyDescent="0.25">
      <c r="A7" s="2" t="s">
        <v>50</v>
      </c>
      <c r="B7" s="4"/>
      <c r="C7" s="4"/>
      <c r="D7" s="4"/>
      <c r="E7" s="4"/>
      <c r="F7" s="4">
        <v>393865</v>
      </c>
    </row>
    <row r="8" spans="1:6" x14ac:dyDescent="0.25">
      <c r="A8" s="17" t="s">
        <v>51</v>
      </c>
      <c r="B8" s="22"/>
      <c r="C8" s="22"/>
      <c r="D8" s="22"/>
      <c r="E8" s="22"/>
      <c r="F8" s="22">
        <v>2765227</v>
      </c>
    </row>
    <row r="9" spans="1:6" x14ac:dyDescent="0.25">
      <c r="A9" s="2" t="s">
        <v>52</v>
      </c>
      <c r="B9" s="4"/>
      <c r="C9" s="4"/>
      <c r="D9" s="4"/>
      <c r="E9" s="4"/>
      <c r="F9" s="4">
        <v>2223426</v>
      </c>
    </row>
    <row r="10" spans="1:6" x14ac:dyDescent="0.25">
      <c r="A10" s="1" t="s">
        <v>53</v>
      </c>
      <c r="B10" s="4"/>
      <c r="C10" s="4"/>
      <c r="D10" s="4"/>
      <c r="E10" s="4"/>
      <c r="F10" s="4">
        <v>-180573</v>
      </c>
    </row>
    <row r="11" spans="1:6" x14ac:dyDescent="0.25">
      <c r="A11" s="1" t="s">
        <v>54</v>
      </c>
      <c r="B11" s="4"/>
      <c r="C11" s="4"/>
      <c r="D11" s="4"/>
      <c r="E11" s="4"/>
      <c r="F11" s="4">
        <v>346721</v>
      </c>
    </row>
    <row r="12" spans="1:6" x14ac:dyDescent="0.25">
      <c r="A12" s="15" t="s">
        <v>55</v>
      </c>
      <c r="B12" s="22"/>
      <c r="C12" s="22"/>
      <c r="D12" s="22"/>
      <c r="E12" s="22"/>
      <c r="F12" s="22">
        <v>166148</v>
      </c>
    </row>
    <row r="13" spans="1:6" ht="31.5" x14ac:dyDescent="0.25">
      <c r="A13" s="2" t="s">
        <v>56</v>
      </c>
      <c r="B13" s="4"/>
      <c r="C13" s="4"/>
      <c r="D13" s="4"/>
      <c r="E13" s="4"/>
      <c r="F13" s="4">
        <v>43308</v>
      </c>
    </row>
    <row r="14" spans="1:6" x14ac:dyDescent="0.25">
      <c r="A14" s="17" t="s">
        <v>57</v>
      </c>
      <c r="B14" s="22"/>
      <c r="C14" s="22"/>
      <c r="D14" s="22"/>
      <c r="E14" s="22"/>
      <c r="F14" s="22">
        <v>2432882</v>
      </c>
    </row>
    <row r="15" spans="1:6" x14ac:dyDescent="0.25">
      <c r="A15" s="2" t="s">
        <v>58</v>
      </c>
      <c r="B15" s="4"/>
      <c r="C15" s="4"/>
      <c r="D15" s="4"/>
      <c r="E15" s="4"/>
      <c r="F15" s="4">
        <v>-8845</v>
      </c>
    </row>
    <row r="16" spans="1:6" x14ac:dyDescent="0.25">
      <c r="A16" s="2" t="s">
        <v>59</v>
      </c>
      <c r="B16" s="4"/>
      <c r="C16" s="4"/>
      <c r="D16" s="4"/>
      <c r="E16" s="4"/>
      <c r="F16" s="4">
        <v>-507474</v>
      </c>
    </row>
    <row r="17" spans="1:6" x14ac:dyDescent="0.25">
      <c r="A17" s="28" t="s">
        <v>42</v>
      </c>
      <c r="B17" s="22"/>
      <c r="C17" s="22"/>
      <c r="D17" s="22"/>
      <c r="E17" s="22"/>
      <c r="F17" s="22">
        <v>4681790</v>
      </c>
    </row>
    <row r="18" spans="1:6" x14ac:dyDescent="0.25">
      <c r="A18" s="23" t="s">
        <v>40</v>
      </c>
      <c r="B18" s="23"/>
      <c r="C18" s="23"/>
      <c r="D18" s="23"/>
      <c r="E18" s="23"/>
      <c r="F18"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F325-54C1-6549-9FA1-5733EDFA69A3}">
  <dimension ref="A1:O33"/>
  <sheetViews>
    <sheetView zoomScale="136" workbookViewId="0">
      <selection activeCell="F5" sqref="F5"/>
    </sheetView>
  </sheetViews>
  <sheetFormatPr defaultColWidth="11" defaultRowHeight="15.75" x14ac:dyDescent="0.25"/>
  <cols>
    <col min="1" max="1" width="50.875" style="48" customWidth="1"/>
    <col min="2" max="2" width="10.75" style="48" customWidth="1"/>
    <col min="3" max="3" width="8.875" style="48" customWidth="1"/>
    <col min="4" max="4" width="20.5" style="48" bestFit="1" customWidth="1"/>
    <col min="5" max="7" width="11.5" style="48" bestFit="1" customWidth="1"/>
    <col min="8" max="8" width="7.875" style="48" customWidth="1"/>
    <col min="9" max="11" width="11.5" style="48" bestFit="1" customWidth="1"/>
    <col min="12" max="16384" width="11" style="48"/>
  </cols>
  <sheetData>
    <row r="1" spans="1:15" ht="27" x14ac:dyDescent="0.35">
      <c r="A1" s="62" t="s">
        <v>88</v>
      </c>
      <c r="B1" s="42"/>
      <c r="C1" s="42"/>
    </row>
    <row r="2" spans="1:15" ht="21.75" x14ac:dyDescent="0.3">
      <c r="A2" s="63" t="s">
        <v>0</v>
      </c>
      <c r="B2" s="42"/>
      <c r="C2" s="42"/>
    </row>
    <row r="3" spans="1:15" x14ac:dyDescent="0.25">
      <c r="A3" s="42"/>
      <c r="B3" s="42"/>
      <c r="C3" s="42"/>
    </row>
    <row r="4" spans="1:15" ht="17.25" x14ac:dyDescent="0.25">
      <c r="A4" s="292" t="s">
        <v>1</v>
      </c>
      <c r="B4" s="42" t="s">
        <v>534</v>
      </c>
      <c r="C4" s="42" t="s">
        <v>533</v>
      </c>
    </row>
    <row r="5" spans="1:15" ht="30" customHeight="1" x14ac:dyDescent="0.25">
      <c r="A5" s="44" t="s">
        <v>2</v>
      </c>
      <c r="B5" s="64" t="s">
        <v>3</v>
      </c>
      <c r="C5" s="47">
        <v>1.66E-2</v>
      </c>
      <c r="I5" s="320" t="s">
        <v>510</v>
      </c>
      <c r="J5" s="320"/>
      <c r="K5" s="320"/>
      <c r="L5" s="320"/>
      <c r="M5" s="320"/>
      <c r="N5" s="320"/>
      <c r="O5" s="320"/>
    </row>
    <row r="6" spans="1:15" s="180" customFormat="1" x14ac:dyDescent="0.25">
      <c r="A6" s="44" t="s">
        <v>535</v>
      </c>
      <c r="B6" s="64" t="s">
        <v>450</v>
      </c>
      <c r="C6" s="47">
        <v>4.7600000000000003E-2</v>
      </c>
      <c r="H6" s="319" t="s">
        <v>511</v>
      </c>
    </row>
    <row r="7" spans="1:15" ht="30" x14ac:dyDescent="0.25">
      <c r="A7" s="44" t="s">
        <v>89</v>
      </c>
      <c r="B7" s="64" t="s">
        <v>85</v>
      </c>
      <c r="C7" s="46">
        <f>'Systematic Risk (β) Estimation'!B8</f>
        <v>1.0837510784611193</v>
      </c>
      <c r="H7" s="319"/>
    </row>
    <row r="8" spans="1:15" ht="29.25" x14ac:dyDescent="0.25">
      <c r="A8" s="65" t="s">
        <v>90</v>
      </c>
      <c r="B8" s="65" t="s">
        <v>87</v>
      </c>
      <c r="C8" s="66">
        <f>C5+(C6)*C7</f>
        <v>6.8186551334749282E-2</v>
      </c>
      <c r="D8" s="273"/>
      <c r="H8" s="319"/>
    </row>
    <row r="9" spans="1:15" x14ac:dyDescent="0.25">
      <c r="A9" s="86"/>
      <c r="B9" s="86"/>
      <c r="C9" s="86"/>
      <c r="H9" s="319"/>
    </row>
    <row r="10" spans="1:15" x14ac:dyDescent="0.25">
      <c r="A10" s="230" t="s">
        <v>4</v>
      </c>
      <c r="B10" s="68"/>
      <c r="C10" s="68"/>
      <c r="H10" s="319"/>
    </row>
    <row r="11" spans="1:15" x14ac:dyDescent="0.25">
      <c r="A11" s="230" t="s">
        <v>449</v>
      </c>
      <c r="C11" s="281"/>
      <c r="H11" s="319"/>
    </row>
    <row r="13" spans="1:15" x14ac:dyDescent="0.25">
      <c r="C13" s="274"/>
      <c r="D13" s="274"/>
      <c r="E13" s="274"/>
      <c r="F13" s="274"/>
      <c r="G13" s="274"/>
      <c r="H13" s="274"/>
      <c r="I13" s="274"/>
      <c r="J13" s="274"/>
      <c r="K13" s="274"/>
    </row>
    <row r="14" spans="1:15" ht="15.75" customHeight="1" thickBot="1" x14ac:dyDescent="0.3">
      <c r="B14" s="277"/>
      <c r="C14" s="226"/>
      <c r="D14" s="275"/>
      <c r="E14" s="321" t="s">
        <v>510</v>
      </c>
      <c r="F14" s="322"/>
      <c r="G14" s="322"/>
      <c r="H14" s="322"/>
      <c r="I14" s="322"/>
      <c r="J14" s="322"/>
      <c r="K14" s="323"/>
    </row>
    <row r="15" spans="1:15" ht="15.75" customHeight="1" thickBot="1" x14ac:dyDescent="0.3">
      <c r="B15" s="277"/>
      <c r="C15" s="324" t="s">
        <v>511</v>
      </c>
      <c r="D15" s="278"/>
      <c r="E15" s="289">
        <v>1.7999999999999999E-2</v>
      </c>
      <c r="F15" s="290">
        <v>2.1999999999999999E-2</v>
      </c>
      <c r="G15" s="290">
        <v>2.5999999999999999E-2</v>
      </c>
      <c r="H15" s="290">
        <v>0.03</v>
      </c>
      <c r="I15" s="290">
        <v>3.4000000000000002E-2</v>
      </c>
      <c r="J15" s="290">
        <v>3.7999999999999999E-2</v>
      </c>
      <c r="K15" s="290">
        <v>4.2000000000000003E-2</v>
      </c>
    </row>
    <row r="16" spans="1:15" x14ac:dyDescent="0.25">
      <c r="B16" s="277"/>
      <c r="C16" s="325"/>
      <c r="D16" s="276">
        <v>5.62E-2</v>
      </c>
      <c r="E16" s="279">
        <v>153.50899739725548</v>
      </c>
      <c r="F16" s="279">
        <v>156.76264984993668</v>
      </c>
      <c r="G16" s="279">
        <v>160.77471540505476</v>
      </c>
      <c r="H16" s="279">
        <v>165.84652552702963</v>
      </c>
      <c r="I16" s="279">
        <v>172.46343067260594</v>
      </c>
      <c r="J16" s="279">
        <v>181.46058316507015</v>
      </c>
      <c r="K16" s="282">
        <v>194.40733484764371</v>
      </c>
    </row>
    <row r="17" spans="2:11" x14ac:dyDescent="0.25">
      <c r="B17" s="277"/>
      <c r="C17" s="325"/>
      <c r="D17" s="276">
        <f>D16+0.4%</f>
        <v>6.0200000000000004E-2</v>
      </c>
      <c r="E17" s="279">
        <v>147.11624574594029</v>
      </c>
      <c r="F17" s="279">
        <v>149.67312056640858</v>
      </c>
      <c r="G17" s="279">
        <v>152.76320511399197</v>
      </c>
      <c r="H17" s="279">
        <v>156.57356998796226</v>
      </c>
      <c r="I17" s="279">
        <v>161.39039585776229</v>
      </c>
      <c r="J17" s="279">
        <v>167.67463000373201</v>
      </c>
      <c r="K17" s="282">
        <v>176.21943371266454</v>
      </c>
    </row>
    <row r="18" spans="2:11" x14ac:dyDescent="0.25">
      <c r="B18" s="277"/>
      <c r="C18" s="325"/>
      <c r="D18" s="276">
        <f t="shared" ref="D18:D22" si="0">D17+0.4%</f>
        <v>6.4200000000000007E-2</v>
      </c>
      <c r="E18" s="279">
        <v>141.53325234653772</v>
      </c>
      <c r="F18" s="279">
        <v>143.57667494443996</v>
      </c>
      <c r="G18" s="279">
        <v>146.00554285396493</v>
      </c>
      <c r="H18" s="279">
        <v>148.94092108631455</v>
      </c>
      <c r="I18" s="279">
        <v>152.56051310441043</v>
      </c>
      <c r="J18" s="279">
        <v>157.13616973018841</v>
      </c>
      <c r="K18" s="282">
        <v>163.10575735627833</v>
      </c>
    </row>
    <row r="19" spans="2:11" x14ac:dyDescent="0.25">
      <c r="B19" s="277"/>
      <c r="C19" s="325"/>
      <c r="D19" s="276">
        <f t="shared" si="0"/>
        <v>6.8200000000000011E-2</v>
      </c>
      <c r="E19" s="279">
        <v>136.59215641442123</v>
      </c>
      <c r="F19" s="279">
        <v>138.24854745588925</v>
      </c>
      <c r="G19" s="279">
        <v>140.19009112700391</v>
      </c>
      <c r="H19" s="279">
        <v>142.49785876664893</v>
      </c>
      <c r="I19" s="279">
        <v>145.30925231495553</v>
      </c>
      <c r="J19" s="279">
        <v>148.72599116114134</v>
      </c>
      <c r="K19" s="282">
        <v>153.07349202905502</v>
      </c>
    </row>
    <row r="20" spans="2:11" x14ac:dyDescent="0.25">
      <c r="B20" s="277"/>
      <c r="C20" s="325"/>
      <c r="D20" s="276">
        <f t="shared" si="0"/>
        <v>7.2200000000000014E-2</v>
      </c>
      <c r="E20" s="279">
        <v>132.17064204591316</v>
      </c>
      <c r="F20" s="279">
        <v>133.52966419380155</v>
      </c>
      <c r="G20" s="279">
        <v>135.10381271308097</v>
      </c>
      <c r="H20" s="279">
        <v>136.94895193655384</v>
      </c>
      <c r="I20" s="279">
        <v>139.14212687964937</v>
      </c>
      <c r="J20" s="279">
        <v>141.79265260227169</v>
      </c>
      <c r="K20" s="282">
        <v>145.06098557895766</v>
      </c>
    </row>
    <row r="21" spans="2:11" x14ac:dyDescent="0.25">
      <c r="B21" s="277"/>
      <c r="C21" s="325"/>
      <c r="D21" s="276">
        <f t="shared" si="0"/>
        <v>7.6200000000000018E-2</v>
      </c>
      <c r="E21" s="279">
        <v>128.17732575470265</v>
      </c>
      <c r="F21" s="279">
        <v>129.30410346767172</v>
      </c>
      <c r="G21" s="279">
        <v>130.59592510348529</v>
      </c>
      <c r="H21" s="279">
        <v>132.09223244002828</v>
      </c>
      <c r="I21" s="279">
        <v>133.84612665355789</v>
      </c>
      <c r="J21" s="279">
        <v>135.93084196655602</v>
      </c>
      <c r="K21" s="282">
        <v>138.45028650888852</v>
      </c>
    </row>
    <row r="22" spans="2:11" x14ac:dyDescent="0.25">
      <c r="B22" s="277"/>
      <c r="C22" s="326"/>
      <c r="D22" s="280">
        <f t="shared" si="0"/>
        <v>8.0200000000000021E-2</v>
      </c>
      <c r="E22" s="283">
        <v>124.54243980773079</v>
      </c>
      <c r="F22" s="283">
        <v>125.48525135738227</v>
      </c>
      <c r="G22" s="283">
        <v>126.55654071125655</v>
      </c>
      <c r="H22" s="283">
        <v>127.78474359114493</v>
      </c>
      <c r="I22" s="283">
        <v>129.20735881776295</v>
      </c>
      <c r="J22" s="283">
        <v>130.87487172962821</v>
      </c>
      <c r="K22" s="284">
        <v>132.85690893020734</v>
      </c>
    </row>
    <row r="26" spans="2:11" x14ac:dyDescent="0.25">
      <c r="G26" s="48">
        <f>K16/I19</f>
        <v>1.3378868293002353</v>
      </c>
    </row>
    <row r="33" spans="1:1" x14ac:dyDescent="0.25">
      <c r="A33" s="42"/>
    </row>
  </sheetData>
  <mergeCells count="4">
    <mergeCell ref="H6:H11"/>
    <mergeCell ref="I5:O5"/>
    <mergeCell ref="E14:K14"/>
    <mergeCell ref="C15:C22"/>
  </mergeCells>
  <hyperlinks>
    <hyperlink ref="A10" r:id="rId1" xr:uid="{49EB9292-2EBC-9840-9FFA-4A7EFAE1BC01}"/>
    <hyperlink ref="A11" r:id="rId2" xr:uid="{203DDB46-CF19-48ED-9C99-6CDF96134CDE}"/>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B93C-2F21-4EED-83B4-F7E62361DDD0}">
  <dimension ref="A1:E9"/>
  <sheetViews>
    <sheetView zoomScale="160" zoomScaleNormal="160" workbookViewId="0">
      <selection activeCell="G3" sqref="G3"/>
    </sheetView>
  </sheetViews>
  <sheetFormatPr defaultRowHeight="15.75" x14ac:dyDescent="0.25"/>
  <cols>
    <col min="3" max="3" width="20.875" customWidth="1"/>
    <col min="4" max="4" width="15.375" customWidth="1"/>
  </cols>
  <sheetData>
    <row r="1" spans="1:5" ht="27" x14ac:dyDescent="0.35">
      <c r="A1" s="62" t="s">
        <v>88</v>
      </c>
      <c r="B1" s="96"/>
    </row>
    <row r="2" spans="1:5" ht="22.5" x14ac:dyDescent="0.35">
      <c r="A2" s="18" t="s">
        <v>63</v>
      </c>
      <c r="B2" s="37"/>
      <c r="E2" t="s">
        <v>478</v>
      </c>
    </row>
    <row r="4" spans="1:5" x14ac:dyDescent="0.25">
      <c r="A4" s="235" t="s">
        <v>142</v>
      </c>
      <c r="B4" s="236" t="s">
        <v>15</v>
      </c>
      <c r="C4" s="236" t="s">
        <v>146</v>
      </c>
      <c r="D4" s="236" t="s">
        <v>147</v>
      </c>
    </row>
    <row r="5" spans="1:5" x14ac:dyDescent="0.25">
      <c r="A5" s="97" t="s">
        <v>143</v>
      </c>
      <c r="B5" s="98">
        <v>0.3</v>
      </c>
      <c r="C5" s="105">
        <f>'DDM Model'!D27</f>
        <v>157.72741698453862</v>
      </c>
      <c r="D5" s="105">
        <f>C5*B5</f>
        <v>47.318225095361583</v>
      </c>
    </row>
    <row r="6" spans="1:5" x14ac:dyDescent="0.25">
      <c r="A6" s="97" t="s">
        <v>145</v>
      </c>
      <c r="B6" s="98">
        <v>0.3</v>
      </c>
      <c r="C6" s="105">
        <f>'FCFE Final'!C44</f>
        <v>161.82492707364997</v>
      </c>
      <c r="D6" s="105">
        <f t="shared" ref="D6:D8" si="0">C6*B6</f>
        <v>48.547478122094994</v>
      </c>
    </row>
    <row r="7" spans="1:5" s="37" customFormat="1" x14ac:dyDescent="0.25">
      <c r="A7" s="97" t="s">
        <v>477</v>
      </c>
      <c r="B7" s="98">
        <v>0.3</v>
      </c>
      <c r="C7" s="105">
        <f>'ER Model'!D35</f>
        <v>152.63821089033533</v>
      </c>
      <c r="D7" s="105">
        <f t="shared" si="0"/>
        <v>45.791463267100596</v>
      </c>
    </row>
    <row r="8" spans="1:5" x14ac:dyDescent="0.25">
      <c r="A8" s="97" t="s">
        <v>173</v>
      </c>
      <c r="B8" s="98">
        <v>0.1</v>
      </c>
      <c r="C8" s="105">
        <f>' PE'!D22</f>
        <v>135.25862057891544</v>
      </c>
      <c r="D8" s="105">
        <f t="shared" si="0"/>
        <v>13.525862057891544</v>
      </c>
    </row>
    <row r="9" spans="1:5" x14ac:dyDescent="0.25">
      <c r="A9" s="97" t="s">
        <v>177</v>
      </c>
      <c r="B9" s="98">
        <f>SUM(B5:B8)</f>
        <v>0.99999999999999989</v>
      </c>
      <c r="D9" s="106">
        <f>SUM(D5:D8)</f>
        <v>155.18302854244871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9A34-7670-4A62-9340-1A0E284F6E35}">
  <dimension ref="A1:U33"/>
  <sheetViews>
    <sheetView zoomScale="115" zoomScaleNormal="115" workbookViewId="0">
      <selection activeCell="F28" sqref="F28"/>
    </sheetView>
  </sheetViews>
  <sheetFormatPr defaultRowHeight="15.75" x14ac:dyDescent="0.25"/>
  <cols>
    <col min="1" max="1" width="8" style="48" customWidth="1"/>
    <col min="2" max="2" width="13" style="48" customWidth="1"/>
    <col min="3" max="3" width="19.875" style="48" customWidth="1"/>
    <col min="4" max="4" width="27.125" style="48" customWidth="1"/>
    <col min="5" max="5" width="9" style="48"/>
    <col min="6" max="6" width="20.625" style="48" customWidth="1"/>
    <col min="7" max="16384" width="9" style="48"/>
  </cols>
  <sheetData>
    <row r="1" spans="1:11" ht="27" x14ac:dyDescent="0.35">
      <c r="A1" s="62" t="s">
        <v>88</v>
      </c>
    </row>
    <row r="2" spans="1:11" ht="21.75" x14ac:dyDescent="0.3">
      <c r="A2" s="63" t="s">
        <v>98</v>
      </c>
    </row>
    <row r="4" spans="1:11" ht="16.5" thickBot="1" x14ac:dyDescent="0.3">
      <c r="A4" s="224" t="s">
        <v>61</v>
      </c>
      <c r="B4" s="224" t="s">
        <v>14</v>
      </c>
      <c r="C4" s="224" t="s">
        <v>99</v>
      </c>
      <c r="D4" s="224" t="s">
        <v>103</v>
      </c>
      <c r="F4" s="223" t="s">
        <v>454</v>
      </c>
      <c r="I4" s="71">
        <f>Growth!R29</f>
        <v>0.15715795381959241</v>
      </c>
    </row>
    <row r="5" spans="1:11" x14ac:dyDescent="0.25">
      <c r="A5" s="187">
        <v>0</v>
      </c>
      <c r="B5" s="187" t="s">
        <v>100</v>
      </c>
      <c r="C5" s="37">
        <v>0.79</v>
      </c>
      <c r="D5" s="50">
        <f>C5/(1+CAPM!$C$8)^A5</f>
        <v>0.79</v>
      </c>
      <c r="F5" s="222" t="s">
        <v>421</v>
      </c>
      <c r="G5" s="220"/>
      <c r="H5" s="71"/>
      <c r="I5" s="71">
        <v>0.03</v>
      </c>
      <c r="J5" s="71"/>
      <c r="K5" s="220"/>
    </row>
    <row r="6" spans="1:11" x14ac:dyDescent="0.25">
      <c r="A6" s="187">
        <v>1</v>
      </c>
      <c r="B6" s="187" t="s">
        <v>101</v>
      </c>
      <c r="C6" s="221">
        <v>0.99245313375579058</v>
      </c>
      <c r="D6" s="50">
        <f>C6/(1+CAPM!$C$8)^A6</f>
        <v>0.92910094450793612</v>
      </c>
      <c r="F6" s="48">
        <f>A6</f>
        <v>1</v>
      </c>
      <c r="I6" s="48" t="s">
        <v>453</v>
      </c>
    </row>
    <row r="7" spans="1:11" x14ac:dyDescent="0.25">
      <c r="A7" s="187">
        <v>2</v>
      </c>
      <c r="B7" s="187" t="s">
        <v>107</v>
      </c>
      <c r="C7" s="221">
        <v>1.0736928606859004</v>
      </c>
      <c r="D7" s="50">
        <f>C7/(1+CAPM!$C$8)^A7</f>
        <v>0.94099183209116166</v>
      </c>
      <c r="F7" s="182">
        <f t="shared" ref="F7:F14" si="0">A7</f>
        <v>2</v>
      </c>
      <c r="I7" s="182" t="s">
        <v>453</v>
      </c>
    </row>
    <row r="8" spans="1:11" x14ac:dyDescent="0.25">
      <c r="A8" s="187">
        <v>3</v>
      </c>
      <c r="B8" s="187" t="s">
        <v>108</v>
      </c>
      <c r="C8" s="221">
        <v>1.2743409644254411</v>
      </c>
      <c r="D8" s="50">
        <f>C8/(1+CAPM!$C$8)^A8</f>
        <v>1.0455488447961585</v>
      </c>
      <c r="F8" s="182">
        <f t="shared" si="0"/>
        <v>3</v>
      </c>
      <c r="I8" s="182" t="s">
        <v>453</v>
      </c>
    </row>
    <row r="9" spans="1:11" x14ac:dyDescent="0.25">
      <c r="A9" s="187">
        <v>4</v>
      </c>
      <c r="B9" s="187" t="s">
        <v>106</v>
      </c>
      <c r="C9" s="221">
        <v>1.472989658828374</v>
      </c>
      <c r="D9" s="50">
        <f>C9/(1+CAPM!$C$8)^A9</f>
        <v>1.1313872353578334</v>
      </c>
      <c r="F9" s="182">
        <f t="shared" si="0"/>
        <v>4</v>
      </c>
      <c r="I9" s="182" t="s">
        <v>453</v>
      </c>
    </row>
    <row r="10" spans="1:11" ht="15" customHeight="1" x14ac:dyDescent="0.25">
      <c r="A10" s="187">
        <v>5</v>
      </c>
      <c r="B10" s="187" t="s">
        <v>109</v>
      </c>
      <c r="C10" s="221">
        <v>1.7505991023545935</v>
      </c>
      <c r="D10" s="50">
        <f>C10/(1+CAPM!$C$8)^A10</f>
        <v>1.2587838789659416</v>
      </c>
      <c r="F10" s="182">
        <f t="shared" si="0"/>
        <v>5</v>
      </c>
      <c r="I10" s="182" t="s">
        <v>453</v>
      </c>
    </row>
    <row r="11" spans="1:11" s="182" customFormat="1" ht="15" customHeight="1" x14ac:dyDescent="0.25">
      <c r="A11" s="187">
        <v>6</v>
      </c>
      <c r="B11" s="187" t="s">
        <v>401</v>
      </c>
      <c r="C11" s="221">
        <v>2.7393224258310149</v>
      </c>
      <c r="D11" s="50">
        <f>C11/(1+CAPM!$C$8)^A11</f>
        <v>1.8439983070780464</v>
      </c>
      <c r="F11" s="182">
        <f t="shared" si="0"/>
        <v>6</v>
      </c>
      <c r="I11" s="182" t="s">
        <v>453</v>
      </c>
    </row>
    <row r="12" spans="1:11" s="182" customFormat="1" ht="15" customHeight="1" x14ac:dyDescent="0.25">
      <c r="A12" s="187">
        <v>7</v>
      </c>
      <c r="B12" s="187" t="s">
        <v>402</v>
      </c>
      <c r="C12" s="221">
        <v>3.7967322994691131</v>
      </c>
      <c r="D12" s="50">
        <f>C12/(1+CAPM!$C$8)^A12</f>
        <v>2.3926558513759946</v>
      </c>
      <c r="F12" s="182">
        <f t="shared" si="0"/>
        <v>7</v>
      </c>
      <c r="I12" s="182" t="s">
        <v>453</v>
      </c>
    </row>
    <row r="13" spans="1:11" s="182" customFormat="1" ht="15" customHeight="1" x14ac:dyDescent="0.25">
      <c r="A13" s="187">
        <v>8</v>
      </c>
      <c r="B13" s="187" t="s">
        <v>403</v>
      </c>
      <c r="C13" s="221">
        <v>5.0121849938727649</v>
      </c>
      <c r="D13" s="50">
        <f>C13/(1+CAPM!$C$8)^A13</f>
        <v>2.956992652225706</v>
      </c>
      <c r="F13" s="182">
        <f t="shared" si="0"/>
        <v>8</v>
      </c>
      <c r="I13" s="182" t="s">
        <v>453</v>
      </c>
    </row>
    <row r="14" spans="1:11" s="182" customFormat="1" ht="15" customHeight="1" x14ac:dyDescent="0.25">
      <c r="A14" s="187">
        <v>9</v>
      </c>
      <c r="B14" s="187" t="s">
        <v>404</v>
      </c>
      <c r="C14" s="221">
        <v>6.0910463113977764</v>
      </c>
      <c r="D14" s="50">
        <f>C14/(1+CAPM!$C$8)^A14</f>
        <v>3.3640926579335804</v>
      </c>
      <c r="F14" s="182">
        <f t="shared" si="0"/>
        <v>9</v>
      </c>
      <c r="I14" s="182" t="s">
        <v>453</v>
      </c>
    </row>
    <row r="15" spans="1:11" s="182" customFormat="1" ht="15" customHeight="1" x14ac:dyDescent="0.25">
      <c r="A15" s="187">
        <v>10</v>
      </c>
      <c r="B15" s="187" t="s">
        <v>405</v>
      </c>
      <c r="C15" s="221">
        <v>7.3084548940068137</v>
      </c>
      <c r="D15" s="50">
        <f>C15/(1+CAPM!$C$8)^A15</f>
        <v>3.7788052733595987</v>
      </c>
      <c r="F15" s="182">
        <v>10</v>
      </c>
      <c r="I15" s="71">
        <f>I4</f>
        <v>0.15715795381959241</v>
      </c>
    </row>
    <row r="16" spans="1:11" s="182" customFormat="1" ht="15" customHeight="1" x14ac:dyDescent="0.25">
      <c r="A16" s="187">
        <v>11</v>
      </c>
      <c r="B16" s="187" t="s">
        <v>453</v>
      </c>
      <c r="C16" s="221">
        <v>8.2271630347639544</v>
      </c>
      <c r="D16" s="50">
        <f>C16/(1+CAPM!$C$8)^A16</f>
        <v>3.9822813477122603</v>
      </c>
      <c r="F16" s="182">
        <v>11</v>
      </c>
      <c r="I16" s="72">
        <f>I15-($I$15-$I$5)/10</f>
        <v>0.14444215843763317</v>
      </c>
    </row>
    <row r="17" spans="1:21" s="182" customFormat="1" ht="15" customHeight="1" x14ac:dyDescent="0.25">
      <c r="A17" s="187">
        <v>12</v>
      </c>
      <c r="B17" s="187" t="s">
        <v>453</v>
      </c>
      <c r="C17" s="221">
        <v>9.0989825916790839</v>
      </c>
      <c r="D17" s="50">
        <f>C17/(1+CAPM!$C$8)^A17</f>
        <v>4.1231350907010027</v>
      </c>
      <c r="F17" s="182">
        <v>12</v>
      </c>
      <c r="I17" s="72">
        <f t="shared" ref="I17:I25" si="1">I16-($I$15-$I$5)/10</f>
        <v>0.13172636305567392</v>
      </c>
    </row>
    <row r="18" spans="1:21" s="182" customFormat="1" ht="15" customHeight="1" x14ac:dyDescent="0.25">
      <c r="A18" s="187">
        <v>13</v>
      </c>
      <c r="B18" s="187" t="s">
        <v>453</v>
      </c>
      <c r="C18" s="221">
        <v>9.9501200320718119</v>
      </c>
      <c r="D18" s="50">
        <f>C18/(1+CAPM!$C$8)^A18</f>
        <v>4.2210057539791483</v>
      </c>
      <c r="F18" s="182">
        <v>13</v>
      </c>
      <c r="I18" s="72">
        <f t="shared" si="1"/>
        <v>0.11901056767371468</v>
      </c>
    </row>
    <row r="19" spans="1:21" s="182" customFormat="1" ht="15" customHeight="1" x14ac:dyDescent="0.25">
      <c r="A19" s="187">
        <v>14</v>
      </c>
      <c r="B19" s="187" t="s">
        <v>453</v>
      </c>
      <c r="C19" s="221">
        <v>10.757230580315644</v>
      </c>
      <c r="D19" s="50">
        <f>C19/(1+CAPM!$C$8)^A19</f>
        <v>4.272095930858903</v>
      </c>
      <c r="F19" s="182">
        <v>14</v>
      </c>
      <c r="I19" s="72">
        <f t="shared" si="1"/>
        <v>0.10629477229175543</v>
      </c>
    </row>
    <row r="20" spans="1:21" s="182" customFormat="1" ht="15" customHeight="1" x14ac:dyDescent="0.25">
      <c r="A20" s="187">
        <v>15</v>
      </c>
      <c r="B20" s="187" t="s">
        <v>453</v>
      </c>
      <c r="C20" s="221">
        <v>11.496136936968702</v>
      </c>
      <c r="D20" s="50">
        <f>C20/(1+CAPM!$C$8)^A20</f>
        <v>4.2741065146771486</v>
      </c>
      <c r="F20" s="182">
        <v>15</v>
      </c>
      <c r="I20" s="72">
        <f t="shared" si="1"/>
        <v>9.3578976909796191E-2</v>
      </c>
    </row>
    <row r="21" spans="1:21" s="182" customFormat="1" ht="15" customHeight="1" x14ac:dyDescent="0.25">
      <c r="A21" s="187">
        <v>16</v>
      </c>
      <c r="B21" s="187" t="s">
        <v>453</v>
      </c>
      <c r="C21" s="221">
        <v>12.142942803321118</v>
      </c>
      <c r="D21" s="50">
        <f>C21/(1+CAPM!$C$8)^A21</f>
        <v>4.2263966773452291</v>
      </c>
      <c r="F21" s="182">
        <v>16</v>
      </c>
      <c r="I21" s="72">
        <f t="shared" si="1"/>
        <v>8.0863181527836947E-2</v>
      </c>
    </row>
    <row r="22" spans="1:21" s="182" customFormat="1" ht="15" customHeight="1" x14ac:dyDescent="0.25">
      <c r="A22" s="187">
        <v>17</v>
      </c>
      <c r="B22" s="187" t="s">
        <v>453</v>
      </c>
      <c r="C22" s="221">
        <v>12.675246945274035</v>
      </c>
      <c r="D22" s="50">
        <f>C22/(1+CAPM!$C$8)^A22</f>
        <v>4.1300530512535216</v>
      </c>
      <c r="F22" s="182">
        <v>17</v>
      </c>
      <c r="I22" s="72">
        <f t="shared" si="1"/>
        <v>6.8147386145877703E-2</v>
      </c>
    </row>
    <row r="23" spans="1:21" s="182" customFormat="1" ht="15" customHeight="1" x14ac:dyDescent="0.25">
      <c r="A23" s="187">
        <v>18</v>
      </c>
      <c r="B23" s="187" t="s">
        <v>453</v>
      </c>
      <c r="C23" s="221">
        <v>13.073377931989459</v>
      </c>
      <c r="D23" s="50">
        <f>C23/(1+CAPM!$C$8)^A23</f>
        <v>3.9878600742179242</v>
      </c>
      <c r="F23" s="182">
        <v>18</v>
      </c>
      <c r="I23" s="72">
        <f t="shared" si="1"/>
        <v>5.5431590763918459E-2</v>
      </c>
    </row>
    <row r="24" spans="1:21" s="182" customFormat="1" ht="15" customHeight="1" x14ac:dyDescent="0.25">
      <c r="A24" s="187">
        <v>19</v>
      </c>
      <c r="B24" s="187" t="s">
        <v>453</v>
      </c>
      <c r="C24" s="221">
        <v>13.321559423239314</v>
      </c>
      <c r="D24" s="50">
        <f>C24/(1+CAPM!$C$8)^A24</f>
        <v>3.8041712212720507</v>
      </c>
      <c r="F24" s="182">
        <v>19</v>
      </c>
      <c r="I24" s="72">
        <f t="shared" si="1"/>
        <v>4.2715795381959215E-2</v>
      </c>
    </row>
    <row r="25" spans="1:21" s="182" customFormat="1" ht="15" customHeight="1" x14ac:dyDescent="0.25">
      <c r="A25" s="187">
        <v>20</v>
      </c>
      <c r="B25" s="187" t="s">
        <v>453</v>
      </c>
      <c r="C25" s="221">
        <v>13.408913490005471</v>
      </c>
      <c r="D25" s="50">
        <f>C25/(1+CAPM!$C$8)^A25</f>
        <v>3.5846889115475196</v>
      </c>
      <c r="F25" s="182">
        <v>20</v>
      </c>
      <c r="I25" s="72">
        <f t="shared" si="1"/>
        <v>2.9999999999999975E-2</v>
      </c>
    </row>
    <row r="26" spans="1:21" x14ac:dyDescent="0.25">
      <c r="A26" s="187">
        <v>20</v>
      </c>
      <c r="B26" s="187" t="s">
        <v>452</v>
      </c>
      <c r="C26" s="75">
        <f>C25*(1+I5)/(CAPM!C8-I5)</f>
        <v>361.67656968115983</v>
      </c>
      <c r="D26" s="50">
        <f>C26/(1+CAPM!$C$8)^A26</f>
        <v>96.689264933281962</v>
      </c>
      <c r="I26" s="220"/>
    </row>
    <row r="27" spans="1:21" x14ac:dyDescent="0.25">
      <c r="A27" s="186" t="s">
        <v>102</v>
      </c>
      <c r="B27" s="186"/>
      <c r="C27" s="186" t="s">
        <v>464</v>
      </c>
      <c r="D27" s="77">
        <f>SUM(D5:D26)</f>
        <v>157.72741698453862</v>
      </c>
      <c r="F27" s="285"/>
    </row>
    <row r="28" spans="1:21" ht="45.75" x14ac:dyDescent="0.25">
      <c r="A28" s="184" t="s">
        <v>529</v>
      </c>
      <c r="B28" s="185"/>
      <c r="C28" s="185"/>
      <c r="D28" s="79">
        <f>Data!E1</f>
        <v>144.87</v>
      </c>
    </row>
    <row r="29" spans="1:21" x14ac:dyDescent="0.25">
      <c r="A29" s="86" t="s">
        <v>94</v>
      </c>
      <c r="B29" s="86"/>
      <c r="C29" s="86"/>
      <c r="D29" s="86"/>
    </row>
    <row r="31" spans="1:21" x14ac:dyDescent="0.25">
      <c r="A31" s="232">
        <f>A30/(1+$B$36)</f>
        <v>0</v>
      </c>
      <c r="B31" s="232">
        <f>B30/(1+$B$36)^B32</f>
        <v>0</v>
      </c>
      <c r="C31" s="232">
        <f t="shared" ref="C31:T31" si="2">C30/(1+$B$36)^C32</f>
        <v>0</v>
      </c>
      <c r="D31" s="232">
        <f t="shared" si="2"/>
        <v>0</v>
      </c>
      <c r="E31" s="232">
        <f t="shared" si="2"/>
        <v>0</v>
      </c>
      <c r="F31" s="232">
        <f t="shared" si="2"/>
        <v>0</v>
      </c>
      <c r="G31" s="232">
        <f t="shared" si="2"/>
        <v>0</v>
      </c>
      <c r="H31" s="232">
        <f t="shared" si="2"/>
        <v>0</v>
      </c>
      <c r="I31" s="232">
        <f t="shared" si="2"/>
        <v>0</v>
      </c>
      <c r="J31" s="232">
        <f t="shared" si="2"/>
        <v>0</v>
      </c>
      <c r="K31" s="232">
        <f t="shared" si="2"/>
        <v>0</v>
      </c>
      <c r="L31" s="232">
        <f t="shared" si="2"/>
        <v>0</v>
      </c>
      <c r="M31" s="232">
        <f t="shared" si="2"/>
        <v>0</v>
      </c>
      <c r="N31" s="232">
        <f t="shared" si="2"/>
        <v>0</v>
      </c>
      <c r="O31" s="232">
        <f t="shared" si="2"/>
        <v>0</v>
      </c>
      <c r="P31" s="232">
        <f t="shared" si="2"/>
        <v>0</v>
      </c>
      <c r="Q31" s="232">
        <f t="shared" si="2"/>
        <v>0</v>
      </c>
      <c r="R31" s="232">
        <f t="shared" si="2"/>
        <v>0</v>
      </c>
      <c r="S31" s="232">
        <f t="shared" si="2"/>
        <v>0</v>
      </c>
      <c r="T31" s="232">
        <f t="shared" si="2"/>
        <v>0</v>
      </c>
    </row>
    <row r="32" spans="1:21" x14ac:dyDescent="0.25">
      <c r="A32" s="37">
        <v>0.79</v>
      </c>
      <c r="B32" s="221">
        <v>0.99245313375579058</v>
      </c>
      <c r="C32" s="221">
        <v>1.0736928606859004</v>
      </c>
      <c r="D32" s="221">
        <v>1.2743409644254411</v>
      </c>
      <c r="E32" s="221">
        <v>1.472989658828374</v>
      </c>
      <c r="F32" s="221">
        <v>1.7505991023545935</v>
      </c>
      <c r="G32" s="221">
        <v>2.7393224258310149</v>
      </c>
      <c r="H32" s="221">
        <v>3.7967322994691131</v>
      </c>
      <c r="I32" s="221">
        <v>5.0121849938727649</v>
      </c>
      <c r="J32" s="221">
        <v>6.0910463113977764</v>
      </c>
      <c r="K32" s="221">
        <v>7.3084548940068137</v>
      </c>
      <c r="L32" s="37">
        <v>8.0946340567737547</v>
      </c>
      <c r="M32" s="37">
        <v>8.8657698639169027</v>
      </c>
      <c r="N32" s="37">
        <v>9.6012646961275898</v>
      </c>
      <c r="O32" s="37">
        <v>10.279621030661417</v>
      </c>
      <c r="P32" s="37">
        <v>10.879402842490402</v>
      </c>
      <c r="Q32" s="37">
        <v>11.380296640524556</v>
      </c>
      <c r="R32" s="37">
        <v>11.764204513297459</v>
      </c>
      <c r="S32" s="37">
        <v>12.016291526556538</v>
      </c>
      <c r="T32" s="37">
        <v>12.125906349404888</v>
      </c>
      <c r="U32" s="37">
        <v>12.08729817619167</v>
      </c>
    </row>
    <row r="33" spans="1:10" x14ac:dyDescent="0.25">
      <c r="A33" s="221">
        <v>8.2271630347639544</v>
      </c>
      <c r="B33" s="221">
        <v>9.0989825916790839</v>
      </c>
      <c r="C33" s="221">
        <v>9.9501200320718119</v>
      </c>
      <c r="D33" s="221">
        <v>10.757230580315644</v>
      </c>
      <c r="E33" s="221">
        <v>11.496136936968702</v>
      </c>
      <c r="F33" s="221">
        <v>12.142942803321118</v>
      </c>
      <c r="G33" s="221">
        <v>12.675246945274035</v>
      </c>
      <c r="H33" s="221">
        <v>13.073377931989459</v>
      </c>
      <c r="I33" s="221">
        <v>13.321559423239314</v>
      </c>
      <c r="J33" s="221">
        <v>13.408913490005471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9ACE-A502-4D7F-805E-39919CD908DF}">
  <dimension ref="A1:Y43"/>
  <sheetViews>
    <sheetView topLeftCell="A4" zoomScale="85" zoomScaleNormal="85" workbookViewId="0">
      <selection activeCell="K45" sqref="K45"/>
    </sheetView>
  </sheetViews>
  <sheetFormatPr defaultRowHeight="15.75" x14ac:dyDescent="0.25"/>
  <cols>
    <col min="1" max="1" width="8" style="226" customWidth="1"/>
    <col min="2" max="2" width="15" style="226" customWidth="1"/>
    <col min="3" max="3" width="19.875" style="226" customWidth="1"/>
    <col min="4" max="4" width="27.125" style="226" customWidth="1"/>
    <col min="5" max="5" width="9" style="226"/>
    <col min="6" max="6" width="20.625" style="226" customWidth="1"/>
    <col min="7" max="16384" width="9" style="226"/>
  </cols>
  <sheetData>
    <row r="1" spans="1:12" ht="27" x14ac:dyDescent="0.35">
      <c r="A1" s="62" t="s">
        <v>88</v>
      </c>
    </row>
    <row r="2" spans="1:12" ht="21.75" x14ac:dyDescent="0.3">
      <c r="A2" s="63" t="s">
        <v>98</v>
      </c>
    </row>
    <row r="4" spans="1:12" ht="16.5" thickBot="1" x14ac:dyDescent="0.3">
      <c r="A4" s="224" t="s">
        <v>61</v>
      </c>
      <c r="B4" s="224" t="s">
        <v>14</v>
      </c>
      <c r="C4" s="224" t="s">
        <v>523</v>
      </c>
      <c r="D4" s="224" t="s">
        <v>103</v>
      </c>
      <c r="F4" s="223" t="s">
        <v>454</v>
      </c>
      <c r="I4" s="71">
        <f>Growth!R29</f>
        <v>0.15715795381959241</v>
      </c>
    </row>
    <row r="5" spans="1:12" x14ac:dyDescent="0.25">
      <c r="A5" s="227">
        <v>0</v>
      </c>
      <c r="B5" s="227" t="s">
        <v>512</v>
      </c>
      <c r="C5" s="50">
        <v>0</v>
      </c>
      <c r="D5" s="50">
        <f>C5/(1+CAPM!$C$8)^A5</f>
        <v>0</v>
      </c>
      <c r="F5" s="222" t="s">
        <v>421</v>
      </c>
      <c r="G5" s="220"/>
      <c r="H5" s="71"/>
      <c r="I5" s="71">
        <v>0.03</v>
      </c>
      <c r="J5" s="71"/>
      <c r="K5" s="220"/>
    </row>
    <row r="6" spans="1:12" x14ac:dyDescent="0.25">
      <c r="A6" s="227">
        <v>1</v>
      </c>
      <c r="B6" s="227" t="s">
        <v>513</v>
      </c>
      <c r="C6" s="232">
        <v>298.34989822585544</v>
      </c>
      <c r="D6" s="50">
        <f>C6/(1+CAPM!$C$8)^A6</f>
        <v>279.3050500898492</v>
      </c>
      <c r="F6" s="226">
        <f>A6</f>
        <v>1</v>
      </c>
      <c r="I6" s="226" t="s">
        <v>453</v>
      </c>
    </row>
    <row r="7" spans="1:12" x14ac:dyDescent="0.25">
      <c r="A7" s="227">
        <v>2</v>
      </c>
      <c r="B7" s="227" t="s">
        <v>514</v>
      </c>
      <c r="C7" s="232">
        <v>341.75846453098541</v>
      </c>
      <c r="D7" s="50">
        <f>C7/(1+CAPM!$C$8)^A7</f>
        <v>299.51947660919876</v>
      </c>
      <c r="F7" s="226">
        <f t="shared" ref="F7:F14" si="0">A7</f>
        <v>2</v>
      </c>
      <c r="I7" s="226" t="s">
        <v>453</v>
      </c>
    </row>
    <row r="8" spans="1:12" x14ac:dyDescent="0.25">
      <c r="A8" s="227">
        <v>3</v>
      </c>
      <c r="B8" s="227" t="s">
        <v>515</v>
      </c>
      <c r="C8" s="232">
        <v>508.09501699490727</v>
      </c>
      <c r="D8" s="50">
        <f>C8/(1+CAPM!$C$8)^A8</f>
        <v>416.87285655548851</v>
      </c>
      <c r="F8" s="226">
        <f t="shared" si="0"/>
        <v>3</v>
      </c>
      <c r="I8" s="226" t="s">
        <v>453</v>
      </c>
    </row>
    <row r="9" spans="1:12" x14ac:dyDescent="0.25">
      <c r="A9" s="227">
        <v>4</v>
      </c>
      <c r="B9" s="227" t="s">
        <v>516</v>
      </c>
      <c r="C9" s="232">
        <v>669.44860948272708</v>
      </c>
      <c r="D9" s="50">
        <f>C9/(1+CAPM!$C$8)^A9</f>
        <v>514.19614995753193</v>
      </c>
      <c r="F9" s="226">
        <f t="shared" si="0"/>
        <v>4</v>
      </c>
      <c r="I9" s="226" t="s">
        <v>453</v>
      </c>
    </row>
    <row r="10" spans="1:12" ht="15" customHeight="1" x14ac:dyDescent="0.25">
      <c r="A10" s="227">
        <v>5</v>
      </c>
      <c r="B10" s="227" t="s">
        <v>517</v>
      </c>
      <c r="C10" s="232">
        <v>915.70306063315502</v>
      </c>
      <c r="D10" s="50">
        <f>C10/(1+CAPM!$C$8)^A10</f>
        <v>658.44444287353895</v>
      </c>
      <c r="F10" s="226">
        <f t="shared" si="0"/>
        <v>5</v>
      </c>
      <c r="I10" s="226" t="s">
        <v>453</v>
      </c>
    </row>
    <row r="11" spans="1:12" ht="15" customHeight="1" x14ac:dyDescent="0.25">
      <c r="A11" s="227">
        <v>6</v>
      </c>
      <c r="B11" s="227" t="s">
        <v>518</v>
      </c>
      <c r="C11" s="232">
        <v>999.63640992394971</v>
      </c>
      <c r="D11" s="50">
        <f>C11/(1+CAPM!$C$8)^A11</f>
        <v>672.91379437896501</v>
      </c>
      <c r="F11" s="226">
        <f t="shared" si="0"/>
        <v>6</v>
      </c>
      <c r="I11" s="226" t="s">
        <v>453</v>
      </c>
    </row>
    <row r="12" spans="1:12" ht="15" customHeight="1" x14ac:dyDescent="0.25">
      <c r="A12" s="227">
        <v>7</v>
      </c>
      <c r="B12" s="227" t="s">
        <v>519</v>
      </c>
      <c r="C12" s="232">
        <v>1100.1453942388148</v>
      </c>
      <c r="D12" s="50">
        <f>C12/(1+CAPM!$C$8)^A12</f>
        <v>693.29863347434684</v>
      </c>
      <c r="F12" s="226">
        <f t="shared" si="0"/>
        <v>7</v>
      </c>
      <c r="I12" s="226" t="s">
        <v>453</v>
      </c>
    </row>
    <row r="13" spans="1:12" ht="15" customHeight="1" x14ac:dyDescent="0.25">
      <c r="A13" s="227">
        <v>8</v>
      </c>
      <c r="B13" s="227" t="s">
        <v>520</v>
      </c>
      <c r="C13" s="232">
        <v>1300.0228098039381</v>
      </c>
      <c r="D13" s="50">
        <f>C13/(1+CAPM!$C$8)^A13</f>
        <v>766.96249260859713</v>
      </c>
      <c r="F13" s="226">
        <f t="shared" si="0"/>
        <v>8</v>
      </c>
      <c r="I13" s="226" t="s">
        <v>453</v>
      </c>
    </row>
    <row r="14" spans="1:12" ht="15" customHeight="1" x14ac:dyDescent="0.25">
      <c r="A14" s="227">
        <v>9</v>
      </c>
      <c r="B14" s="227" t="s">
        <v>521</v>
      </c>
      <c r="C14" s="232">
        <v>1463.8156385121488</v>
      </c>
      <c r="D14" s="50">
        <f>C14/(1+CAPM!$C$8)^A14</f>
        <v>808.467246895225</v>
      </c>
      <c r="F14" s="226">
        <f t="shared" si="0"/>
        <v>9</v>
      </c>
      <c r="I14" s="226" t="s">
        <v>453</v>
      </c>
    </row>
    <row r="15" spans="1:12" ht="15" customHeight="1" x14ac:dyDescent="0.25">
      <c r="A15" s="227">
        <v>10</v>
      </c>
      <c r="B15" s="227" t="s">
        <v>522</v>
      </c>
      <c r="C15" s="232">
        <v>1618.3626205604373</v>
      </c>
      <c r="D15" s="50">
        <f>C15/(1+CAPM!$C$8)^A15</f>
        <v>836.76745542983963</v>
      </c>
      <c r="F15" s="226">
        <v>10</v>
      </c>
      <c r="I15" s="71">
        <f>I4</f>
        <v>0.15715795381959241</v>
      </c>
    </row>
    <row r="16" spans="1:12" ht="15" customHeight="1" x14ac:dyDescent="0.25">
      <c r="A16" s="227">
        <v>11</v>
      </c>
      <c r="B16" s="227" t="s">
        <v>453</v>
      </c>
      <c r="C16" s="232">
        <v>2314.8746405041356</v>
      </c>
      <c r="D16" s="50">
        <f>C16/(1+CAPM!$C$8)^A16</f>
        <v>1120.4934269831485</v>
      </c>
      <c r="F16" s="226">
        <v>11</v>
      </c>
      <c r="I16" s="72">
        <f>I15-($I$15-$I$5)/10</f>
        <v>0.14444215843763317</v>
      </c>
      <c r="L16" s="226">
        <v>0.14444215843763317</v>
      </c>
    </row>
    <row r="17" spans="1:12" ht="15" customHeight="1" x14ac:dyDescent="0.25">
      <c r="A17" s="227">
        <v>12</v>
      </c>
      <c r="B17" s="227" t="s">
        <v>453</v>
      </c>
      <c r="C17" s="232">
        <v>2080.502235584634</v>
      </c>
      <c r="D17" s="50">
        <f>C17/(1+CAPM!$C$8)^A17</f>
        <v>942.76384061505371</v>
      </c>
      <c r="F17" s="226">
        <v>12</v>
      </c>
      <c r="I17" s="72">
        <f t="shared" ref="I17:I25" si="1">I16-($I$15-$I$5)/10</f>
        <v>0.13172636305567392</v>
      </c>
      <c r="L17" s="226">
        <v>0.13172636305567392</v>
      </c>
    </row>
    <row r="18" spans="1:12" ht="15" customHeight="1" x14ac:dyDescent="0.25">
      <c r="A18" s="227">
        <v>13</v>
      </c>
      <c r="B18" s="227" t="s">
        <v>453</v>
      </c>
      <c r="C18" s="232">
        <v>2292.7870403298152</v>
      </c>
      <c r="D18" s="50">
        <f>C18/(1+CAPM!$C$8)^A18</f>
        <v>972.63824543690941</v>
      </c>
      <c r="F18" s="226">
        <v>13</v>
      </c>
      <c r="I18" s="72">
        <f t="shared" si="1"/>
        <v>0.11901056767371468</v>
      </c>
      <c r="L18" s="226">
        <v>0.11901056767371468</v>
      </c>
    </row>
    <row r="19" spans="1:12" ht="15" customHeight="1" x14ac:dyDescent="0.25">
      <c r="A19" s="227">
        <v>14</v>
      </c>
      <c r="B19" s="227" t="s">
        <v>453</v>
      </c>
      <c r="C19" s="232">
        <v>2464.4329747014717</v>
      </c>
      <c r="D19" s="50">
        <f>C19/(1+CAPM!$C$8)^A19</f>
        <v>978.71789625501663</v>
      </c>
      <c r="F19" s="226">
        <v>14</v>
      </c>
      <c r="I19" s="72">
        <f t="shared" si="1"/>
        <v>0.10629477229175543</v>
      </c>
      <c r="L19" s="226">
        <v>0.10629477229175543</v>
      </c>
    </row>
    <row r="20" spans="1:12" ht="15" customHeight="1" x14ac:dyDescent="0.25">
      <c r="A20" s="227">
        <v>15</v>
      </c>
      <c r="B20" s="227" t="s">
        <v>453</v>
      </c>
      <c r="C20" s="232">
        <v>2581.4158241248069</v>
      </c>
      <c r="D20" s="50">
        <f>C20/(1+CAPM!$C$8)^A20</f>
        <v>959.73510505971421</v>
      </c>
      <c r="F20" s="226">
        <v>15</v>
      </c>
      <c r="I20" s="72">
        <f t="shared" si="1"/>
        <v>9.3578976909796191E-2</v>
      </c>
      <c r="L20" s="226">
        <v>9.3578976909796191E-2</v>
      </c>
    </row>
    <row r="21" spans="1:12" ht="15" customHeight="1" x14ac:dyDescent="0.25">
      <c r="A21" s="227">
        <v>16</v>
      </c>
      <c r="B21" s="227" t="s">
        <v>453</v>
      </c>
      <c r="C21" s="232">
        <v>2629.6149883278476</v>
      </c>
      <c r="D21" s="50">
        <f>C21/(1+CAPM!$C$8)^A21</f>
        <v>915.24733578802534</v>
      </c>
      <c r="F21" s="226">
        <v>16</v>
      </c>
      <c r="I21" s="72">
        <f t="shared" si="1"/>
        <v>8.0863181527836947E-2</v>
      </c>
      <c r="L21" s="226">
        <v>8.0863181527836947E-2</v>
      </c>
    </row>
    <row r="22" spans="1:12" ht="15" customHeight="1" x14ac:dyDescent="0.25">
      <c r="A22" s="227">
        <v>17</v>
      </c>
      <c r="B22" s="227" t="s">
        <v>453</v>
      </c>
      <c r="C22" s="232">
        <v>2595.5335818916483</v>
      </c>
      <c r="D22" s="50">
        <f>C22/(1+CAPM!$C$8)^A22</f>
        <v>845.71854385207234</v>
      </c>
      <c r="F22" s="226">
        <v>17</v>
      </c>
      <c r="I22" s="72">
        <f t="shared" si="1"/>
        <v>6.8147386145877703E-2</v>
      </c>
      <c r="L22" s="226">
        <v>6.8147386145877703E-2</v>
      </c>
    </row>
    <row r="23" spans="1:12" ht="15" customHeight="1" x14ac:dyDescent="0.25">
      <c r="A23" s="227">
        <v>18</v>
      </c>
      <c r="B23" s="227" t="s">
        <v>453</v>
      </c>
      <c r="C23" s="232">
        <v>2467.0786954562609</v>
      </c>
      <c r="D23" s="50">
        <f>C23/(1+CAPM!$C$8)^A23</f>
        <v>752.54954616511247</v>
      </c>
      <c r="F23" s="226">
        <v>18</v>
      </c>
      <c r="I23" s="72">
        <f t="shared" si="1"/>
        <v>5.5431590763918459E-2</v>
      </c>
      <c r="L23" s="226">
        <v>5.5431590763918459E-2</v>
      </c>
    </row>
    <row r="24" spans="1:12" ht="15" customHeight="1" x14ac:dyDescent="0.25">
      <c r="A24" s="227">
        <v>19</v>
      </c>
      <c r="B24" s="227" t="s">
        <v>453</v>
      </c>
      <c r="C24" s="232">
        <v>2234.3499000946676</v>
      </c>
      <c r="D24" s="50">
        <f>C24/(1+CAPM!$C$8)^A24</f>
        <v>638.05214676026003</v>
      </c>
      <c r="F24" s="226">
        <v>19</v>
      </c>
      <c r="I24" s="72">
        <f t="shared" si="1"/>
        <v>4.2715795381959215E-2</v>
      </c>
      <c r="L24" s="226">
        <v>4.2715795381959215E-2</v>
      </c>
    </row>
    <row r="25" spans="1:12" ht="15" customHeight="1" x14ac:dyDescent="0.25">
      <c r="A25" s="227">
        <v>20</v>
      </c>
      <c r="B25" s="227" t="s">
        <v>453</v>
      </c>
      <c r="C25" s="232">
        <v>1890.3764720005638</v>
      </c>
      <c r="D25" s="50">
        <f>C25/(1+CAPM!$C$8)^A25</f>
        <v>505.36619412763292</v>
      </c>
      <c r="F25" s="226">
        <v>20</v>
      </c>
      <c r="I25" s="72">
        <f t="shared" si="1"/>
        <v>2.9999999999999975E-2</v>
      </c>
      <c r="L25" s="226">
        <v>2.9999999999999975E-2</v>
      </c>
    </row>
    <row r="26" spans="1:12" ht="15" customHeight="1" x14ac:dyDescent="0.25">
      <c r="A26" s="227">
        <v>21</v>
      </c>
      <c r="B26" s="227" t="s">
        <v>453</v>
      </c>
      <c r="C26" s="232">
        <v>2448.2311037726822</v>
      </c>
      <c r="D26" s="50">
        <f>C26/(1+CAPM!$C$8)^A26</f>
        <v>612.72159767976882</v>
      </c>
      <c r="I26" s="72"/>
    </row>
    <row r="27" spans="1:12" ht="15" customHeight="1" x14ac:dyDescent="0.25">
      <c r="A27" s="227">
        <v>22</v>
      </c>
      <c r="B27" s="227" t="s">
        <v>453</v>
      </c>
      <c r="C27" s="232">
        <v>2043.9266568743606</v>
      </c>
      <c r="D27" s="50">
        <f>C27/(1+CAPM!$C$8)^A27</f>
        <v>478.88251432157745</v>
      </c>
      <c r="I27" s="72"/>
    </row>
    <row r="28" spans="1:12" ht="15" customHeight="1" x14ac:dyDescent="0.25">
      <c r="A28" s="227">
        <v>23</v>
      </c>
      <c r="B28" s="227" t="s">
        <v>453</v>
      </c>
      <c r="C28" s="232">
        <v>1627.4930765690915</v>
      </c>
      <c r="D28" s="50">
        <f>C28/(1+CAPM!$C$8)^A28</f>
        <v>356.97328505961815</v>
      </c>
      <c r="I28" s="72"/>
    </row>
    <row r="29" spans="1:12" ht="15" customHeight="1" x14ac:dyDescent="0.25">
      <c r="A29" s="227">
        <v>24</v>
      </c>
      <c r="B29" s="227" t="s">
        <v>453</v>
      </c>
      <c r="C29" s="232">
        <v>1198.5664888546617</v>
      </c>
      <c r="D29" s="50">
        <f>C29/(1+CAPM!$C$8)^A29</f>
        <v>246.11132086358595</v>
      </c>
      <c r="I29" s="72"/>
    </row>
    <row r="30" spans="1:12" ht="15" customHeight="1" x14ac:dyDescent="0.25">
      <c r="A30" s="227">
        <v>25</v>
      </c>
      <c r="B30" s="227"/>
      <c r="C30" s="232">
        <v>756.77210350879977</v>
      </c>
      <c r="D30" s="50">
        <f>C30/(1+CAPM!$C$8)^A30</f>
        <v>145.4746995845731</v>
      </c>
      <c r="I30" s="72"/>
    </row>
    <row r="31" spans="1:12" x14ac:dyDescent="0.25">
      <c r="A31" s="227">
        <v>25</v>
      </c>
      <c r="B31" s="227" t="s">
        <v>530</v>
      </c>
      <c r="C31" s="75">
        <v>0</v>
      </c>
      <c r="D31" s="50">
        <f>C31/(1+CAPM!$C$8)^A31</f>
        <v>0</v>
      </c>
      <c r="I31" s="220"/>
    </row>
    <row r="32" spans="1:12" x14ac:dyDescent="0.25">
      <c r="A32" s="169" t="s">
        <v>524</v>
      </c>
      <c r="B32" s="227"/>
      <c r="C32" s="75"/>
      <c r="D32" s="50">
        <f>SUM(D6:D31)</f>
        <v>16418.193297424648</v>
      </c>
    </row>
    <row r="33" spans="1:25" x14ac:dyDescent="0.25">
      <c r="A33" s="169" t="s">
        <v>467</v>
      </c>
      <c r="B33" s="227"/>
      <c r="C33" s="75"/>
      <c r="D33" s="234">
        <v>9867.6329999999998</v>
      </c>
    </row>
    <row r="34" spans="1:25" x14ac:dyDescent="0.25">
      <c r="A34" s="169" t="s">
        <v>422</v>
      </c>
      <c r="B34" s="286"/>
      <c r="C34" s="75"/>
      <c r="D34" s="50">
        <v>172.21</v>
      </c>
    </row>
    <row r="35" spans="1:25" x14ac:dyDescent="0.25">
      <c r="A35" s="186" t="s">
        <v>102</v>
      </c>
      <c r="B35" s="186" t="s">
        <v>102</v>
      </c>
      <c r="C35" s="186" t="s">
        <v>464</v>
      </c>
      <c r="D35" s="77">
        <f>(D32+D33)/D34</f>
        <v>152.63821089033533</v>
      </c>
    </row>
    <row r="36" spans="1:25" ht="45.75" x14ac:dyDescent="0.25">
      <c r="A36" s="228" t="s">
        <v>529</v>
      </c>
      <c r="B36" s="229"/>
      <c r="C36" s="229"/>
      <c r="D36" s="79">
        <f>Data!E1</f>
        <v>144.87</v>
      </c>
    </row>
    <row r="37" spans="1:25" x14ac:dyDescent="0.25">
      <c r="A37" s="86" t="s">
        <v>94</v>
      </c>
      <c r="B37" s="86"/>
      <c r="C37" s="86"/>
      <c r="D37" s="86"/>
    </row>
    <row r="39" spans="1:25" x14ac:dyDescent="0.25">
      <c r="A39" s="226">
        <v>975.72630988053345</v>
      </c>
      <c r="B39" s="226">
        <v>1021.1114982725343</v>
      </c>
      <c r="C39" s="226">
        <v>1172.3406882278148</v>
      </c>
      <c r="D39" s="226">
        <v>1310.8197768559564</v>
      </c>
      <c r="E39" s="226">
        <v>1506.9716482732279</v>
      </c>
      <c r="F39" s="226">
        <v>1574.6458382292603</v>
      </c>
      <c r="G39" s="226">
        <v>1649.9757268725618</v>
      </c>
      <c r="H39" s="226">
        <v>1784.2317307077287</v>
      </c>
      <c r="I39" s="226">
        <v>1889.6488225906946</v>
      </c>
      <c r="J39" s="226">
        <v>1984.2308123940288</v>
      </c>
      <c r="K39" s="226">
        <v>2125.8809062304358</v>
      </c>
      <c r="L39" s="226">
        <v>2252.336413795294</v>
      </c>
      <c r="M39" s="226">
        <v>2359.5019482728999</v>
      </c>
      <c r="N39" s="226">
        <v>2443.6786508169598</v>
      </c>
      <c r="O39" s="226">
        <v>2501.7686241391898</v>
      </c>
      <c r="P39" s="226">
        <v>2531.4581906641138</v>
      </c>
      <c r="Q39" s="226">
        <v>2531.3653744439184</v>
      </c>
      <c r="R39" s="226">
        <v>2501.1389448927753</v>
      </c>
      <c r="S39" s="226">
        <v>2441.499643508781</v>
      </c>
      <c r="T39" s="226">
        <v>2354.218586324414</v>
      </c>
    </row>
    <row r="40" spans="1:25" x14ac:dyDescent="0.25">
      <c r="A40" s="226">
        <v>1042.257721997868</v>
      </c>
      <c r="B40" s="226">
        <v>1165.1112031685411</v>
      </c>
      <c r="C40" s="226">
        <v>1428.8780201011875</v>
      </c>
      <c r="D40" s="226">
        <v>1706.5986919022137</v>
      </c>
      <c r="E40" s="226">
        <v>2095.755481797295</v>
      </c>
      <c r="F40" s="226">
        <v>2339.1901396253961</v>
      </c>
      <c r="G40" s="226">
        <v>2618.2269932194454</v>
      </c>
      <c r="H40" s="226">
        <v>3024.3225323923807</v>
      </c>
      <c r="I40" s="226">
        <v>3421.4094738247395</v>
      </c>
      <c r="J40" s="226">
        <v>3837.6312994787781</v>
      </c>
      <c r="K40" s="226">
        <v>4391.9470476633123</v>
      </c>
      <c r="L40" s="226">
        <v>4970.4822589851055</v>
      </c>
      <c r="M40" s="226">
        <v>5562.0221742390513</v>
      </c>
      <c r="N40" s="226">
        <v>6153.2360547314865</v>
      </c>
      <c r="O40" s="226">
        <v>6729.0495894177293</v>
      </c>
      <c r="P40" s="226">
        <v>7273.1819478766311</v>
      </c>
      <c r="Q40" s="226">
        <v>7768.8302865878068</v>
      </c>
      <c r="R40" s="226">
        <v>8199.4689077482781</v>
      </c>
      <c r="S40" s="226">
        <v>8549.71574385239</v>
      </c>
      <c r="T40" s="226">
        <v>8806.2072161679625</v>
      </c>
    </row>
    <row r="41" spans="1:25" x14ac:dyDescent="0.25">
      <c r="A41" s="232">
        <v>298.34989822585544</v>
      </c>
      <c r="B41" s="232">
        <v>341.75846453098541</v>
      </c>
      <c r="C41" s="232">
        <v>508.09501699490727</v>
      </c>
      <c r="D41" s="232">
        <v>669.44860948272708</v>
      </c>
      <c r="E41" s="232">
        <v>915.70306063315502</v>
      </c>
      <c r="F41" s="232">
        <v>999.63640992394971</v>
      </c>
      <c r="G41" s="232">
        <v>1100.1453942388148</v>
      </c>
      <c r="H41" s="232">
        <v>1300.0228098039381</v>
      </c>
      <c r="I41" s="232">
        <v>1463.8156385121488</v>
      </c>
      <c r="J41" s="232">
        <v>1618.3626205604373</v>
      </c>
      <c r="K41" s="232">
        <v>2314.8746405041356</v>
      </c>
      <c r="L41" s="232">
        <v>2080.502235584634</v>
      </c>
      <c r="M41" s="232">
        <v>2292.7870403298152</v>
      </c>
      <c r="N41" s="232">
        <v>2464.4329747014717</v>
      </c>
      <c r="O41" s="232">
        <v>2581.4158241248069</v>
      </c>
      <c r="P41" s="232">
        <v>2629.6149883278476</v>
      </c>
      <c r="Q41" s="232">
        <v>2595.5335818916483</v>
      </c>
      <c r="R41" s="232">
        <v>2467.0786954562609</v>
      </c>
      <c r="S41" s="232">
        <v>2234.3499000946676</v>
      </c>
      <c r="T41" s="232">
        <v>1890.3764720005638</v>
      </c>
      <c r="U41" s="232">
        <v>2175.4914382986999</v>
      </c>
      <c r="V41" s="232">
        <v>1510.223183603046</v>
      </c>
      <c r="W41" s="232">
        <v>844.95492890739297</v>
      </c>
      <c r="X41" s="232">
        <v>179.68667421173996</v>
      </c>
    </row>
    <row r="42" spans="1:25" x14ac:dyDescent="0.25">
      <c r="A42" s="232">
        <v>2448.2311037726822</v>
      </c>
      <c r="B42" s="232">
        <v>2043.9266568743606</v>
      </c>
      <c r="C42" s="232">
        <v>1627.4930765690915</v>
      </c>
      <c r="D42" s="232">
        <v>1198.5664888546617</v>
      </c>
      <c r="E42" s="232">
        <v>756.77210350879977</v>
      </c>
    </row>
    <row r="43" spans="1:25" x14ac:dyDescent="0.25">
      <c r="A43" s="232">
        <v>298.34989822585544</v>
      </c>
      <c r="B43" s="232">
        <v>341.75846453098541</v>
      </c>
      <c r="C43" s="232">
        <v>508.09501699490727</v>
      </c>
      <c r="D43" s="232">
        <v>669.44860948272708</v>
      </c>
      <c r="E43" s="232">
        <v>915.70306063315502</v>
      </c>
      <c r="F43" s="232">
        <v>999.63640992394971</v>
      </c>
      <c r="G43" s="232">
        <v>1100.1453942388148</v>
      </c>
      <c r="H43" s="232">
        <v>1300.0228098039381</v>
      </c>
      <c r="I43" s="232">
        <v>1463.8156385121488</v>
      </c>
      <c r="J43" s="232">
        <v>1618.3626205604373</v>
      </c>
      <c r="K43" s="232">
        <v>2314.8746405041356</v>
      </c>
      <c r="L43" s="232">
        <v>2080.502235584634</v>
      </c>
      <c r="M43" s="232">
        <v>2292.7870403298152</v>
      </c>
      <c r="N43" s="232">
        <v>2464.4329747014717</v>
      </c>
      <c r="O43" s="232">
        <v>2581.4158241248069</v>
      </c>
      <c r="P43" s="232">
        <v>2629.6149883278476</v>
      </c>
      <c r="Q43" s="232">
        <v>2595.5335818916483</v>
      </c>
      <c r="R43" s="232">
        <v>2467.0786954562609</v>
      </c>
      <c r="S43" s="232">
        <v>2234.3499000946676</v>
      </c>
      <c r="T43" s="232">
        <v>1890.3764720005638</v>
      </c>
      <c r="U43" s="232">
        <v>2448.2311037726822</v>
      </c>
      <c r="V43" s="232">
        <v>2043.9266568743606</v>
      </c>
      <c r="W43" s="232">
        <v>1627.4930765690915</v>
      </c>
      <c r="X43" s="232">
        <v>1198.5664888546617</v>
      </c>
      <c r="Y43" s="232">
        <v>756.77210350879977</v>
      </c>
    </row>
  </sheetData>
  <phoneticPr fontId="54"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4BAA-B8F7-9E43-8CA5-96FAF218F76B}">
  <dimension ref="A1:AO46"/>
  <sheetViews>
    <sheetView tabSelected="1" zoomScale="85" zoomScaleNormal="85" workbookViewId="0">
      <pane ySplit="5" topLeftCell="A8" activePane="bottomLeft" state="frozen"/>
      <selection pane="bottomLeft" activeCell="H19" sqref="H19"/>
    </sheetView>
  </sheetViews>
  <sheetFormatPr defaultColWidth="25.875" defaultRowHeight="15.75" x14ac:dyDescent="0.25"/>
  <cols>
    <col min="1" max="1" width="35.625" customWidth="1"/>
    <col min="3" max="3" width="25.875" style="37"/>
  </cols>
  <sheetData>
    <row r="1" spans="1:25" ht="27" x14ac:dyDescent="0.35">
      <c r="A1" s="62" t="s">
        <v>88</v>
      </c>
      <c r="B1" s="29"/>
      <c r="C1" s="29"/>
      <c r="D1" s="29"/>
      <c r="E1" s="29"/>
      <c r="F1" s="29"/>
      <c r="G1" s="29"/>
      <c r="H1" s="29"/>
    </row>
    <row r="2" spans="1:25" ht="21.75" x14ac:dyDescent="0.3">
      <c r="A2" s="63" t="s">
        <v>531</v>
      </c>
      <c r="B2" s="29"/>
      <c r="C2" s="29"/>
      <c r="D2" s="29"/>
      <c r="E2" s="29"/>
      <c r="F2" s="29"/>
      <c r="G2" s="29"/>
      <c r="H2" s="29"/>
    </row>
    <row r="3" spans="1:25" x14ac:dyDescent="0.25">
      <c r="A3" s="29"/>
      <c r="B3" s="29"/>
      <c r="C3" s="29"/>
      <c r="D3" s="29"/>
      <c r="E3" s="29"/>
      <c r="F3" s="29"/>
      <c r="G3" s="29"/>
      <c r="H3" s="29"/>
      <c r="U3" s="37"/>
      <c r="V3" s="37"/>
      <c r="W3" s="37"/>
      <c r="X3" s="37"/>
      <c r="Y3" s="37"/>
    </row>
    <row r="4" spans="1:25" ht="16.5" thickBot="1" x14ac:dyDescent="0.3">
      <c r="A4" s="38"/>
      <c r="B4" s="39"/>
      <c r="C4" s="176" t="s">
        <v>441</v>
      </c>
      <c r="D4" s="183" t="s">
        <v>406</v>
      </c>
      <c r="E4" s="183" t="s">
        <v>407</v>
      </c>
      <c r="F4" s="183" t="s">
        <v>408</v>
      </c>
      <c r="G4" s="210" t="s">
        <v>409</v>
      </c>
      <c r="H4" s="210" t="s">
        <v>410</v>
      </c>
      <c r="I4" s="183" t="s">
        <v>411</v>
      </c>
      <c r="J4" s="183" t="s">
        <v>412</v>
      </c>
      <c r="K4" s="183" t="s">
        <v>413</v>
      </c>
      <c r="L4" s="183" t="s">
        <v>414</v>
      </c>
      <c r="M4" s="183" t="s">
        <v>415</v>
      </c>
      <c r="N4" s="183" t="s">
        <v>416</v>
      </c>
      <c r="O4" s="183" t="s">
        <v>417</v>
      </c>
      <c r="P4" s="183" t="s">
        <v>418</v>
      </c>
      <c r="Q4" s="183" t="s">
        <v>419</v>
      </c>
      <c r="R4" s="183" t="s">
        <v>420</v>
      </c>
      <c r="U4" s="37"/>
      <c r="V4" s="37"/>
      <c r="W4" s="37"/>
      <c r="X4" s="37"/>
      <c r="Y4" s="37"/>
    </row>
    <row r="5" spans="1:25" ht="17.25" x14ac:dyDescent="0.25">
      <c r="A5" s="41" t="s">
        <v>33</v>
      </c>
      <c r="B5" s="42"/>
      <c r="C5" s="42"/>
      <c r="D5" s="42"/>
      <c r="E5" s="42"/>
      <c r="F5" s="42"/>
      <c r="G5" s="211"/>
      <c r="H5" s="211"/>
      <c r="S5" s="37"/>
      <c r="T5" s="37"/>
      <c r="U5" s="37"/>
      <c r="V5" s="37"/>
      <c r="W5" s="37"/>
      <c r="X5" s="37"/>
      <c r="Y5" s="37"/>
    </row>
    <row r="6" spans="1:25" s="37" customFormat="1" x14ac:dyDescent="0.25">
      <c r="A6" s="194" t="s">
        <v>440</v>
      </c>
      <c r="B6" s="193"/>
      <c r="C6" s="196">
        <v>44083.569000000003</v>
      </c>
      <c r="D6" s="196">
        <v>52008.317000000003</v>
      </c>
      <c r="E6" s="196">
        <v>62840.214999999997</v>
      </c>
      <c r="F6" s="196">
        <v>75865.282000000007</v>
      </c>
      <c r="G6" s="206">
        <v>90796.831000000006</v>
      </c>
      <c r="H6" s="206">
        <v>112566.265</v>
      </c>
      <c r="I6" s="196">
        <f t="shared" ref="I6:R6" si="0">H6*(1+I7)</f>
        <v>135779.61032303728</v>
      </c>
      <c r="J6" s="196">
        <f t="shared" si="0"/>
        <v>163779.99731514457</v>
      </c>
      <c r="K6" s="196">
        <f t="shared" si="0"/>
        <v>197554.60673904762</v>
      </c>
      <c r="L6" s="196">
        <f t="shared" si="0"/>
        <v>238294.19516183433</v>
      </c>
      <c r="M6" s="196">
        <f t="shared" si="0"/>
        <v>287435.07623101521</v>
      </c>
      <c r="N6" s="196">
        <f t="shared" si="0"/>
        <v>343835.40854097455</v>
      </c>
      <c r="O6" s="196">
        <f t="shared" si="0"/>
        <v>407864.22497603268</v>
      </c>
      <c r="P6" s="196">
        <f t="shared" si="0"/>
        <v>479737.8056291836</v>
      </c>
      <c r="Q6" s="196">
        <f t="shared" si="0"/>
        <v>559479.52601252799</v>
      </c>
      <c r="R6" s="196">
        <f t="shared" si="0"/>
        <v>646881.07041962002</v>
      </c>
    </row>
    <row r="7" spans="1:25" s="215" customFormat="1" x14ac:dyDescent="0.25">
      <c r="A7" s="215" t="s">
        <v>427</v>
      </c>
      <c r="D7" s="215">
        <f>D6/C6-1</f>
        <v>0.1797664794336411</v>
      </c>
      <c r="E7" s="215">
        <f>E6/D6-1</f>
        <v>0.20827241919787554</v>
      </c>
      <c r="F7" s="215">
        <f>F6/E6-1</f>
        <v>0.20727279497691109</v>
      </c>
      <c r="G7" s="215">
        <f>G6/F6-1</f>
        <v>0.19681662819100842</v>
      </c>
      <c r="H7" s="215">
        <f>H6/G6-1</f>
        <v>0.2397598436007089</v>
      </c>
      <c r="I7" s="215">
        <f>H8</f>
        <v>0.20621937951869751</v>
      </c>
      <c r="J7" s="215">
        <f>I7</f>
        <v>0.20621937951869751</v>
      </c>
      <c r="K7" s="215">
        <f t="shared" ref="K7:M7" si="1">J7</f>
        <v>0.20621937951869751</v>
      </c>
      <c r="L7" s="215">
        <f t="shared" si="1"/>
        <v>0.20621937951869751</v>
      </c>
      <c r="M7" s="215">
        <f t="shared" si="1"/>
        <v>0.20621937951869751</v>
      </c>
      <c r="N7" s="215">
        <f t="shared" ref="N7:R7" si="2">M7-0.01</f>
        <v>0.1962193795186975</v>
      </c>
      <c r="O7" s="215">
        <f t="shared" si="2"/>
        <v>0.18621937951869749</v>
      </c>
      <c r="P7" s="215">
        <f t="shared" si="2"/>
        <v>0.17621937951869748</v>
      </c>
      <c r="Q7" s="215">
        <f t="shared" si="2"/>
        <v>0.16621937951869747</v>
      </c>
      <c r="R7" s="215">
        <f t="shared" si="2"/>
        <v>0.15621937951869747</v>
      </c>
      <c r="S7" s="37"/>
      <c r="T7" s="37"/>
      <c r="U7" s="37"/>
      <c r="V7" s="37"/>
      <c r="W7" s="37"/>
      <c r="X7" s="37"/>
      <c r="Y7" s="37"/>
    </row>
    <row r="8" spans="1:25" s="215" customFormat="1" x14ac:dyDescent="0.25">
      <c r="H8" s="215">
        <f>((H6/C6)^0.2)-1</f>
        <v>0.20621937951869751</v>
      </c>
      <c r="I8" s="215" t="s">
        <v>426</v>
      </c>
      <c r="S8" s="37"/>
      <c r="T8" s="37"/>
      <c r="U8" s="37"/>
      <c r="V8" s="37"/>
      <c r="W8" s="37"/>
      <c r="X8" s="37"/>
      <c r="Y8" s="37"/>
    </row>
    <row r="9" spans="1:25" s="215" customFormat="1" x14ac:dyDescent="0.25">
      <c r="A9" s="215" t="s">
        <v>439</v>
      </c>
      <c r="C9" s="215">
        <v>3.2099999999999997E-2</v>
      </c>
      <c r="D9" s="215">
        <v>3.2000000000000001E-2</v>
      </c>
      <c r="E9" s="215">
        <v>3.1300000000000001E-2</v>
      </c>
      <c r="F9" s="215">
        <v>2.9600000000000001E-2</v>
      </c>
      <c r="G9" s="215">
        <v>2.8299999999999999E-2</v>
      </c>
      <c r="H9" s="215">
        <v>2.7199999999999998E-2</v>
      </c>
      <c r="I9" s="215">
        <v>2.8000000000000001E-2</v>
      </c>
      <c r="J9" s="215">
        <v>2.8000000000000001E-2</v>
      </c>
      <c r="K9" s="215">
        <v>2.9000000000000001E-2</v>
      </c>
      <c r="L9" s="215">
        <f>K9</f>
        <v>2.9000000000000001E-2</v>
      </c>
      <c r="M9" s="215">
        <v>0.03</v>
      </c>
      <c r="N9" s="215">
        <f>M9</f>
        <v>0.03</v>
      </c>
      <c r="O9" s="215">
        <f>N9</f>
        <v>0.03</v>
      </c>
      <c r="P9" s="215">
        <f>O9</f>
        <v>0.03</v>
      </c>
      <c r="Q9" s="215">
        <f>P9</f>
        <v>0.03</v>
      </c>
      <c r="R9" s="215">
        <f>Q9</f>
        <v>0.03</v>
      </c>
      <c r="S9" s="37"/>
      <c r="T9" s="37"/>
      <c r="U9" s="37"/>
      <c r="V9" s="37"/>
      <c r="W9" s="37"/>
      <c r="X9" s="37"/>
      <c r="Y9" s="37"/>
    </row>
    <row r="10" spans="1:25" s="191" customFormat="1" ht="21" customHeight="1" x14ac:dyDescent="0.25">
      <c r="G10" s="207"/>
      <c r="H10" s="207"/>
      <c r="I10" s="205"/>
      <c r="J10" s="205"/>
      <c r="K10" s="205"/>
      <c r="L10" s="205"/>
      <c r="M10" s="205"/>
      <c r="N10" s="205"/>
      <c r="O10" s="205"/>
      <c r="P10" s="205"/>
      <c r="Q10" s="205"/>
      <c r="R10" s="205"/>
      <c r="S10" s="37"/>
      <c r="T10" s="37"/>
      <c r="U10" s="37"/>
      <c r="V10" s="37"/>
      <c r="W10" s="37"/>
      <c r="X10" s="37"/>
      <c r="Y10" s="37"/>
    </row>
    <row r="11" spans="1:25" x14ac:dyDescent="0.25">
      <c r="A11" s="194" t="s">
        <v>438</v>
      </c>
      <c r="B11" s="193"/>
      <c r="C11" s="203">
        <v>1516.7</v>
      </c>
      <c r="D11" s="203">
        <v>1817.2</v>
      </c>
      <c r="E11" s="203">
        <v>2151.5</v>
      </c>
      <c r="F11" s="203">
        <v>2501.1</v>
      </c>
      <c r="G11" s="208">
        <v>2764</v>
      </c>
      <c r="H11" s="208">
        <v>3262.6</v>
      </c>
      <c r="I11" s="203">
        <f t="shared" ref="I11:R11" si="3">AVERAGE(H6:I6)*I12</f>
        <v>3973.5340051685962</v>
      </c>
      <c r="J11" s="203">
        <f t="shared" si="3"/>
        <v>4792.9537222109102</v>
      </c>
      <c r="K11" s="203">
        <f t="shared" si="3"/>
        <v>5962.0209668941716</v>
      </c>
      <c r="L11" s="203">
        <f t="shared" si="3"/>
        <v>7191.5052313645519</v>
      </c>
      <c r="M11" s="203">
        <f t="shared" si="3"/>
        <v>8937.3976136784422</v>
      </c>
      <c r="N11" s="203">
        <f t="shared" si="3"/>
        <v>10731.598241123827</v>
      </c>
      <c r="O11" s="203">
        <f t="shared" si="3"/>
        <v>12778.893769789123</v>
      </c>
      <c r="P11" s="203">
        <f t="shared" si="3"/>
        <v>15533.035535591287</v>
      </c>
      <c r="Q11" s="203">
        <f t="shared" si="3"/>
        <v>18186.303303729954</v>
      </c>
      <c r="R11" s="203">
        <f t="shared" si="3"/>
        <v>21111.310437562592</v>
      </c>
      <c r="S11" s="37"/>
      <c r="T11" s="37"/>
      <c r="U11" s="37"/>
      <c r="V11" s="37"/>
      <c r="W11" s="37"/>
      <c r="X11" s="37"/>
      <c r="Y11" s="37"/>
    </row>
    <row r="12" spans="1:25" s="214" customFormat="1" x14ac:dyDescent="0.25">
      <c r="A12" s="215" t="s">
        <v>437</v>
      </c>
      <c r="D12" s="214">
        <f>D11/AVERAGE(C6:D6)</f>
        <v>3.7822132037246103E-2</v>
      </c>
      <c r="E12" s="214">
        <f>E11/AVERAGE(D6:E6)</f>
        <v>3.7466739235291223E-2</v>
      </c>
      <c r="F12" s="214">
        <f>F11/AVERAGE(E6:F6)</f>
        <v>3.6063458970194959E-2</v>
      </c>
      <c r="G12" s="214">
        <f>G11/AVERAGE(F6:G6)</f>
        <v>3.3168906240856312E-2</v>
      </c>
      <c r="H12" s="214">
        <f>H11/AVERAGE(G6:H6)</f>
        <v>3.2086450926179837E-2</v>
      </c>
      <c r="I12" s="214">
        <f>0.032</f>
        <v>3.2000000000000001E-2</v>
      </c>
      <c r="J12" s="214">
        <f>I12</f>
        <v>3.2000000000000001E-2</v>
      </c>
      <c r="K12" s="214">
        <v>3.3000000000000002E-2</v>
      </c>
      <c r="L12" s="214">
        <v>3.3000000000000002E-2</v>
      </c>
      <c r="M12" s="214">
        <f>0.034</f>
        <v>3.4000000000000002E-2</v>
      </c>
      <c r="N12" s="214">
        <f>0.034</f>
        <v>3.4000000000000002E-2</v>
      </c>
      <c r="O12" s="214">
        <f>0.034</f>
        <v>3.4000000000000002E-2</v>
      </c>
      <c r="P12" s="214">
        <v>3.5000000000000003E-2</v>
      </c>
      <c r="Q12" s="214">
        <v>3.5000000000000003E-2</v>
      </c>
      <c r="R12" s="214">
        <v>3.5000000000000003E-2</v>
      </c>
      <c r="S12" s="37"/>
      <c r="T12" s="37"/>
      <c r="U12" s="37"/>
      <c r="V12" s="37"/>
      <c r="W12" s="37"/>
      <c r="X12" s="37"/>
      <c r="Y12" s="37"/>
    </row>
    <row r="13" spans="1:25" x14ac:dyDescent="0.25">
      <c r="A13" s="194"/>
      <c r="B13" s="193"/>
      <c r="C13" s="193"/>
      <c r="D13" s="193"/>
      <c r="E13" s="193"/>
      <c r="F13" s="193"/>
      <c r="G13" s="209"/>
      <c r="H13" s="209"/>
      <c r="I13" s="193"/>
      <c r="J13" s="193"/>
      <c r="K13" s="193"/>
      <c r="L13" s="193"/>
      <c r="M13" s="193"/>
      <c r="N13" s="193"/>
      <c r="O13" s="193"/>
      <c r="P13" s="197"/>
      <c r="Q13" s="197"/>
      <c r="R13" s="197"/>
      <c r="S13" s="37"/>
      <c r="T13" s="37"/>
      <c r="U13" s="37"/>
      <c r="V13" s="37"/>
      <c r="W13" s="37"/>
      <c r="X13" s="37"/>
      <c r="Y13" s="37"/>
    </row>
    <row r="14" spans="1:25" x14ac:dyDescent="0.25">
      <c r="A14" s="194" t="s">
        <v>436</v>
      </c>
      <c r="B14" s="193"/>
      <c r="C14" s="201">
        <v>-55.4</v>
      </c>
      <c r="D14" s="201">
        <v>-47.2</v>
      </c>
      <c r="E14" s="201">
        <v>-60.2</v>
      </c>
      <c r="F14" s="201">
        <v>-76.099999999999994</v>
      </c>
      <c r="G14" s="212">
        <v>-61.7</v>
      </c>
      <c r="H14" s="212">
        <v>-157.1</v>
      </c>
      <c r="I14" s="201">
        <f t="shared" ref="I14:Q14" si="4">(I15*I6)*-1</f>
        <v>-135.77961032303728</v>
      </c>
      <c r="J14" s="201">
        <f t="shared" si="4"/>
        <v>-163.77999731514458</v>
      </c>
      <c r="K14" s="201">
        <f t="shared" si="4"/>
        <v>-197.55460673904761</v>
      </c>
      <c r="L14" s="201">
        <f t="shared" si="4"/>
        <v>-238.29419516183432</v>
      </c>
      <c r="M14" s="201">
        <f t="shared" si="4"/>
        <v>-287.43507623101522</v>
      </c>
      <c r="N14" s="201">
        <f t="shared" si="4"/>
        <v>-343.83540854097453</v>
      </c>
      <c r="O14" s="201">
        <f t="shared" si="4"/>
        <v>-407.86422497603269</v>
      </c>
      <c r="P14" s="201">
        <f t="shared" si="4"/>
        <v>-479.73780562918358</v>
      </c>
      <c r="Q14" s="201">
        <f t="shared" si="4"/>
        <v>-559.47952601252803</v>
      </c>
      <c r="R14" s="201">
        <f>(R15*R6)*-1</f>
        <v>-646.88107041962007</v>
      </c>
      <c r="S14" s="37"/>
      <c r="T14" s="37"/>
      <c r="U14" s="37"/>
      <c r="V14" s="37"/>
      <c r="W14" s="37"/>
      <c r="X14" s="37"/>
      <c r="Y14" s="37"/>
    </row>
    <row r="15" spans="1:25" s="214" customFormat="1" x14ac:dyDescent="0.25">
      <c r="A15" s="215" t="s">
        <v>435</v>
      </c>
      <c r="C15" s="214">
        <f t="shared" ref="C15:H15" si="5">C14/C6*-1</f>
        <v>1.2567040567881423E-3</v>
      </c>
      <c r="D15" s="214">
        <f t="shared" si="5"/>
        <v>9.0754715250639627E-4</v>
      </c>
      <c r="E15" s="214">
        <f t="shared" si="5"/>
        <v>9.5798526469077175E-4</v>
      </c>
      <c r="F15" s="214">
        <f t="shared" si="5"/>
        <v>1.0030938789629754E-3</v>
      </c>
      <c r="G15" s="214">
        <f t="shared" si="5"/>
        <v>6.7953913501672756E-4</v>
      </c>
      <c r="H15" s="214">
        <f t="shared" si="5"/>
        <v>1.3956223918418185E-3</v>
      </c>
      <c r="I15" s="214">
        <f>0.001</f>
        <v>1E-3</v>
      </c>
      <c r="J15" s="214">
        <f t="shared" ref="J15:R15" si="6">I15</f>
        <v>1E-3</v>
      </c>
      <c r="K15" s="214">
        <f t="shared" si="6"/>
        <v>1E-3</v>
      </c>
      <c r="L15" s="214">
        <f t="shared" si="6"/>
        <v>1E-3</v>
      </c>
      <c r="M15" s="214">
        <f t="shared" si="6"/>
        <v>1E-3</v>
      </c>
      <c r="N15" s="214">
        <f t="shared" si="6"/>
        <v>1E-3</v>
      </c>
      <c r="O15" s="214">
        <f t="shared" si="6"/>
        <v>1E-3</v>
      </c>
      <c r="P15" s="214">
        <f t="shared" si="6"/>
        <v>1E-3</v>
      </c>
      <c r="Q15" s="214">
        <f t="shared" si="6"/>
        <v>1E-3</v>
      </c>
      <c r="R15" s="214">
        <f t="shared" si="6"/>
        <v>1E-3</v>
      </c>
      <c r="S15" s="37"/>
      <c r="T15" s="37"/>
      <c r="U15" s="37"/>
      <c r="V15" s="37"/>
      <c r="W15" s="37"/>
      <c r="X15" s="37"/>
      <c r="Y15" s="37"/>
    </row>
    <row r="16" spans="1:25" x14ac:dyDescent="0.25">
      <c r="A16" s="194"/>
      <c r="B16" s="193"/>
      <c r="C16" s="193"/>
      <c r="D16" s="193"/>
      <c r="E16" s="193"/>
      <c r="F16" s="193"/>
      <c r="G16" s="209"/>
      <c r="H16" s="209"/>
      <c r="I16" s="193"/>
      <c r="J16" s="193"/>
      <c r="K16" s="193"/>
      <c r="L16" s="193"/>
      <c r="M16" s="193"/>
      <c r="N16" s="193"/>
      <c r="O16" s="193"/>
      <c r="P16" s="197"/>
      <c r="Q16" s="197"/>
      <c r="R16" s="197"/>
      <c r="S16" s="37"/>
      <c r="T16" s="37"/>
      <c r="U16" s="37"/>
      <c r="V16" s="37"/>
      <c r="W16" s="37"/>
      <c r="X16" s="37"/>
      <c r="Y16" s="37"/>
    </row>
    <row r="17" spans="1:41" s="194" customFormat="1" x14ac:dyDescent="0.25">
      <c r="A17" s="194" t="s">
        <v>434</v>
      </c>
      <c r="C17" s="194">
        <v>325.10000000000002</v>
      </c>
      <c r="D17" s="194">
        <v>394.8</v>
      </c>
      <c r="E17" s="194">
        <v>460.5</v>
      </c>
      <c r="F17" s="194">
        <v>545</v>
      </c>
      <c r="G17" s="194">
        <v>576.4</v>
      </c>
      <c r="H17" s="194">
        <v>654.20000000000005</v>
      </c>
      <c r="I17" s="194">
        <f t="shared" ref="I17:R17" si="7">H17*(1+I18)</f>
        <v>732.70400000000006</v>
      </c>
      <c r="J17" s="194">
        <f t="shared" si="7"/>
        <v>820.6284800000002</v>
      </c>
      <c r="K17" s="194">
        <f t="shared" si="7"/>
        <v>919.10389760000032</v>
      </c>
      <c r="L17" s="194">
        <f t="shared" si="7"/>
        <v>1029.3963653120004</v>
      </c>
      <c r="M17" s="194">
        <f t="shared" si="7"/>
        <v>1152.9239291494405</v>
      </c>
      <c r="N17" s="194">
        <f t="shared" si="7"/>
        <v>1291.2748006473735</v>
      </c>
      <c r="O17" s="194">
        <f t="shared" si="7"/>
        <v>1446.2277767250584</v>
      </c>
      <c r="P17" s="194">
        <f t="shared" si="7"/>
        <v>1619.7751099320656</v>
      </c>
      <c r="Q17" s="194">
        <f t="shared" si="7"/>
        <v>1814.1481231239136</v>
      </c>
      <c r="R17" s="194">
        <f t="shared" si="7"/>
        <v>2031.8458978987835</v>
      </c>
      <c r="S17" s="37"/>
      <c r="T17" s="37"/>
      <c r="U17" s="37"/>
      <c r="V17" s="37"/>
      <c r="W17" s="37"/>
      <c r="X17" s="37"/>
      <c r="Y17" s="37"/>
      <c r="Z17" s="37"/>
      <c r="AA17" s="37"/>
      <c r="AB17" s="37"/>
      <c r="AC17" s="37"/>
      <c r="AD17" s="37"/>
      <c r="AE17" s="37"/>
      <c r="AF17" s="37"/>
      <c r="AG17" s="37"/>
      <c r="AH17" s="37"/>
      <c r="AI17" s="37"/>
      <c r="AJ17" s="37"/>
      <c r="AK17" s="37"/>
      <c r="AL17" s="37"/>
      <c r="AM17" s="37"/>
      <c r="AN17" s="37"/>
      <c r="AO17" s="37"/>
    </row>
    <row r="18" spans="1:41" s="214" customFormat="1" x14ac:dyDescent="0.25">
      <c r="A18" s="215" t="s">
        <v>427</v>
      </c>
      <c r="D18" s="214">
        <f>D17/C17-1</f>
        <v>0.21439557059366354</v>
      </c>
      <c r="E18" s="214">
        <f>E17/D17-1</f>
        <v>0.16641337386018229</v>
      </c>
      <c r="F18" s="214">
        <f>F17/E17-1</f>
        <v>0.18349619978284482</v>
      </c>
      <c r="G18" s="214">
        <f>G17/F17-1</f>
        <v>5.7614678899082561E-2</v>
      </c>
      <c r="H18" s="214">
        <f>H17/G17-1</f>
        <v>0.13497571131158925</v>
      </c>
      <c r="I18" s="214">
        <f>0.12</f>
        <v>0.12</v>
      </c>
      <c r="J18" s="214">
        <f>I18</f>
        <v>0.12</v>
      </c>
      <c r="K18" s="214">
        <f>J18</f>
        <v>0.12</v>
      </c>
      <c r="L18" s="214">
        <f>K18</f>
        <v>0.12</v>
      </c>
      <c r="M18" s="214">
        <f>L18</f>
        <v>0.12</v>
      </c>
      <c r="N18" s="214">
        <f t="shared" ref="N18:R18" si="8">M18</f>
        <v>0.12</v>
      </c>
      <c r="O18" s="214">
        <f t="shared" si="8"/>
        <v>0.12</v>
      </c>
      <c r="P18" s="214">
        <f t="shared" si="8"/>
        <v>0.12</v>
      </c>
      <c r="Q18" s="214">
        <f t="shared" si="8"/>
        <v>0.12</v>
      </c>
      <c r="R18" s="214">
        <f t="shared" si="8"/>
        <v>0.12</v>
      </c>
      <c r="S18" s="37"/>
      <c r="T18" s="37"/>
      <c r="U18" s="37"/>
      <c r="V18" s="37"/>
      <c r="W18" s="37"/>
      <c r="X18" s="37"/>
      <c r="Y18" s="37"/>
      <c r="Z18" s="37"/>
      <c r="AA18" s="37"/>
      <c r="AB18" s="37"/>
      <c r="AC18" s="37"/>
      <c r="AD18" s="37"/>
      <c r="AE18" s="37"/>
      <c r="AF18" s="37"/>
      <c r="AG18" s="37"/>
      <c r="AH18" s="37"/>
      <c r="AI18" s="37"/>
      <c r="AJ18" s="37"/>
      <c r="AK18" s="37"/>
      <c r="AL18" s="37"/>
      <c r="AM18" s="37"/>
      <c r="AN18" s="37"/>
      <c r="AO18" s="37"/>
    </row>
    <row r="19" spans="1:41" s="214" customFormat="1" x14ac:dyDescent="0.25">
      <c r="H19" s="214">
        <f>((H17/C17)^0.2)-1</f>
        <v>0.15010823755460367</v>
      </c>
      <c r="I19" s="214" t="s">
        <v>426</v>
      </c>
      <c r="S19" s="37"/>
      <c r="T19" s="37"/>
      <c r="U19" s="37"/>
      <c r="V19" s="37"/>
      <c r="W19" s="37"/>
      <c r="X19" s="37"/>
      <c r="Y19" s="37"/>
      <c r="Z19" s="37"/>
      <c r="AA19" s="37"/>
      <c r="AB19" s="37"/>
      <c r="AC19" s="37"/>
      <c r="AD19" s="37"/>
      <c r="AE19" s="37"/>
      <c r="AF19" s="37"/>
      <c r="AG19" s="37"/>
      <c r="AH19" s="37"/>
      <c r="AI19" s="37"/>
      <c r="AJ19" s="37"/>
      <c r="AK19" s="37"/>
      <c r="AL19" s="37"/>
      <c r="AM19" s="37"/>
      <c r="AN19" s="37"/>
      <c r="AO19" s="37"/>
    </row>
    <row r="20" spans="1:41" x14ac:dyDescent="0.25">
      <c r="A20" s="194" t="s">
        <v>433</v>
      </c>
      <c r="B20" s="193"/>
      <c r="C20" s="201">
        <v>-1095.5999999999999</v>
      </c>
      <c r="D20" s="201">
        <v>-1337.2</v>
      </c>
      <c r="E20" s="201">
        <v>-1648.107</v>
      </c>
      <c r="F20" s="201">
        <v>-1928.403</v>
      </c>
      <c r="G20" s="212">
        <v>-2169.2539999999999</v>
      </c>
      <c r="H20" s="212">
        <v>-2337.9</v>
      </c>
      <c r="I20" s="203">
        <f>-SUM(I17,I14,I11)*I21</f>
        <v>-2925.0933727011579</v>
      </c>
      <c r="J20" s="203">
        <f>-SUM(J17,J14,J11)*J21</f>
        <v>-3487.8734111332901</v>
      </c>
      <c r="K20" s="203">
        <f t="shared" ref="K20:R20" si="9">-SUM(K17,K14,K11)*K21</f>
        <v>-4277.4849649632797</v>
      </c>
      <c r="L20" s="203">
        <f t="shared" si="9"/>
        <v>-5108.8687369694198</v>
      </c>
      <c r="M20" s="203">
        <f t="shared" si="9"/>
        <v>-6273.8473386219948</v>
      </c>
      <c r="N20" s="203">
        <f t="shared" si="9"/>
        <v>-7474.5840852673446</v>
      </c>
      <c r="O20" s="203">
        <f t="shared" si="9"/>
        <v>-8843.0446857844163</v>
      </c>
      <c r="P20" s="203">
        <f t="shared" si="9"/>
        <v>-10670.766617532268</v>
      </c>
      <c r="Q20" s="203">
        <f t="shared" si="9"/>
        <v>-12442.222016538457</v>
      </c>
      <c r="R20" s="203">
        <f t="shared" si="9"/>
        <v>-14397.616169626723</v>
      </c>
      <c r="S20" s="37"/>
      <c r="T20" s="37"/>
      <c r="U20" s="37"/>
      <c r="V20" s="37"/>
      <c r="W20" s="37"/>
      <c r="X20" s="37"/>
      <c r="Y20" s="37"/>
      <c r="Z20" s="37"/>
      <c r="AA20" s="37"/>
      <c r="AB20" s="37"/>
      <c r="AC20" s="37"/>
      <c r="AD20" s="37"/>
      <c r="AE20" s="37"/>
      <c r="AF20" s="37"/>
      <c r="AG20" s="37"/>
      <c r="AH20" s="37"/>
      <c r="AI20" s="37"/>
      <c r="AJ20" s="37"/>
      <c r="AK20" s="37"/>
      <c r="AL20" s="37"/>
      <c r="AM20" s="37"/>
      <c r="AN20" s="37"/>
      <c r="AO20" s="37"/>
    </row>
    <row r="21" spans="1:41" s="214" customFormat="1" x14ac:dyDescent="0.25">
      <c r="A21" s="214" t="s">
        <v>223</v>
      </c>
      <c r="C21" s="214">
        <f t="shared" ref="C21:H21" si="10">C20/SUM(C17,C11,C14)*-1</f>
        <v>0.61330049261083741</v>
      </c>
      <c r="D21" s="214">
        <f t="shared" si="10"/>
        <v>0.61770140428677012</v>
      </c>
      <c r="E21" s="214">
        <f t="shared" si="10"/>
        <v>0.64586056901011046</v>
      </c>
      <c r="F21" s="214">
        <f t="shared" si="10"/>
        <v>0.64929393939393942</v>
      </c>
      <c r="G21" s="214">
        <f t="shared" si="10"/>
        <v>0.66162015432945975</v>
      </c>
      <c r="H21" s="214">
        <f t="shared" si="10"/>
        <v>0.6218315291113653</v>
      </c>
      <c r="I21" s="214">
        <v>0.64</v>
      </c>
      <c r="J21" s="214">
        <f t="shared" ref="J21:R21" si="11">I21</f>
        <v>0.64</v>
      </c>
      <c r="K21" s="214">
        <f t="shared" si="11"/>
        <v>0.64</v>
      </c>
      <c r="L21" s="214">
        <f t="shared" si="11"/>
        <v>0.64</v>
      </c>
      <c r="M21" s="214">
        <f t="shared" si="11"/>
        <v>0.64</v>
      </c>
      <c r="N21" s="214">
        <f t="shared" si="11"/>
        <v>0.64</v>
      </c>
      <c r="O21" s="214">
        <f t="shared" si="11"/>
        <v>0.64</v>
      </c>
      <c r="P21" s="214">
        <f t="shared" si="11"/>
        <v>0.64</v>
      </c>
      <c r="Q21" s="214">
        <f t="shared" si="11"/>
        <v>0.64</v>
      </c>
      <c r="R21" s="214">
        <f t="shared" si="11"/>
        <v>0.64</v>
      </c>
      <c r="S21" s="37"/>
      <c r="T21" s="37"/>
      <c r="U21" s="37"/>
      <c r="V21" s="37"/>
      <c r="W21" s="37"/>
      <c r="X21" s="37"/>
      <c r="Y21" s="37"/>
      <c r="Z21" s="37"/>
      <c r="AA21" s="37"/>
      <c r="AB21" s="37"/>
      <c r="AC21" s="37"/>
      <c r="AD21" s="37"/>
      <c r="AE21" s="37"/>
      <c r="AF21" s="37"/>
      <c r="AG21" s="37"/>
      <c r="AH21" s="37"/>
      <c r="AI21" s="37"/>
      <c r="AJ21" s="37"/>
      <c r="AK21" s="37"/>
      <c r="AL21" s="37"/>
      <c r="AM21" s="37"/>
      <c r="AN21" s="37"/>
      <c r="AO21" s="37"/>
    </row>
    <row r="22" spans="1:41" s="214" customFormat="1" x14ac:dyDescent="0.25">
      <c r="H22" s="214">
        <f>AVERAGE(D21:H21)</f>
        <v>0.63926151922632901</v>
      </c>
      <c r="I22" s="214" t="s">
        <v>22</v>
      </c>
      <c r="S22" s="37"/>
      <c r="T22" s="37"/>
      <c r="U22" s="37"/>
      <c r="V22" s="37"/>
      <c r="W22" s="37"/>
      <c r="X22" s="37"/>
      <c r="Y22" s="37"/>
      <c r="Z22" s="37"/>
      <c r="AA22" s="37"/>
      <c r="AB22" s="37"/>
      <c r="AC22" s="37"/>
      <c r="AD22" s="37"/>
      <c r="AE22" s="37"/>
      <c r="AF22" s="37"/>
      <c r="AG22" s="37"/>
      <c r="AH22" s="37"/>
      <c r="AI22" s="37"/>
      <c r="AJ22" s="37"/>
      <c r="AK22" s="37"/>
      <c r="AL22" s="37"/>
      <c r="AM22" s="37"/>
      <c r="AN22" s="37"/>
      <c r="AO22" s="37"/>
    </row>
    <row r="23" spans="1:41" x14ac:dyDescent="0.25">
      <c r="A23" s="194" t="s">
        <v>432</v>
      </c>
      <c r="B23" s="193"/>
      <c r="C23" s="199">
        <v>-0.13200000000017553</v>
      </c>
      <c r="D23" s="199">
        <v>-4.0000000001327862E-3</v>
      </c>
      <c r="E23" s="199">
        <v>8.5089999999997872</v>
      </c>
      <c r="F23" s="199">
        <v>10.144999999999982</v>
      </c>
      <c r="G23" s="213">
        <v>23.789999999999736</v>
      </c>
      <c r="H23" s="202">
        <v>-87.834999999999809</v>
      </c>
      <c r="I23" s="193"/>
      <c r="J23" s="193"/>
      <c r="K23" s="193"/>
      <c r="L23" s="193"/>
      <c r="M23" s="193"/>
      <c r="N23" s="193"/>
      <c r="O23" s="193"/>
      <c r="P23" s="197"/>
      <c r="Q23" s="197"/>
      <c r="R23" s="197"/>
      <c r="S23" s="37"/>
      <c r="T23" s="37"/>
      <c r="U23" s="37"/>
      <c r="V23" s="37"/>
      <c r="W23" s="37"/>
      <c r="X23" s="37"/>
      <c r="Y23" s="37"/>
      <c r="Z23" s="37"/>
      <c r="AA23" s="37"/>
      <c r="AB23" s="37"/>
      <c r="AC23" s="37"/>
      <c r="AD23" s="37"/>
      <c r="AE23" s="37"/>
      <c r="AF23" s="37"/>
      <c r="AG23" s="37"/>
      <c r="AH23" s="37"/>
      <c r="AI23" s="37"/>
      <c r="AJ23" s="37"/>
      <c r="AK23" s="37"/>
      <c r="AL23" s="37"/>
      <c r="AM23" s="37"/>
      <c r="AN23" s="37"/>
      <c r="AO23" s="37"/>
    </row>
    <row r="24" spans="1:41" x14ac:dyDescent="0.25">
      <c r="A24" s="194" t="s">
        <v>431</v>
      </c>
      <c r="B24" s="193"/>
      <c r="C24" s="201">
        <f t="shared" ref="C24:R24" si="12">SUM(C23,C20,C17,C14,C11)</f>
        <v>690.66800000000012</v>
      </c>
      <c r="D24" s="201">
        <f t="shared" si="12"/>
        <v>827.59599999999978</v>
      </c>
      <c r="E24" s="201">
        <f t="shared" si="12"/>
        <v>912.20199999999977</v>
      </c>
      <c r="F24" s="201">
        <f t="shared" si="12"/>
        <v>1051.742</v>
      </c>
      <c r="G24" s="212">
        <f t="shared" si="12"/>
        <v>1133.2360000000001</v>
      </c>
      <c r="H24" s="204">
        <f t="shared" si="12"/>
        <v>1333.9650000000004</v>
      </c>
      <c r="I24" s="201">
        <f t="shared" si="12"/>
        <v>1645.3650221444013</v>
      </c>
      <c r="J24" s="201">
        <f t="shared" si="12"/>
        <v>1961.9287937624758</v>
      </c>
      <c r="K24" s="201">
        <f t="shared" si="12"/>
        <v>2406.0852927918445</v>
      </c>
      <c r="L24" s="201">
        <f t="shared" si="12"/>
        <v>2873.738664545298</v>
      </c>
      <c r="M24" s="201">
        <f t="shared" si="12"/>
        <v>3529.0391279748728</v>
      </c>
      <c r="N24" s="201">
        <f t="shared" si="12"/>
        <v>4204.4535479628821</v>
      </c>
      <c r="O24" s="201">
        <f t="shared" si="12"/>
        <v>4974.2126357537327</v>
      </c>
      <c r="P24" s="201">
        <f t="shared" si="12"/>
        <v>6002.3062223618999</v>
      </c>
      <c r="Q24" s="201">
        <f t="shared" si="12"/>
        <v>6998.7498843028825</v>
      </c>
      <c r="R24" s="201">
        <f t="shared" si="12"/>
        <v>8098.6590954150324</v>
      </c>
      <c r="S24" s="37"/>
      <c r="T24" s="37"/>
      <c r="U24" s="37"/>
      <c r="V24" s="37"/>
      <c r="W24" s="37"/>
      <c r="X24" s="37"/>
      <c r="Y24" s="37"/>
      <c r="Z24" s="37"/>
      <c r="AA24" s="37"/>
      <c r="AB24" s="37"/>
      <c r="AC24" s="37"/>
      <c r="AD24" s="37"/>
      <c r="AE24" s="37"/>
      <c r="AF24" s="37"/>
      <c r="AG24" s="37"/>
      <c r="AH24" s="37"/>
      <c r="AI24" s="37"/>
      <c r="AJ24" s="37"/>
      <c r="AK24" s="37"/>
      <c r="AL24" s="37"/>
      <c r="AM24" s="37"/>
      <c r="AN24" s="37"/>
      <c r="AO24" s="37"/>
    </row>
    <row r="25" spans="1:41" x14ac:dyDescent="0.25">
      <c r="A25" s="194" t="s">
        <v>430</v>
      </c>
      <c r="B25" s="193"/>
      <c r="C25" s="199">
        <v>-168.5</v>
      </c>
      <c r="D25" s="199">
        <v>-154.19999999999999</v>
      </c>
      <c r="E25" s="199">
        <v>-154.5</v>
      </c>
      <c r="F25" s="199">
        <v>-197.9</v>
      </c>
      <c r="G25" s="213">
        <v>-202.9</v>
      </c>
      <c r="H25" s="202">
        <v>-269.8</v>
      </c>
      <c r="I25" s="199">
        <f t="shared" ref="I25:R25" si="13">-I26*I24</f>
        <v>-329.07300442888027</v>
      </c>
      <c r="J25" s="199">
        <f t="shared" si="13"/>
        <v>-490.48219844061896</v>
      </c>
      <c r="K25" s="199">
        <f t="shared" si="13"/>
        <v>-601.52132319796112</v>
      </c>
      <c r="L25" s="199">
        <f t="shared" si="13"/>
        <v>-718.43466613632449</v>
      </c>
      <c r="M25" s="199">
        <f t="shared" si="13"/>
        <v>-882.25978199371821</v>
      </c>
      <c r="N25" s="199">
        <f t="shared" si="13"/>
        <v>-1051.1133869907205</v>
      </c>
      <c r="O25" s="199">
        <f t="shared" si="13"/>
        <v>-1243.5531589384332</v>
      </c>
      <c r="P25" s="199">
        <f t="shared" si="13"/>
        <v>-1500.576555590475</v>
      </c>
      <c r="Q25" s="199">
        <f t="shared" si="13"/>
        <v>-1749.6874710757206</v>
      </c>
      <c r="R25" s="199">
        <f t="shared" si="13"/>
        <v>-2024.6647738537581</v>
      </c>
      <c r="S25" s="37"/>
      <c r="T25" s="37"/>
      <c r="U25" s="37"/>
      <c r="V25" s="37"/>
      <c r="W25" s="37"/>
      <c r="X25" s="37"/>
      <c r="Y25" s="37"/>
      <c r="Z25" s="37"/>
      <c r="AA25" s="37"/>
      <c r="AB25" s="37"/>
      <c r="AC25" s="37"/>
      <c r="AD25" s="37"/>
      <c r="AE25" s="37"/>
      <c r="AF25" s="37"/>
      <c r="AG25" s="37"/>
      <c r="AH25" s="37"/>
      <c r="AI25" s="37"/>
      <c r="AJ25" s="37"/>
      <c r="AK25" s="37"/>
    </row>
    <row r="26" spans="1:41" s="214" customFormat="1" x14ac:dyDescent="0.25">
      <c r="A26" s="214" t="s">
        <v>429</v>
      </c>
      <c r="C26" s="214">
        <f t="shared" ref="C26:H26" si="14">-C25/C24</f>
        <v>0.24396671048897584</v>
      </c>
      <c r="D26" s="214">
        <f t="shared" si="14"/>
        <v>0.18632279518025707</v>
      </c>
      <c r="E26" s="214">
        <f t="shared" si="14"/>
        <v>0.16937038068322591</v>
      </c>
      <c r="F26" s="214">
        <f t="shared" si="14"/>
        <v>0.18816401741111413</v>
      </c>
      <c r="G26" s="214">
        <f t="shared" si="14"/>
        <v>0.17904478855242861</v>
      </c>
      <c r="H26" s="214">
        <f t="shared" si="14"/>
        <v>0.20225418208123896</v>
      </c>
      <c r="I26" s="214">
        <v>0.2</v>
      </c>
      <c r="J26" s="214">
        <f>0.25</f>
        <v>0.25</v>
      </c>
      <c r="K26" s="214">
        <f t="shared" ref="K26:R26" si="15">J26</f>
        <v>0.25</v>
      </c>
      <c r="L26" s="214">
        <f t="shared" si="15"/>
        <v>0.25</v>
      </c>
      <c r="M26" s="214">
        <f t="shared" si="15"/>
        <v>0.25</v>
      </c>
      <c r="N26" s="214">
        <f t="shared" si="15"/>
        <v>0.25</v>
      </c>
      <c r="O26" s="214">
        <f t="shared" si="15"/>
        <v>0.25</v>
      </c>
      <c r="P26" s="214">
        <f t="shared" si="15"/>
        <v>0.25</v>
      </c>
      <c r="Q26" s="214">
        <f t="shared" si="15"/>
        <v>0.25</v>
      </c>
      <c r="R26" s="214">
        <f t="shared" si="15"/>
        <v>0.25</v>
      </c>
      <c r="S26" s="191" t="s">
        <v>451</v>
      </c>
      <c r="T26" s="37"/>
      <c r="U26" s="37"/>
      <c r="V26" s="37"/>
      <c r="W26" s="37"/>
      <c r="X26" s="37"/>
      <c r="Y26" s="37"/>
      <c r="Z26" s="37"/>
      <c r="AA26" s="37"/>
      <c r="AB26" s="37"/>
      <c r="AC26" s="37"/>
      <c r="AD26" s="37"/>
      <c r="AE26" s="37"/>
      <c r="AF26" s="37"/>
      <c r="AG26" s="37"/>
      <c r="AH26" s="37"/>
      <c r="AI26" s="37"/>
      <c r="AJ26" s="37"/>
      <c r="AK26" s="37"/>
    </row>
    <row r="27" spans="1:41" ht="17.25" x14ac:dyDescent="0.25">
      <c r="A27" s="195"/>
      <c r="B27" s="193"/>
      <c r="C27" s="199"/>
      <c r="D27" s="191"/>
      <c r="E27" s="191"/>
      <c r="F27" s="193"/>
      <c r="G27" s="209"/>
      <c r="H27" s="192"/>
      <c r="I27" s="193"/>
      <c r="J27" s="193"/>
      <c r="K27" s="193"/>
      <c r="L27" s="193"/>
      <c r="M27" s="193"/>
      <c r="N27" s="193"/>
      <c r="O27" s="193"/>
      <c r="P27" s="197"/>
      <c r="Q27" s="197"/>
      <c r="R27" s="197"/>
      <c r="S27" s="37"/>
      <c r="T27" s="37"/>
      <c r="U27" s="37"/>
    </row>
    <row r="28" spans="1:41" x14ac:dyDescent="0.25">
      <c r="A28" s="194" t="s">
        <v>428</v>
      </c>
      <c r="B28" s="193"/>
      <c r="C28" s="199">
        <f t="shared" ref="C28:Q28" si="16">SUM(C20,C17,C14,C11,C23,C25)</f>
        <v>522.16800000000001</v>
      </c>
      <c r="D28" s="199">
        <f t="shared" si="16"/>
        <v>673.39599999999973</v>
      </c>
      <c r="E28" s="199">
        <f t="shared" si="16"/>
        <v>757.70199999999977</v>
      </c>
      <c r="F28" s="199">
        <f t="shared" si="16"/>
        <v>853.84199999999998</v>
      </c>
      <c r="G28" s="213">
        <f t="shared" si="16"/>
        <v>930.3359999999999</v>
      </c>
      <c r="H28" s="202">
        <f>SUM(H20,H17,H14,H11,H23,H25)</f>
        <v>1064.1650000000002</v>
      </c>
      <c r="I28" s="199">
        <f>SUM(I20,I17,I14,I11,I23,I25)</f>
        <v>1316.2920177155211</v>
      </c>
      <c r="J28" s="199">
        <f>SUM(J20,J17,J14,J11,J23,J25)</f>
        <v>1471.4465953218569</v>
      </c>
      <c r="K28" s="199">
        <f t="shared" si="16"/>
        <v>1804.5639695938835</v>
      </c>
      <c r="L28" s="199">
        <f t="shared" si="16"/>
        <v>2155.3039984089737</v>
      </c>
      <c r="M28" s="199">
        <f t="shared" si="16"/>
        <v>2646.7793459811546</v>
      </c>
      <c r="N28" s="199">
        <f t="shared" si="16"/>
        <v>3153.3401609721614</v>
      </c>
      <c r="O28" s="199">
        <f t="shared" si="16"/>
        <v>3730.6594768152995</v>
      </c>
      <c r="P28" s="199">
        <f t="shared" si="16"/>
        <v>4501.7296667714254</v>
      </c>
      <c r="Q28" s="199">
        <f t="shared" si="16"/>
        <v>5249.0624132271623</v>
      </c>
      <c r="R28" s="199">
        <f>SUM(R20,R17,R14,R11,R23,R25)</f>
        <v>6073.9943215612748</v>
      </c>
      <c r="S28" s="232">
        <f>R28*(1+S42)</f>
        <v>6951.3351717055129</v>
      </c>
      <c r="T28" s="232">
        <f t="shared" ref="T28:AH28" si="17">S28*(1+T42)</f>
        <v>7867.009272255269</v>
      </c>
      <c r="U28" s="232">
        <f t="shared" si="17"/>
        <v>8803.2665116407461</v>
      </c>
      <c r="V28" s="232">
        <f t="shared" si="17"/>
        <v>9739.0077209192368</v>
      </c>
      <c r="W28" s="232">
        <f t="shared" si="17"/>
        <v>10650.374099559464</v>
      </c>
      <c r="X28" s="232">
        <f t="shared" si="17"/>
        <v>11511.597233711513</v>
      </c>
      <c r="Y28" s="232">
        <f t="shared" si="17"/>
        <v>12296.082495553068</v>
      </c>
      <c r="Z28" s="232">
        <f t="shared" si="17"/>
        <v>12977.673908445946</v>
      </c>
      <c r="AA28" s="232">
        <f t="shared" si="17"/>
        <v>13532.025571652914</v>
      </c>
      <c r="AB28" s="232">
        <f>AA28*(1+AB42)</f>
        <v>13937.986338802501</v>
      </c>
      <c r="AC28" s="232">
        <f t="shared" si="17"/>
        <v>14356.125928966576</v>
      </c>
      <c r="AD28" s="232">
        <f t="shared" si="17"/>
        <v>14786.809706835573</v>
      </c>
      <c r="AE28" s="232">
        <f t="shared" si="17"/>
        <v>15230.41399804064</v>
      </c>
      <c r="AF28" s="232">
        <f t="shared" si="17"/>
        <v>15687.32641798186</v>
      </c>
      <c r="AG28" s="232">
        <f t="shared" si="17"/>
        <v>16157.946210521315</v>
      </c>
      <c r="AH28" s="232">
        <f t="shared" si="17"/>
        <v>16642.684596836956</v>
      </c>
    </row>
    <row r="29" spans="1:41" s="214" customFormat="1" x14ac:dyDescent="0.25">
      <c r="A29" s="214" t="s">
        <v>427</v>
      </c>
      <c r="D29" s="214">
        <f t="shared" ref="D29:R29" si="18">D28/C28-1</f>
        <v>0.28961560264129504</v>
      </c>
      <c r="E29" s="214">
        <f t="shared" si="18"/>
        <v>0.12519527885523529</v>
      </c>
      <c r="F29" s="214">
        <f t="shared" si="18"/>
        <v>0.12688365610754659</v>
      </c>
      <c r="G29" s="214">
        <f t="shared" si="18"/>
        <v>8.9588003401097627E-2</v>
      </c>
      <c r="H29" s="214">
        <f t="shared" si="18"/>
        <v>0.14385017886011098</v>
      </c>
      <c r="I29" s="214">
        <f>I28/H28-1</f>
        <v>0.23692474166649058</v>
      </c>
      <c r="J29" s="214">
        <f>J28/I28-1</f>
        <v>0.11787245954405545</v>
      </c>
      <c r="K29" s="214">
        <f t="shared" si="18"/>
        <v>0.22638767545563709</v>
      </c>
      <c r="L29" s="214">
        <f t="shared" si="18"/>
        <v>0.19436275727816077</v>
      </c>
      <c r="M29" s="214">
        <f t="shared" si="18"/>
        <v>0.22803063880314967</v>
      </c>
      <c r="N29" s="214">
        <f t="shared" si="18"/>
        <v>0.19138762578004997</v>
      </c>
      <c r="O29" s="214">
        <f t="shared" si="18"/>
        <v>0.18308183905701858</v>
      </c>
      <c r="P29" s="214">
        <f t="shared" si="18"/>
        <v>0.20668468798828954</v>
      </c>
      <c r="Q29" s="214">
        <f t="shared" si="18"/>
        <v>0.16601013427616884</v>
      </c>
      <c r="R29" s="214">
        <f t="shared" si="18"/>
        <v>0.15715795381959241</v>
      </c>
      <c r="S29" s="37"/>
      <c r="T29" s="37"/>
      <c r="U29" s="37"/>
    </row>
    <row r="30" spans="1:41" s="214" customFormat="1" x14ac:dyDescent="0.25">
      <c r="H30" s="214">
        <f>((H28/C28)^0.2)-1</f>
        <v>0.1530277072568198</v>
      </c>
      <c r="I30" s="214" t="s">
        <v>426</v>
      </c>
      <c r="S30" s="37"/>
      <c r="T30" s="37"/>
      <c r="U30" s="37"/>
    </row>
    <row r="31" spans="1:41" s="214" customFormat="1" x14ac:dyDescent="0.25">
      <c r="A31" s="215" t="s">
        <v>425</v>
      </c>
      <c r="H31" s="214">
        <v>0.86</v>
      </c>
      <c r="I31" s="214">
        <f>H31</f>
        <v>0.86</v>
      </c>
      <c r="J31" s="214">
        <f>I31</f>
        <v>0.86</v>
      </c>
      <c r="K31" s="214">
        <f>J31</f>
        <v>0.86</v>
      </c>
      <c r="L31" s="214">
        <f>K31</f>
        <v>0.86</v>
      </c>
      <c r="M31" s="214">
        <f>L31</f>
        <v>0.86</v>
      </c>
      <c r="N31" s="214">
        <f>0.81</f>
        <v>0.81</v>
      </c>
      <c r="O31" s="214">
        <f>0.77</f>
        <v>0.77</v>
      </c>
      <c r="P31" s="214">
        <f>0.74</f>
        <v>0.74</v>
      </c>
      <c r="Q31" s="214">
        <f>0.72</f>
        <v>0.72</v>
      </c>
      <c r="R31" s="214">
        <f>Q31-0.02</f>
        <v>0.7</v>
      </c>
      <c r="S31" s="98">
        <v>0.7</v>
      </c>
      <c r="T31" s="98">
        <v>0.7</v>
      </c>
      <c r="U31" s="98">
        <v>0.7</v>
      </c>
      <c r="V31" s="98">
        <v>0.7</v>
      </c>
      <c r="W31" s="98">
        <v>0.7</v>
      </c>
      <c r="X31" s="98">
        <v>0.7</v>
      </c>
      <c r="Y31" s="98">
        <v>0.7</v>
      </c>
      <c r="Z31" s="98">
        <v>0.7</v>
      </c>
      <c r="AA31" s="98">
        <v>0.7</v>
      </c>
      <c r="AB31" s="98">
        <v>0.7</v>
      </c>
      <c r="AC31" s="98">
        <v>0.7</v>
      </c>
      <c r="AD31" s="98">
        <v>0.7</v>
      </c>
      <c r="AE31" s="98">
        <v>0.7</v>
      </c>
      <c r="AF31" s="98">
        <v>0.7</v>
      </c>
      <c r="AG31" s="98">
        <v>0.7</v>
      </c>
      <c r="AH31" s="98">
        <v>0.7</v>
      </c>
    </row>
    <row r="32" spans="1:41" s="214" customFormat="1" ht="12.75" x14ac:dyDescent="0.2">
      <c r="A32" s="215" t="s">
        <v>424</v>
      </c>
      <c r="H32" s="214">
        <f t="shared" ref="H32:AH32" si="19">1-H31</f>
        <v>0.14000000000000001</v>
      </c>
      <c r="I32" s="214">
        <f t="shared" si="19"/>
        <v>0.14000000000000001</v>
      </c>
      <c r="J32" s="214">
        <f t="shared" si="19"/>
        <v>0.14000000000000001</v>
      </c>
      <c r="K32" s="214">
        <f t="shared" si="19"/>
        <v>0.14000000000000001</v>
      </c>
      <c r="L32" s="214">
        <f t="shared" si="19"/>
        <v>0.14000000000000001</v>
      </c>
      <c r="M32" s="214">
        <f t="shared" si="19"/>
        <v>0.14000000000000001</v>
      </c>
      <c r="N32" s="214">
        <f t="shared" si="19"/>
        <v>0.18999999999999995</v>
      </c>
      <c r="O32" s="214">
        <f t="shared" si="19"/>
        <v>0.22999999999999998</v>
      </c>
      <c r="P32" s="214">
        <f t="shared" si="19"/>
        <v>0.26</v>
      </c>
      <c r="Q32" s="214">
        <f t="shared" si="19"/>
        <v>0.28000000000000003</v>
      </c>
      <c r="R32" s="214">
        <f t="shared" si="19"/>
        <v>0.30000000000000004</v>
      </c>
      <c r="S32" s="214">
        <f t="shared" si="19"/>
        <v>0.30000000000000004</v>
      </c>
      <c r="T32" s="214">
        <f t="shared" si="19"/>
        <v>0.30000000000000004</v>
      </c>
      <c r="U32" s="214">
        <f t="shared" si="19"/>
        <v>0.30000000000000004</v>
      </c>
      <c r="V32" s="214">
        <f t="shared" si="19"/>
        <v>0.30000000000000004</v>
      </c>
      <c r="W32" s="214">
        <f t="shared" si="19"/>
        <v>0.30000000000000004</v>
      </c>
      <c r="X32" s="214">
        <f t="shared" si="19"/>
        <v>0.30000000000000004</v>
      </c>
      <c r="Y32" s="214">
        <f t="shared" si="19"/>
        <v>0.30000000000000004</v>
      </c>
      <c r="Z32" s="214">
        <f t="shared" si="19"/>
        <v>0.30000000000000004</v>
      </c>
      <c r="AA32" s="214">
        <f t="shared" si="19"/>
        <v>0.30000000000000004</v>
      </c>
      <c r="AB32" s="214">
        <f t="shared" si="19"/>
        <v>0.30000000000000004</v>
      </c>
      <c r="AC32" s="214">
        <f t="shared" si="19"/>
        <v>0.30000000000000004</v>
      </c>
      <c r="AD32" s="214">
        <f t="shared" si="19"/>
        <v>0.30000000000000004</v>
      </c>
      <c r="AE32" s="214">
        <f t="shared" si="19"/>
        <v>0.30000000000000004</v>
      </c>
      <c r="AF32" s="214">
        <f t="shared" si="19"/>
        <v>0.30000000000000004</v>
      </c>
      <c r="AG32" s="214">
        <f t="shared" si="19"/>
        <v>0.30000000000000004</v>
      </c>
      <c r="AH32" s="214">
        <f t="shared" si="19"/>
        <v>0.30000000000000004</v>
      </c>
    </row>
    <row r="33" spans="1:34" x14ac:dyDescent="0.25">
      <c r="A33" s="194" t="s">
        <v>423</v>
      </c>
      <c r="B33" s="193"/>
      <c r="C33" s="200"/>
      <c r="D33" s="200"/>
      <c r="E33" s="200"/>
      <c r="F33" s="200"/>
      <c r="G33" s="200"/>
      <c r="H33" s="199">
        <f>H28*H32</f>
        <v>148.98310000000004</v>
      </c>
      <c r="I33" s="199">
        <f t="shared" ref="I33:Q33" si="20">I28*I32</f>
        <v>184.28088248017298</v>
      </c>
      <c r="J33" s="199">
        <f t="shared" si="20"/>
        <v>206.00252334505998</v>
      </c>
      <c r="K33" s="199">
        <f t="shared" si="20"/>
        <v>252.63895574314373</v>
      </c>
      <c r="L33" s="199">
        <f t="shared" si="20"/>
        <v>301.74255977725636</v>
      </c>
      <c r="M33" s="199">
        <f t="shared" si="20"/>
        <v>370.54910843736167</v>
      </c>
      <c r="N33" s="199">
        <f t="shared" si="20"/>
        <v>599.13463058471052</v>
      </c>
      <c r="O33" s="199">
        <f t="shared" si="20"/>
        <v>858.05167966751878</v>
      </c>
      <c r="P33" s="199">
        <f t="shared" si="20"/>
        <v>1170.4497133605707</v>
      </c>
      <c r="Q33" s="199">
        <f t="shared" si="20"/>
        <v>1469.7374757036057</v>
      </c>
      <c r="R33" s="199">
        <f>R28*R32</f>
        <v>1822.1982964683828</v>
      </c>
      <c r="S33" s="199">
        <f>S28*S32</f>
        <v>2085.4005515116542</v>
      </c>
      <c r="T33" s="199">
        <f t="shared" ref="T33:AA33" si="21">T28*T32</f>
        <v>2360.1027816765809</v>
      </c>
      <c r="U33" s="199">
        <f t="shared" si="21"/>
        <v>2640.979953492224</v>
      </c>
      <c r="V33" s="199">
        <f t="shared" si="21"/>
        <v>2921.7023162757714</v>
      </c>
      <c r="W33" s="199">
        <f t="shared" si="21"/>
        <v>3195.1122298678397</v>
      </c>
      <c r="X33" s="199">
        <f t="shared" si="21"/>
        <v>3453.4791701134545</v>
      </c>
      <c r="Y33" s="199">
        <f t="shared" si="21"/>
        <v>3688.8247486659211</v>
      </c>
      <c r="Z33" s="199">
        <f t="shared" si="21"/>
        <v>3893.3021725337844</v>
      </c>
      <c r="AA33" s="199">
        <f t="shared" si="21"/>
        <v>4059.6076714958749</v>
      </c>
      <c r="AB33" s="199">
        <f>AB28*AB32</f>
        <v>4181.3959016407507</v>
      </c>
      <c r="AC33" s="199">
        <f t="shared" ref="AC33" si="22">AC28*AC32</f>
        <v>4306.8377786899737</v>
      </c>
      <c r="AD33" s="199">
        <f t="shared" ref="AD33" si="23">AD28*AD32</f>
        <v>4436.0429120506724</v>
      </c>
      <c r="AE33" s="199">
        <f t="shared" ref="AE33" si="24">AE28*AE32</f>
        <v>4569.1241994121929</v>
      </c>
      <c r="AF33" s="199">
        <f t="shared" ref="AF33" si="25">AF28*AF32</f>
        <v>4706.1979253945583</v>
      </c>
      <c r="AG33" s="199">
        <f t="shared" ref="AG33" si="26">AG28*AG32</f>
        <v>4847.3838631563949</v>
      </c>
      <c r="AH33" s="199">
        <f t="shared" ref="AH33" si="27">AH28*AH32</f>
        <v>4992.8053790510876</v>
      </c>
    </row>
    <row r="34" spans="1:34" x14ac:dyDescent="0.25">
      <c r="A34" s="194" t="s">
        <v>422</v>
      </c>
      <c r="B34" s="193"/>
      <c r="C34" s="199"/>
      <c r="D34" s="191"/>
      <c r="E34" s="191"/>
      <c r="F34" s="193"/>
      <c r="G34" s="193"/>
      <c r="H34" s="198">
        <v>179.7</v>
      </c>
      <c r="I34" s="198">
        <f>H34*(1+$D$35)</f>
        <v>185.68220121668568</v>
      </c>
      <c r="J34" s="198">
        <f t="shared" ref="J34:Q34" si="28">I34*(1+$D$35)</f>
        <v>191.86354951960908</v>
      </c>
      <c r="K34" s="198">
        <f t="shared" si="28"/>
        <v>198.25067450221255</v>
      </c>
      <c r="L34" s="198">
        <f t="shared" si="28"/>
        <v>204.8504264566694</v>
      </c>
      <c r="M34" s="198">
        <f t="shared" si="28"/>
        <v>211.66988372093024</v>
      </c>
      <c r="N34" s="198">
        <f>M34*(1+$D$35)</f>
        <v>218.71636027035188</v>
      </c>
      <c r="O34" s="198">
        <f t="shared" si="28"/>
        <v>225.99741356205121</v>
      </c>
      <c r="P34" s="198">
        <f t="shared" si="28"/>
        <v>233.52085264039692</v>
      </c>
      <c r="Q34" s="198">
        <f t="shared" si="28"/>
        <v>241.29474651233272</v>
      </c>
      <c r="R34" s="198">
        <f>Q34*(1+$D$35)</f>
        <v>249.32743280151439</v>
      </c>
      <c r="S34" s="198">
        <f>R34*(1+$D$35/2)</f>
        <v>253.47747974602842</v>
      </c>
      <c r="T34" s="198">
        <f t="shared" ref="T34:AB34" si="29">S34*(1+$D$35-1%)</f>
        <v>259.38095362825158</v>
      </c>
      <c r="U34" s="198">
        <f t="shared" si="29"/>
        <v>265.4219190300883</v>
      </c>
      <c r="V34" s="198">
        <f t="shared" si="29"/>
        <v>271.60357812001473</v>
      </c>
      <c r="W34" s="198">
        <f t="shared" si="29"/>
        <v>277.9292076448009</v>
      </c>
      <c r="X34" s="198">
        <f t="shared" si="29"/>
        <v>284.40216066643427</v>
      </c>
      <c r="Y34" s="198">
        <f t="shared" si="29"/>
        <v>291.02586833949607</v>
      </c>
      <c r="Z34" s="198">
        <f t="shared" si="29"/>
        <v>297.80384172993274</v>
      </c>
      <c r="AA34" s="198">
        <f t="shared" si="29"/>
        <v>304.73967367618644</v>
      </c>
      <c r="AB34" s="198">
        <f t="shared" si="29"/>
        <v>311.83704069367104</v>
      </c>
      <c r="AC34" s="198">
        <f t="shared" ref="AC34" si="30">AB34*(1+$D$35)</f>
        <v>322.21807533053999</v>
      </c>
      <c r="AD34" s="198">
        <f t="shared" ref="AD34" si="31">AC34*(1+$D$35)</f>
        <v>332.94469392976362</v>
      </c>
      <c r="AE34" s="198">
        <f t="shared" ref="AE34" si="32">AD34*(1+$D$35)</f>
        <v>344.02840095878798</v>
      </c>
      <c r="AF34" s="198">
        <f t="shared" ref="AF34" si="33">AE34*(1+$D$35)</f>
        <v>355.48108386802613</v>
      </c>
    </row>
    <row r="35" spans="1:34" x14ac:dyDescent="0.25">
      <c r="A35" t="s">
        <v>75</v>
      </c>
      <c r="B35">
        <v>146.19999999999999</v>
      </c>
      <c r="C35" s="37">
        <v>172.21</v>
      </c>
      <c r="D35" s="178">
        <f>((C35/B35)^0.2-1)</f>
        <v>3.3289934427855883E-2</v>
      </c>
      <c r="G35" t="s">
        <v>400</v>
      </c>
      <c r="H35" s="37">
        <v>0.79</v>
      </c>
      <c r="I35" s="221">
        <f>I33/I34</f>
        <v>0.99245313375579058</v>
      </c>
      <c r="J35" s="221">
        <f t="shared" ref="J35:V35" si="34">J33/J34</f>
        <v>1.0736928606859004</v>
      </c>
      <c r="K35" s="221">
        <f t="shared" si="34"/>
        <v>1.2743409644254411</v>
      </c>
      <c r="L35" s="221">
        <f t="shared" si="34"/>
        <v>1.472989658828374</v>
      </c>
      <c r="M35" s="221">
        <f t="shared" si="34"/>
        <v>1.7505991023545935</v>
      </c>
      <c r="N35" s="221">
        <f t="shared" si="34"/>
        <v>2.7393224258310149</v>
      </c>
      <c r="O35" s="221">
        <f t="shared" si="34"/>
        <v>3.7967322994691131</v>
      </c>
      <c r="P35" s="221">
        <f t="shared" si="34"/>
        <v>5.0121849938727649</v>
      </c>
      <c r="Q35" s="221">
        <f t="shared" si="34"/>
        <v>6.0910463113977764</v>
      </c>
      <c r="R35" s="221">
        <f t="shared" si="34"/>
        <v>7.3084548940068137</v>
      </c>
      <c r="S35" s="221">
        <f>S33/S34</f>
        <v>8.2271630347639544</v>
      </c>
      <c r="T35" s="221">
        <f t="shared" si="34"/>
        <v>9.0989825916790839</v>
      </c>
      <c r="U35" s="221">
        <f t="shared" si="34"/>
        <v>9.9501200320718119</v>
      </c>
      <c r="V35" s="221">
        <f t="shared" si="34"/>
        <v>10.757230580315644</v>
      </c>
      <c r="W35" s="221">
        <f t="shared" ref="W35:AA35" si="35">W33/W34</f>
        <v>11.496136936968702</v>
      </c>
      <c r="X35" s="221">
        <f t="shared" si="35"/>
        <v>12.142942803321118</v>
      </c>
      <c r="Y35" s="221">
        <f t="shared" si="35"/>
        <v>12.675246945274035</v>
      </c>
      <c r="Z35" s="221">
        <f t="shared" si="35"/>
        <v>13.073377931989459</v>
      </c>
      <c r="AA35" s="221">
        <f t="shared" si="35"/>
        <v>13.321559423239314</v>
      </c>
      <c r="AB35" s="221">
        <f>AB33/AB34</f>
        <v>13.408913490005471</v>
      </c>
      <c r="AC35" s="221">
        <f t="shared" ref="AC35:AG35" si="36">AC33/AC34</f>
        <v>13.366220297455079</v>
      </c>
      <c r="AD35" s="221">
        <f t="shared" si="36"/>
        <v>13.323663037520815</v>
      </c>
      <c r="AE35" s="221">
        <f t="shared" si="36"/>
        <v>13.281241277401222</v>
      </c>
      <c r="AF35" s="221">
        <f>AF33/AF34</f>
        <v>13.238954585672847</v>
      </c>
      <c r="AG35" s="221" t="e">
        <f t="shared" si="36"/>
        <v>#DIV/0!</v>
      </c>
    </row>
    <row r="36" spans="1:34" s="291" customFormat="1" ht="12.75" x14ac:dyDescent="0.2">
      <c r="A36" s="291" t="s">
        <v>472</v>
      </c>
      <c r="B36" s="291">
        <f>CAPM!C8</f>
        <v>6.8186551334749282E-2</v>
      </c>
      <c r="H36" s="291">
        <v>0.79</v>
      </c>
      <c r="I36" s="291">
        <v>0.99245313375579058</v>
      </c>
      <c r="J36" s="291">
        <v>1.0736928606859004</v>
      </c>
      <c r="K36" s="291">
        <v>1.2743409644254411</v>
      </c>
      <c r="L36" s="291">
        <v>1.472989658828374</v>
      </c>
      <c r="M36" s="291">
        <v>1.7505991023545935</v>
      </c>
      <c r="N36" s="291">
        <v>2.7393224258310149</v>
      </c>
      <c r="O36" s="291">
        <v>3.7967322994691131</v>
      </c>
      <c r="P36" s="291">
        <v>5.0121849938727649</v>
      </c>
      <c r="Q36" s="291">
        <v>6.0910463113977764</v>
      </c>
      <c r="R36" s="291">
        <v>7.3084548940068137</v>
      </c>
      <c r="S36" s="291">
        <v>8.0946340567737547</v>
      </c>
      <c r="T36" s="291">
        <v>8.8657698639169027</v>
      </c>
      <c r="U36" s="291">
        <v>9.6012646961275898</v>
      </c>
      <c r="V36" s="291">
        <v>10.279621030661417</v>
      </c>
      <c r="W36" s="291">
        <v>10.879402842490402</v>
      </c>
      <c r="X36" s="291">
        <v>11.380296640524556</v>
      </c>
      <c r="Y36" s="291">
        <v>11.764204513297459</v>
      </c>
      <c r="Z36" s="291">
        <v>12.016291526556538</v>
      </c>
      <c r="AA36" s="291">
        <v>12.125906349404888</v>
      </c>
      <c r="AB36" s="291">
        <v>12.08729817619167</v>
      </c>
    </row>
    <row r="37" spans="1:34" x14ac:dyDescent="0.25">
      <c r="A37" t="s">
        <v>532</v>
      </c>
      <c r="B37" s="233"/>
      <c r="C37" s="232">
        <f>C28*$B$36</f>
        <v>35.604835137363366</v>
      </c>
      <c r="D37" s="232">
        <f t="shared" ref="D37:AB37" si="37">D28*$B$36</f>
        <v>45.91655092261481</v>
      </c>
      <c r="E37" s="232">
        <f t="shared" si="37"/>
        <v>51.665086319442182</v>
      </c>
      <c r="F37" s="232">
        <f t="shared" si="37"/>
        <v>58.220541364764998</v>
      </c>
      <c r="G37" s="232">
        <f t="shared" si="37"/>
        <v>63.436403422565299</v>
      </c>
      <c r="H37" s="232">
        <f t="shared" si="37"/>
        <v>72.561741401143479</v>
      </c>
      <c r="I37" s="232">
        <f>I28*$B$36</f>
        <v>89.753413237480089</v>
      </c>
      <c r="J37" s="232">
        <f t="shared" si="37"/>
        <v>100.33286880825585</v>
      </c>
      <c r="K37" s="232">
        <f t="shared" si="37"/>
        <v>123.04699374955227</v>
      </c>
      <c r="L37" s="232">
        <f t="shared" si="37"/>
        <v>146.96274672950386</v>
      </c>
      <c r="M37" s="232">
        <f t="shared" si="37"/>
        <v>180.47475574649812</v>
      </c>
      <c r="N37" s="232">
        <f t="shared" si="37"/>
        <v>215.01539076205484</v>
      </c>
      <c r="O37" s="232">
        <f t="shared" si="37"/>
        <v>254.38080392833533</v>
      </c>
      <c r="P37" s="232">
        <f t="shared" si="37"/>
        <v>306.95742101847355</v>
      </c>
      <c r="Q37" s="232">
        <f t="shared" si="37"/>
        <v>357.91546369881684</v>
      </c>
      <c r="R37" s="232">
        <f>R28*$B$36</f>
        <v>414.16472561411348</v>
      </c>
      <c r="S37" s="232"/>
      <c r="T37" s="232">
        <f t="shared" si="37"/>
        <v>536.42423159358248</v>
      </c>
      <c r="U37" s="232">
        <f t="shared" si="37"/>
        <v>600.26438390947101</v>
      </c>
      <c r="V37" s="232">
        <f t="shared" si="37"/>
        <v>664.0693499119792</v>
      </c>
      <c r="W37" s="232">
        <f t="shared" si="37"/>
        <v>726.21228027389554</v>
      </c>
      <c r="X37" s="232">
        <f t="shared" si="37"/>
        <v>784.93611572142788</v>
      </c>
      <c r="Y37" s="232">
        <f t="shared" si="37"/>
        <v>838.42746029934131</v>
      </c>
      <c r="Z37" s="232">
        <f t="shared" si="37"/>
        <v>884.90282816388583</v>
      </c>
      <c r="AA37" s="232">
        <f t="shared" si="37"/>
        <v>922.70215630465134</v>
      </c>
      <c r="AB37" s="232">
        <f t="shared" si="37"/>
        <v>950.38322099379093</v>
      </c>
    </row>
    <row r="38" spans="1:34" x14ac:dyDescent="0.25">
      <c r="A38" s="37" t="s">
        <v>473</v>
      </c>
      <c r="C38" s="232">
        <f>C28-C33-C37</f>
        <v>486.56316486263665</v>
      </c>
      <c r="D38" s="232">
        <f t="shared" ref="D38:H38" si="38">D28-D33-D37</f>
        <v>627.47944907738497</v>
      </c>
      <c r="E38" s="232">
        <f t="shared" si="38"/>
        <v>706.03691368055763</v>
      </c>
      <c r="F38" s="232">
        <f t="shared" si="38"/>
        <v>795.62145863523494</v>
      </c>
      <c r="G38" s="232">
        <f t="shared" si="38"/>
        <v>866.89959657743464</v>
      </c>
      <c r="H38" s="232">
        <f t="shared" si="38"/>
        <v>842.62015859885673</v>
      </c>
      <c r="I38" s="232">
        <f>I28-I33-I37</f>
        <v>1042.257721997868</v>
      </c>
      <c r="J38" s="232">
        <f t="shared" ref="J38:AA38" si="39">J28-J33-J37</f>
        <v>1165.1112031685411</v>
      </c>
      <c r="K38" s="232">
        <f t="shared" si="39"/>
        <v>1428.8780201011875</v>
      </c>
      <c r="L38" s="232">
        <f t="shared" si="39"/>
        <v>1706.5986919022137</v>
      </c>
      <c r="M38" s="232">
        <f t="shared" si="39"/>
        <v>2095.755481797295</v>
      </c>
      <c r="N38" s="232">
        <f t="shared" si="39"/>
        <v>2339.1901396253961</v>
      </c>
      <c r="O38" s="232">
        <f t="shared" si="39"/>
        <v>2618.2269932194454</v>
      </c>
      <c r="P38" s="232">
        <f t="shared" si="39"/>
        <v>3024.3225323923807</v>
      </c>
      <c r="Q38" s="232">
        <f t="shared" si="39"/>
        <v>3421.4094738247395</v>
      </c>
      <c r="R38" s="232">
        <f t="shared" si="39"/>
        <v>3837.6312994787781</v>
      </c>
      <c r="S38" s="232">
        <f t="shared" si="39"/>
        <v>4865.9346201938588</v>
      </c>
      <c r="T38" s="232">
        <f t="shared" si="39"/>
        <v>4970.4822589851055</v>
      </c>
      <c r="U38" s="232">
        <f t="shared" si="39"/>
        <v>5562.0221742390513</v>
      </c>
      <c r="V38" s="232">
        <f t="shared" si="39"/>
        <v>6153.2360547314865</v>
      </c>
      <c r="W38" s="232">
        <f t="shared" si="39"/>
        <v>6729.0495894177275</v>
      </c>
      <c r="X38" s="232">
        <f t="shared" si="39"/>
        <v>7273.1819478766301</v>
      </c>
      <c r="Y38" s="232">
        <f t="shared" si="39"/>
        <v>7768.8302865878049</v>
      </c>
      <c r="Z38" s="232">
        <f t="shared" si="39"/>
        <v>8199.4689077482763</v>
      </c>
      <c r="AA38" s="232">
        <f t="shared" si="39"/>
        <v>8549.7157438523882</v>
      </c>
      <c r="AB38" s="232">
        <f>AB28-AB33-AB37</f>
        <v>8806.2072161679607</v>
      </c>
      <c r="AC38" s="232">
        <f t="shared" ref="AC38:AH38" si="40">AC28-AC33-AC37</f>
        <v>10049.288150276603</v>
      </c>
      <c r="AD38" s="232">
        <f t="shared" si="40"/>
        <v>10350.7667947849</v>
      </c>
      <c r="AE38" s="232">
        <f t="shared" si="40"/>
        <v>10661.289798628448</v>
      </c>
      <c r="AF38" s="232">
        <f t="shared" si="40"/>
        <v>10981.128492587301</v>
      </c>
      <c r="AG38" s="232">
        <f t="shared" si="40"/>
        <v>11310.562347364921</v>
      </c>
      <c r="AH38" s="232">
        <f t="shared" si="40"/>
        <v>11649.879217785869</v>
      </c>
    </row>
    <row r="39" spans="1:34" x14ac:dyDescent="0.25">
      <c r="A39" t="s">
        <v>474</v>
      </c>
      <c r="G39" t="s">
        <v>527</v>
      </c>
      <c r="H39" s="232">
        <f>SUM(I39:R39)</f>
        <v>14869.702852304341</v>
      </c>
      <c r="I39" s="232">
        <f>I38/(1+$B$36)</f>
        <v>975.72630988053345</v>
      </c>
      <c r="J39" s="232">
        <f>J38/(1+$B$36)^J40</f>
        <v>1021.1114982725343</v>
      </c>
      <c r="K39" s="232">
        <f t="shared" ref="K39:AH39" si="41">K38/(1+$B$36)^K40</f>
        <v>1172.3406882278148</v>
      </c>
      <c r="L39" s="232">
        <f t="shared" si="41"/>
        <v>1310.8197768559564</v>
      </c>
      <c r="M39" s="232">
        <f t="shared" si="41"/>
        <v>1506.9716482732279</v>
      </c>
      <c r="N39" s="232">
        <f t="shared" si="41"/>
        <v>1574.6458382292603</v>
      </c>
      <c r="O39" s="232">
        <f t="shared" si="41"/>
        <v>1649.9757268725618</v>
      </c>
      <c r="P39" s="232">
        <f t="shared" si="41"/>
        <v>1784.2317307077287</v>
      </c>
      <c r="Q39" s="232">
        <f t="shared" si="41"/>
        <v>1889.6488225906946</v>
      </c>
      <c r="R39" s="232">
        <f t="shared" si="41"/>
        <v>1984.2308123940288</v>
      </c>
      <c r="S39" s="232">
        <f t="shared" si="41"/>
        <v>2355.3101592013495</v>
      </c>
      <c r="T39" s="232">
        <f t="shared" si="41"/>
        <v>2252.336413795294</v>
      </c>
      <c r="U39" s="232">
        <f t="shared" si="41"/>
        <v>2359.5019482728999</v>
      </c>
      <c r="V39" s="232">
        <f t="shared" si="41"/>
        <v>2443.6786508169598</v>
      </c>
      <c r="W39" s="232">
        <f t="shared" si="41"/>
        <v>2501.7686241391893</v>
      </c>
      <c r="X39" s="232">
        <f t="shared" si="41"/>
        <v>2531.4581906641133</v>
      </c>
      <c r="Y39" s="232">
        <f t="shared" si="41"/>
        <v>2531.365374443918</v>
      </c>
      <c r="Z39" s="232">
        <f t="shared" si="41"/>
        <v>2501.1389448927748</v>
      </c>
      <c r="AA39" s="232">
        <f t="shared" si="41"/>
        <v>2441.4996435087805</v>
      </c>
      <c r="AB39" s="232">
        <f>AB38/(1+$B$36)^AB40</f>
        <v>2354.2185863244135</v>
      </c>
      <c r="AC39" s="232">
        <f t="shared" si="41"/>
        <v>2515.0468358535995</v>
      </c>
      <c r="AD39" s="232">
        <f t="shared" si="41"/>
        <v>2425.1365435112975</v>
      </c>
      <c r="AE39" s="232">
        <f t="shared" si="41"/>
        <v>2338.4404500275768</v>
      </c>
      <c r="AF39" s="232">
        <f t="shared" si="41"/>
        <v>2254.8436511569566</v>
      </c>
      <c r="AG39" s="232">
        <f t="shared" si="41"/>
        <v>2174.2353503604841</v>
      </c>
      <c r="AH39" s="232">
        <f t="shared" si="41"/>
        <v>2096.5087119595214</v>
      </c>
    </row>
    <row r="40" spans="1:34" x14ac:dyDescent="0.25">
      <c r="A40" t="s">
        <v>476</v>
      </c>
      <c r="G40" t="s">
        <v>61</v>
      </c>
      <c r="H40">
        <v>0</v>
      </c>
      <c r="I40">
        <v>1</v>
      </c>
      <c r="J40" s="37">
        <v>2</v>
      </c>
      <c r="K40" s="37">
        <v>3</v>
      </c>
      <c r="L40" s="37">
        <v>4</v>
      </c>
      <c r="M40" s="37">
        <v>5</v>
      </c>
      <c r="N40" s="37">
        <v>6</v>
      </c>
      <c r="O40" s="37">
        <v>7</v>
      </c>
      <c r="P40" s="37">
        <v>8</v>
      </c>
      <c r="Q40" s="37">
        <v>9</v>
      </c>
      <c r="R40" s="37">
        <v>10</v>
      </c>
      <c r="S40" s="37">
        <v>11</v>
      </c>
      <c r="T40" s="37">
        <v>12</v>
      </c>
      <c r="U40" s="37">
        <v>13</v>
      </c>
      <c r="V40" s="37">
        <v>14</v>
      </c>
      <c r="W40" s="37">
        <v>15</v>
      </c>
      <c r="X40" s="37">
        <v>16</v>
      </c>
      <c r="Y40" s="37">
        <v>17</v>
      </c>
      <c r="Z40" s="37">
        <v>18</v>
      </c>
      <c r="AA40" s="37">
        <v>19</v>
      </c>
      <c r="AB40" s="37">
        <v>20</v>
      </c>
      <c r="AC40" s="37">
        <v>21</v>
      </c>
      <c r="AD40" s="37">
        <v>22</v>
      </c>
      <c r="AE40" s="37">
        <v>23</v>
      </c>
      <c r="AF40" s="37">
        <v>24</v>
      </c>
      <c r="AG40" s="37">
        <v>25</v>
      </c>
      <c r="AH40" s="37">
        <v>26</v>
      </c>
    </row>
    <row r="41" spans="1:34" x14ac:dyDescent="0.25">
      <c r="A41" s="287" t="s">
        <v>467</v>
      </c>
      <c r="G41" t="s">
        <v>526</v>
      </c>
      <c r="H41" s="232">
        <f>ER!D5</f>
        <v>9867.6329999999998</v>
      </c>
      <c r="I41" s="232">
        <f>H41+I38</f>
        <v>10909.890721997868</v>
      </c>
      <c r="J41" s="232">
        <f>I41+J38</f>
        <v>12075.001925166409</v>
      </c>
      <c r="K41" s="232">
        <f>J41+K38</f>
        <v>13503.879945267596</v>
      </c>
      <c r="L41" s="232">
        <f>K41+L38</f>
        <v>15210.47863716981</v>
      </c>
      <c r="M41" s="232">
        <f>L41+M38</f>
        <v>17306.234118967106</v>
      </c>
      <c r="N41" s="232">
        <f t="shared" ref="N41:AA41" si="42">M41+N38</f>
        <v>19645.424258592502</v>
      </c>
      <c r="O41" s="232">
        <f t="shared" si="42"/>
        <v>22263.651251811949</v>
      </c>
      <c r="P41" s="232">
        <f t="shared" si="42"/>
        <v>25287.973784204329</v>
      </c>
      <c r="Q41" s="232">
        <f t="shared" si="42"/>
        <v>28709.383258029069</v>
      </c>
      <c r="R41" s="232">
        <f t="shared" si="42"/>
        <v>32547.014557507846</v>
      </c>
      <c r="S41" s="232">
        <f>R41+S38</f>
        <v>37412.949177701703</v>
      </c>
      <c r="T41" s="232">
        <f t="shared" si="42"/>
        <v>42383.431436686806</v>
      </c>
      <c r="U41" s="232">
        <f t="shared" si="42"/>
        <v>47945.453610925855</v>
      </c>
      <c r="V41" s="232">
        <f t="shared" si="42"/>
        <v>54098.689665657344</v>
      </c>
      <c r="W41" s="232">
        <f t="shared" si="42"/>
        <v>60827.739255075074</v>
      </c>
      <c r="X41" s="232">
        <f t="shared" si="42"/>
        <v>68100.921202951708</v>
      </c>
      <c r="Y41" s="232">
        <f t="shared" si="42"/>
        <v>75869.751489539514</v>
      </c>
      <c r="Z41" s="232">
        <f t="shared" si="42"/>
        <v>84069.220397287791</v>
      </c>
      <c r="AA41" s="232">
        <f t="shared" si="42"/>
        <v>92618.936141140177</v>
      </c>
      <c r="AB41" s="232">
        <f>AA41+AB38</f>
        <v>101425.14335730814</v>
      </c>
      <c r="AC41" s="232">
        <f t="shared" ref="AC41:AH41" si="43">AB41+AC38</f>
        <v>111474.43150758476</v>
      </c>
      <c r="AD41" s="232">
        <f t="shared" si="43"/>
        <v>121825.19830236965</v>
      </c>
      <c r="AE41" s="232">
        <f t="shared" si="43"/>
        <v>132486.4881009981</v>
      </c>
      <c r="AF41" s="232">
        <f>AE41+AF38</f>
        <v>143467.61659358541</v>
      </c>
      <c r="AG41" s="232">
        <f t="shared" si="43"/>
        <v>154778.17894095034</v>
      </c>
      <c r="AH41" s="232">
        <f t="shared" si="43"/>
        <v>166428.05815873621</v>
      </c>
    </row>
    <row r="42" spans="1:34" s="214" customFormat="1" ht="12.75" x14ac:dyDescent="0.2">
      <c r="S42" s="214">
        <v>0.14444215843763317</v>
      </c>
      <c r="T42" s="214">
        <v>0.13172636305567392</v>
      </c>
      <c r="U42" s="214">
        <v>0.11901056767371468</v>
      </c>
      <c r="V42" s="214">
        <v>0.10629477229175543</v>
      </c>
      <c r="W42" s="214">
        <v>9.3578976909796191E-2</v>
      </c>
      <c r="X42" s="214">
        <v>8.0863181527836947E-2</v>
      </c>
      <c r="Y42" s="214">
        <v>6.8147386145877703E-2</v>
      </c>
      <c r="Z42" s="214">
        <v>5.5431590763918459E-2</v>
      </c>
      <c r="AA42" s="214">
        <v>4.2715795381959215E-2</v>
      </c>
      <c r="AB42" s="214">
        <v>2.9999999999999975E-2</v>
      </c>
      <c r="AC42" s="214">
        <v>2.9999999999999975E-2</v>
      </c>
      <c r="AD42" s="214">
        <v>2.9999999999999975E-2</v>
      </c>
      <c r="AE42" s="214">
        <v>2.9999999999999975E-2</v>
      </c>
      <c r="AF42" s="214">
        <v>2.9999999999999975E-2</v>
      </c>
      <c r="AG42" s="214">
        <v>2.9999999999999975E-2</v>
      </c>
      <c r="AH42" s="214">
        <v>2.9999999999999975E-2</v>
      </c>
    </row>
    <row r="43" spans="1:34" x14ac:dyDescent="0.25">
      <c r="G43" t="s">
        <v>525</v>
      </c>
      <c r="H43" s="232">
        <f>H41*$B$36</f>
        <v>672.83986410696605</v>
      </c>
      <c r="I43" s="232">
        <f t="shared" ref="I43:AA43" si="44">I41*$B$36</f>
        <v>743.90782377201253</v>
      </c>
      <c r="J43" s="232">
        <f t="shared" si="44"/>
        <v>823.35273863755572</v>
      </c>
      <c r="K43" s="232">
        <f t="shared" si="44"/>
        <v>920.78300310628026</v>
      </c>
      <c r="L43" s="232">
        <f t="shared" si="44"/>
        <v>1037.1500824194866</v>
      </c>
      <c r="M43" s="232">
        <f t="shared" si="44"/>
        <v>1180.05242116414</v>
      </c>
      <c r="N43" s="232">
        <f t="shared" si="44"/>
        <v>1339.5537297014464</v>
      </c>
      <c r="O43" s="232">
        <f t="shared" si="44"/>
        <v>1518.0815989806306</v>
      </c>
      <c r="P43" s="232">
        <f t="shared" si="44"/>
        <v>1724.2997225884426</v>
      </c>
      <c r="Q43" s="232">
        <f t="shared" si="44"/>
        <v>1957.5938353125907</v>
      </c>
      <c r="R43" s="232">
        <f t="shared" si="44"/>
        <v>2219.2686789183408</v>
      </c>
      <c r="S43" s="232">
        <f t="shared" si="44"/>
        <v>2551.0599796897231</v>
      </c>
      <c r="T43" s="232">
        <f t="shared" si="44"/>
        <v>2889.9800234004715</v>
      </c>
      <c r="U43" s="232">
        <f t="shared" si="44"/>
        <v>3269.2351339092361</v>
      </c>
      <c r="V43" s="232">
        <f t="shared" si="44"/>
        <v>3688.8030800300148</v>
      </c>
      <c r="W43" s="232">
        <f t="shared" si="44"/>
        <v>4147.6337652929205</v>
      </c>
      <c r="X43" s="232">
        <f t="shared" si="44"/>
        <v>4643.5669595487825</v>
      </c>
      <c r="Y43" s="232">
        <f t="shared" si="44"/>
        <v>5173.2967046961567</v>
      </c>
      <c r="Z43" s="232">
        <f t="shared" si="44"/>
        <v>5732.3902122920153</v>
      </c>
      <c r="AA43" s="232">
        <f t="shared" si="44"/>
        <v>6315.3658437577205</v>
      </c>
      <c r="AB43" s="232">
        <f>AB41*$B$36</f>
        <v>6915.8307441673969</v>
      </c>
      <c r="AC43" s="232">
        <f t="shared" ref="AC43:AH43" si="45">AC41*$B$36</f>
        <v>7601.0570465039209</v>
      </c>
      <c r="AD43" s="232">
        <f t="shared" si="45"/>
        <v>8306.8401379105399</v>
      </c>
      <c r="AE43" s="232">
        <f t="shared" si="45"/>
        <v>9033.7967220593564</v>
      </c>
      <c r="AF43" s="232">
        <f>AF41*$B$36</f>
        <v>9782.5620037326389</v>
      </c>
      <c r="AG43" s="232">
        <f t="shared" si="45"/>
        <v>10553.790243856121</v>
      </c>
      <c r="AH43" s="232">
        <f t="shared" si="45"/>
        <v>11348.155331183305</v>
      </c>
    </row>
    <row r="44" spans="1:34" x14ac:dyDescent="0.25">
      <c r="G44" t="s">
        <v>477</v>
      </c>
      <c r="H44" s="232">
        <f>SUM(I44:AB44)</f>
        <v>32766.304275922772</v>
      </c>
      <c r="I44" s="232">
        <f>I38-I43</f>
        <v>298.34989822585544</v>
      </c>
      <c r="J44" s="232">
        <f t="shared" ref="J44:AA44" si="46">J38-J43</f>
        <v>341.75846453098541</v>
      </c>
      <c r="K44" s="232">
        <f t="shared" si="46"/>
        <v>508.09501699490727</v>
      </c>
      <c r="L44" s="232">
        <f t="shared" si="46"/>
        <v>669.44860948272708</v>
      </c>
      <c r="M44" s="232">
        <f t="shared" si="46"/>
        <v>915.70306063315502</v>
      </c>
      <c r="N44" s="232">
        <f t="shared" si="46"/>
        <v>999.63640992394971</v>
      </c>
      <c r="O44" s="232">
        <f t="shared" si="46"/>
        <v>1100.1453942388148</v>
      </c>
      <c r="P44" s="232">
        <f t="shared" si="46"/>
        <v>1300.0228098039381</v>
      </c>
      <c r="Q44" s="232">
        <f t="shared" si="46"/>
        <v>1463.8156385121488</v>
      </c>
      <c r="R44" s="232">
        <f t="shared" si="46"/>
        <v>1618.3626205604373</v>
      </c>
      <c r="S44" s="232">
        <f t="shared" si="46"/>
        <v>2314.8746405041356</v>
      </c>
      <c r="T44" s="232">
        <f t="shared" si="46"/>
        <v>2080.502235584634</v>
      </c>
      <c r="U44" s="232">
        <f t="shared" si="46"/>
        <v>2292.7870403298152</v>
      </c>
      <c r="V44" s="232">
        <f t="shared" si="46"/>
        <v>2464.4329747014717</v>
      </c>
      <c r="W44" s="232">
        <f t="shared" si="46"/>
        <v>2581.4158241248069</v>
      </c>
      <c r="X44" s="232">
        <f t="shared" si="46"/>
        <v>2629.6149883278476</v>
      </c>
      <c r="Y44" s="232">
        <f t="shared" si="46"/>
        <v>2595.5335818916483</v>
      </c>
      <c r="Z44" s="232">
        <f t="shared" si="46"/>
        <v>2467.0786954562609</v>
      </c>
      <c r="AA44" s="232">
        <f t="shared" si="46"/>
        <v>2234.3499000946676</v>
      </c>
      <c r="AB44" s="232">
        <f>AB38-AB43</f>
        <v>1890.3764720005638</v>
      </c>
      <c r="AC44" s="232">
        <f t="shared" ref="AC44:AH44" si="47">AC38-AC43</f>
        <v>2448.2311037726822</v>
      </c>
      <c r="AD44" s="232">
        <f t="shared" si="47"/>
        <v>2043.9266568743606</v>
      </c>
      <c r="AE44" s="232">
        <f t="shared" si="47"/>
        <v>1627.4930765690915</v>
      </c>
      <c r="AF44" s="232">
        <f>AF38-AF43</f>
        <v>1198.5664888546617</v>
      </c>
      <c r="AG44" s="232">
        <f t="shared" si="47"/>
        <v>756.77210350879977</v>
      </c>
      <c r="AH44" s="232">
        <f t="shared" si="47"/>
        <v>301.72388660256365</v>
      </c>
    </row>
    <row r="45" spans="1:34" s="214" customFormat="1" ht="12.75" x14ac:dyDescent="0.2">
      <c r="I45" s="291">
        <v>743.90782377201253</v>
      </c>
      <c r="J45" s="291">
        <v>823.35273863755572</v>
      </c>
      <c r="K45" s="291">
        <v>920.78300310628026</v>
      </c>
      <c r="L45" s="291">
        <v>1037.1500824194866</v>
      </c>
      <c r="M45" s="291">
        <v>1180.05242116414</v>
      </c>
      <c r="N45" s="291">
        <v>1339.5537297014464</v>
      </c>
      <c r="O45" s="291">
        <v>1518.0815989806306</v>
      </c>
      <c r="P45" s="291">
        <v>1724.2997225884426</v>
      </c>
      <c r="Q45" s="291">
        <v>1957.5938353125907</v>
      </c>
      <c r="R45" s="291">
        <v>2219.2686789183408</v>
      </c>
      <c r="S45" s="291">
        <v>2518.740401743336</v>
      </c>
      <c r="T45" s="291">
        <v>2857.6604454540839</v>
      </c>
      <c r="U45" s="291">
        <v>3236.9155559628489</v>
      </c>
      <c r="V45" s="291">
        <v>3656.4835020836276</v>
      </c>
      <c r="W45" s="291">
        <v>4115.3141873465329</v>
      </c>
      <c r="X45" s="291">
        <v>4611.2473816023949</v>
      </c>
      <c r="Y45" s="291">
        <v>5140.9771267497699</v>
      </c>
      <c r="Z45" s="291">
        <v>5700.0706343456277</v>
      </c>
      <c r="AA45" s="291">
        <v>6283.0462658113329</v>
      </c>
      <c r="AB45" s="291">
        <v>6883.5111662210093</v>
      </c>
      <c r="AC45" s="291"/>
      <c r="AD45" s="291"/>
      <c r="AE45" s="291"/>
      <c r="AF45" s="291"/>
      <c r="AG45" s="291"/>
      <c r="AH45" s="291"/>
    </row>
    <row r="46" spans="1:34" s="214" customFormat="1" ht="12.75" x14ac:dyDescent="0.2">
      <c r="I46" s="291">
        <v>298.34989822585544</v>
      </c>
      <c r="J46" s="291">
        <v>341.75846453098541</v>
      </c>
      <c r="K46" s="291">
        <v>508.09501699490727</v>
      </c>
      <c r="L46" s="291">
        <v>669.44860948272708</v>
      </c>
      <c r="M46" s="291">
        <v>915.70306063315502</v>
      </c>
      <c r="N46" s="291">
        <v>999.63640992394971</v>
      </c>
      <c r="O46" s="291">
        <v>1100.1453942388148</v>
      </c>
      <c r="P46" s="291">
        <v>1300.0228098039381</v>
      </c>
      <c r="Q46" s="291">
        <v>1463.8156385121488</v>
      </c>
      <c r="R46" s="291">
        <v>1618.3626205604373</v>
      </c>
      <c r="S46" s="291">
        <v>2314.8746405041356</v>
      </c>
      <c r="T46" s="291">
        <v>2080.502235584634</v>
      </c>
      <c r="U46" s="291">
        <v>2292.7870403298152</v>
      </c>
      <c r="V46" s="291">
        <v>2464.4329747014717</v>
      </c>
      <c r="W46" s="291">
        <v>2581.4158241248069</v>
      </c>
      <c r="X46" s="291">
        <v>2629.6149883278476</v>
      </c>
      <c r="Y46" s="291">
        <v>2595.5335818916483</v>
      </c>
      <c r="Z46" s="291">
        <v>2467.0786954562609</v>
      </c>
      <c r="AA46" s="291">
        <v>2234.3499000946676</v>
      </c>
      <c r="AB46" s="291">
        <v>1890.3764720005638</v>
      </c>
      <c r="AC46" s="291">
        <v>2448.2311037726822</v>
      </c>
      <c r="AD46" s="291">
        <v>2043.9266568743606</v>
      </c>
      <c r="AE46" s="291">
        <v>1627.4930765690915</v>
      </c>
      <c r="AF46" s="291">
        <v>1198.5664888546617</v>
      </c>
      <c r="AG46" s="291">
        <v>756.77210350879977</v>
      </c>
      <c r="AH46" s="291">
        <v>301.72388660256365</v>
      </c>
    </row>
  </sheetData>
  <phoneticPr fontId="54"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5C415-A15A-4F53-ADED-11309421CA21}">
  <dimension ref="A1:D10"/>
  <sheetViews>
    <sheetView zoomScale="115" zoomScaleNormal="115" workbookViewId="0">
      <selection activeCell="E10" sqref="E10"/>
    </sheetView>
  </sheetViews>
  <sheetFormatPr defaultRowHeight="15.75" x14ac:dyDescent="0.25"/>
  <cols>
    <col min="1" max="1" width="9.75" style="225" customWidth="1"/>
    <col min="2" max="2" width="13" style="225" customWidth="1"/>
    <col min="3" max="3" width="11.875" style="225" customWidth="1"/>
    <col min="4" max="4" width="11.125" style="225" customWidth="1"/>
    <col min="5" max="5" width="9" style="225"/>
    <col min="6" max="6" width="20.625" style="225" customWidth="1"/>
    <col min="7" max="16384" width="9" style="225"/>
  </cols>
  <sheetData>
    <row r="1" spans="1:4" ht="27" x14ac:dyDescent="0.35">
      <c r="A1" s="62" t="s">
        <v>88</v>
      </c>
    </row>
    <row r="2" spans="1:4" ht="21.75" x14ac:dyDescent="0.3">
      <c r="A2" s="63" t="s">
        <v>475</v>
      </c>
    </row>
    <row r="4" spans="1:4" x14ac:dyDescent="0.25">
      <c r="A4" s="169" t="s">
        <v>455</v>
      </c>
      <c r="B4" s="169" t="s">
        <v>456</v>
      </c>
      <c r="C4" s="169" t="s">
        <v>457</v>
      </c>
      <c r="D4" s="231" t="s">
        <v>458</v>
      </c>
    </row>
    <row r="5" spans="1:4" x14ac:dyDescent="0.25">
      <c r="A5" s="169" t="s">
        <v>467</v>
      </c>
      <c r="B5" s="169"/>
      <c r="C5" s="169"/>
      <c r="D5" s="234">
        <f>57.3*D9</f>
        <v>9867.6329999999998</v>
      </c>
    </row>
    <row r="6" spans="1:4" x14ac:dyDescent="0.25">
      <c r="A6" s="169" t="s">
        <v>471</v>
      </c>
      <c r="B6" s="169"/>
      <c r="C6" s="169"/>
      <c r="D6" s="234">
        <v>16418.193297424648</v>
      </c>
    </row>
    <row r="7" spans="1:4" x14ac:dyDescent="0.25">
      <c r="A7" s="169" t="s">
        <v>468</v>
      </c>
      <c r="B7" s="169"/>
      <c r="C7" s="169"/>
      <c r="D7" s="225">
        <v>0</v>
      </c>
    </row>
    <row r="8" spans="1:4" x14ac:dyDescent="0.25">
      <c r="A8" s="169" t="s">
        <v>469</v>
      </c>
      <c r="B8" s="169"/>
      <c r="C8" s="169"/>
      <c r="D8" s="234">
        <f>D5+D6</f>
        <v>26285.826297424646</v>
      </c>
    </row>
    <row r="9" spans="1:4" x14ac:dyDescent="0.25">
      <c r="A9" s="169" t="s">
        <v>422</v>
      </c>
      <c r="B9" s="169"/>
      <c r="C9" s="169"/>
      <c r="D9" s="225">
        <v>172.21</v>
      </c>
    </row>
    <row r="10" spans="1:4" x14ac:dyDescent="0.25">
      <c r="A10" s="169" t="s">
        <v>470</v>
      </c>
      <c r="B10" s="169"/>
      <c r="C10" s="169"/>
      <c r="D10" s="50">
        <f>D8/D9</f>
        <v>152.63821089033533</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7C08B-787E-4C77-8C44-E2DA8561ECC7}">
  <dimension ref="A1:L67"/>
  <sheetViews>
    <sheetView topLeftCell="B1" zoomScale="115" zoomScaleNormal="115" workbookViewId="0">
      <selection activeCell="F7" sqref="F7"/>
    </sheetView>
  </sheetViews>
  <sheetFormatPr defaultRowHeight="15.75" x14ac:dyDescent="0.25"/>
  <cols>
    <col min="1" max="1" width="23.375" customWidth="1"/>
    <col min="2" max="2" width="33.875" customWidth="1"/>
    <col min="3" max="4" width="9.75" customWidth="1"/>
    <col min="5" max="5" width="39.625" customWidth="1"/>
    <col min="6" max="6" width="20.125" customWidth="1"/>
    <col min="7" max="9" width="9.75" customWidth="1"/>
    <col min="10" max="10" width="20.375" customWidth="1"/>
  </cols>
  <sheetData>
    <row r="1" spans="1:12" ht="27" x14ac:dyDescent="0.35">
      <c r="A1" s="62" t="s">
        <v>88</v>
      </c>
      <c r="B1" s="96"/>
      <c r="C1" s="96"/>
    </row>
    <row r="2" spans="1:12" ht="21.75" x14ac:dyDescent="0.3">
      <c r="A2" s="63" t="s">
        <v>148</v>
      </c>
      <c r="B2" s="96"/>
      <c r="C2" s="96"/>
    </row>
    <row r="4" spans="1:12" x14ac:dyDescent="0.25">
      <c r="A4" s="99" t="s">
        <v>149</v>
      </c>
      <c r="B4" s="99" t="s">
        <v>150</v>
      </c>
      <c r="C4" s="99" t="s">
        <v>173</v>
      </c>
      <c r="D4" s="99" t="s">
        <v>174</v>
      </c>
      <c r="E4" s="99" t="s">
        <v>324</v>
      </c>
      <c r="F4" s="99" t="s">
        <v>325</v>
      </c>
      <c r="G4" s="99" t="s">
        <v>327</v>
      </c>
      <c r="H4" s="99" t="s">
        <v>328</v>
      </c>
      <c r="I4" s="99" t="s">
        <v>329</v>
      </c>
      <c r="K4" s="99" t="s">
        <v>465</v>
      </c>
      <c r="L4" s="99" t="s">
        <v>466</v>
      </c>
    </row>
    <row r="5" spans="1:12" x14ac:dyDescent="0.25">
      <c r="A5" s="100" t="s">
        <v>151</v>
      </c>
      <c r="B5" s="100" t="s">
        <v>152</v>
      </c>
      <c r="C5" s="103">
        <v>15.2</v>
      </c>
      <c r="D5" s="37">
        <v>50.65</v>
      </c>
      <c r="E5" s="178">
        <f>(H5-G5)/G5</f>
        <v>0.16501650165016502</v>
      </c>
      <c r="F5" s="37">
        <v>1.48</v>
      </c>
      <c r="G5">
        <v>3.03</v>
      </c>
      <c r="H5">
        <v>3.53</v>
      </c>
      <c r="K5" s="37">
        <v>1.48</v>
      </c>
      <c r="L5" s="103">
        <v>15.2</v>
      </c>
    </row>
    <row r="6" spans="1:12" x14ac:dyDescent="0.25">
      <c r="A6" s="101" t="s">
        <v>153</v>
      </c>
      <c r="B6" s="101" t="s">
        <v>154</v>
      </c>
      <c r="C6" s="103">
        <v>14.7</v>
      </c>
      <c r="D6" s="37">
        <v>77.13</v>
      </c>
      <c r="E6" s="178">
        <f t="shared" ref="E6:E15" si="0">(H6-G6)/G6</f>
        <v>1.8320610687022919E-2</v>
      </c>
      <c r="F6" s="37">
        <v>1.21</v>
      </c>
      <c r="G6">
        <v>6.55</v>
      </c>
      <c r="H6">
        <v>6.67</v>
      </c>
      <c r="K6" s="37">
        <v>1.21</v>
      </c>
      <c r="L6" s="103">
        <v>14.7</v>
      </c>
    </row>
    <row r="7" spans="1:12" x14ac:dyDescent="0.25">
      <c r="A7" s="102" t="s">
        <v>141</v>
      </c>
      <c r="B7" s="102" t="s">
        <v>155</v>
      </c>
      <c r="C7" s="104">
        <v>20.3</v>
      </c>
      <c r="D7" s="106">
        <f>Data!E1</f>
        <v>144.87</v>
      </c>
      <c r="E7" s="178">
        <f t="shared" si="0"/>
        <v>0.12220309810671257</v>
      </c>
      <c r="F7" s="37">
        <v>1.1000000000000001</v>
      </c>
      <c r="G7" s="37">
        <v>5.81</v>
      </c>
      <c r="H7" s="37">
        <v>6.52</v>
      </c>
      <c r="K7" s="37">
        <v>1.1000000000000001</v>
      </c>
      <c r="L7" s="104">
        <v>20.3</v>
      </c>
    </row>
    <row r="8" spans="1:12" x14ac:dyDescent="0.25">
      <c r="A8" s="101" t="s">
        <v>156</v>
      </c>
      <c r="B8" s="101" t="s">
        <v>157</v>
      </c>
      <c r="C8" s="103">
        <v>10.3</v>
      </c>
      <c r="D8" s="105">
        <v>31.18</v>
      </c>
      <c r="E8" s="178">
        <f t="shared" si="0"/>
        <v>0.40112994350282483</v>
      </c>
      <c r="F8">
        <v>1.96</v>
      </c>
      <c r="G8">
        <v>1.77</v>
      </c>
      <c r="H8">
        <v>2.48</v>
      </c>
      <c r="K8" s="37">
        <v>1.96</v>
      </c>
      <c r="L8" s="103">
        <v>10.3</v>
      </c>
    </row>
    <row r="9" spans="1:12" x14ac:dyDescent="0.25">
      <c r="A9" s="100" t="s">
        <v>158</v>
      </c>
      <c r="B9" s="100" t="s">
        <v>159</v>
      </c>
      <c r="C9" s="103">
        <v>17.8</v>
      </c>
      <c r="D9" s="105">
        <v>424.03</v>
      </c>
      <c r="E9" s="178">
        <f t="shared" si="0"/>
        <v>-0.10368066355624676</v>
      </c>
      <c r="F9">
        <v>1.29</v>
      </c>
      <c r="G9">
        <v>19.29</v>
      </c>
      <c r="H9">
        <v>17.29</v>
      </c>
      <c r="K9" s="37">
        <v>1.29</v>
      </c>
      <c r="L9" s="103">
        <v>17.8</v>
      </c>
    </row>
    <row r="10" spans="1:12" x14ac:dyDescent="0.25">
      <c r="A10" s="101" t="s">
        <v>160</v>
      </c>
      <c r="B10" s="101" t="s">
        <v>161</v>
      </c>
      <c r="C10" s="103">
        <v>17.5</v>
      </c>
      <c r="D10" s="105">
        <v>96.89</v>
      </c>
      <c r="E10" s="178">
        <f t="shared" si="0"/>
        <v>6.4516129032258049E-2</v>
      </c>
      <c r="F10">
        <v>1.08</v>
      </c>
      <c r="G10">
        <v>5.89</v>
      </c>
      <c r="H10">
        <v>6.27</v>
      </c>
      <c r="K10" s="37">
        <v>1.08</v>
      </c>
      <c r="L10" s="103">
        <v>17.5</v>
      </c>
    </row>
    <row r="11" spans="1:12" x14ac:dyDescent="0.25">
      <c r="A11" s="100" t="s">
        <v>162</v>
      </c>
      <c r="B11" s="100" t="s">
        <v>163</v>
      </c>
      <c r="C11" s="103">
        <v>16</v>
      </c>
      <c r="D11" s="105">
        <v>144.24</v>
      </c>
      <c r="E11" s="178">
        <f t="shared" si="0"/>
        <v>0.15555555555555564</v>
      </c>
      <c r="F11">
        <v>1.24</v>
      </c>
      <c r="G11">
        <v>9.4499999999999993</v>
      </c>
      <c r="H11">
        <v>10.92</v>
      </c>
      <c r="K11" s="37">
        <v>1.24</v>
      </c>
      <c r="L11" s="103">
        <v>16</v>
      </c>
    </row>
    <row r="12" spans="1:12" x14ac:dyDescent="0.25">
      <c r="A12" s="101" t="s">
        <v>164</v>
      </c>
      <c r="B12" s="101" t="s">
        <v>165</v>
      </c>
      <c r="C12" s="103">
        <v>13.8</v>
      </c>
      <c r="D12" s="105">
        <v>39.56</v>
      </c>
      <c r="E12" s="178">
        <f t="shared" si="0"/>
        <v>0.48584905660377348</v>
      </c>
      <c r="F12">
        <v>1.71</v>
      </c>
      <c r="G12">
        <v>2.12</v>
      </c>
      <c r="H12">
        <v>3.15</v>
      </c>
      <c r="K12" s="37">
        <v>1.71</v>
      </c>
      <c r="L12" s="103">
        <v>13.8</v>
      </c>
    </row>
    <row r="13" spans="1:12" x14ac:dyDescent="0.25">
      <c r="A13" s="100" t="s">
        <v>166</v>
      </c>
      <c r="B13" s="100" t="s">
        <v>167</v>
      </c>
      <c r="C13" s="105">
        <v>9.4499999999999993</v>
      </c>
      <c r="D13" s="105">
        <v>37.369999999999997</v>
      </c>
      <c r="E13" s="178">
        <f t="shared" si="0"/>
        <v>0.68032786885245888</v>
      </c>
      <c r="F13">
        <v>2.25</v>
      </c>
      <c r="G13">
        <v>2.44</v>
      </c>
      <c r="H13">
        <v>4.0999999999999996</v>
      </c>
      <c r="K13" s="37">
        <v>2.25</v>
      </c>
      <c r="L13" s="105">
        <v>9.4499999999999993</v>
      </c>
    </row>
    <row r="14" spans="1:12" x14ac:dyDescent="0.25">
      <c r="A14" s="101" t="s">
        <v>168</v>
      </c>
      <c r="B14" s="101" t="s">
        <v>169</v>
      </c>
      <c r="C14" s="103">
        <v>13.9</v>
      </c>
      <c r="D14" s="105">
        <v>14.43</v>
      </c>
      <c r="E14" s="178">
        <f t="shared" si="0"/>
        <v>0.52112676056338048</v>
      </c>
      <c r="F14">
        <v>1.46</v>
      </c>
      <c r="G14">
        <v>0.71</v>
      </c>
      <c r="H14">
        <v>1.08</v>
      </c>
      <c r="K14" s="37">
        <v>1.46</v>
      </c>
      <c r="L14" s="103">
        <v>13.9</v>
      </c>
    </row>
    <row r="15" spans="1:12" x14ac:dyDescent="0.25">
      <c r="A15" s="100" t="s">
        <v>170</v>
      </c>
      <c r="B15" s="100" t="s">
        <v>171</v>
      </c>
      <c r="C15" s="103">
        <v>18.399999999999999</v>
      </c>
      <c r="D15" s="105">
        <v>70.05</v>
      </c>
      <c r="E15" s="178">
        <f t="shared" si="0"/>
        <v>0.20788530465949823</v>
      </c>
      <c r="F15">
        <v>0.77</v>
      </c>
      <c r="G15">
        <v>2.79</v>
      </c>
      <c r="H15">
        <v>3.37</v>
      </c>
      <c r="K15" s="37">
        <v>0.77</v>
      </c>
      <c r="L15" s="103">
        <v>18.399999999999999</v>
      </c>
    </row>
    <row r="16" spans="1:12" s="37" customFormat="1" x14ac:dyDescent="0.25">
      <c r="A16" s="100"/>
      <c r="B16" s="100"/>
      <c r="C16" s="103"/>
      <c r="D16" s="105"/>
    </row>
    <row r="17" spans="1:10" x14ac:dyDescent="0.25">
      <c r="A17" s="100" t="s">
        <v>22</v>
      </c>
      <c r="B17" s="100" t="s">
        <v>176</v>
      </c>
      <c r="C17" s="105">
        <f t="shared" ref="C17:H17" si="1">AVERAGE(C5:C6,C8:C15)</f>
        <v>14.705000000000002</v>
      </c>
      <c r="D17" s="105">
        <f t="shared" si="1"/>
        <v>98.552999999999997</v>
      </c>
      <c r="E17" s="105">
        <f t="shared" si="1"/>
        <v>0.25960470675506908</v>
      </c>
      <c r="F17" s="105">
        <f t="shared" si="1"/>
        <v>1.4449999999999998</v>
      </c>
      <c r="G17" s="105">
        <f t="shared" si="1"/>
        <v>5.4039999999999999</v>
      </c>
      <c r="H17" s="105">
        <f t="shared" si="1"/>
        <v>5.8859999999999992</v>
      </c>
      <c r="I17" s="105"/>
    </row>
    <row r="18" spans="1:10" x14ac:dyDescent="0.25">
      <c r="A18" s="101" t="s">
        <v>175</v>
      </c>
      <c r="B18" s="101" t="s">
        <v>176</v>
      </c>
      <c r="C18" s="105">
        <f t="shared" ref="C18:H18" si="2">MEDIAN(C$5:C$6,C$8:C$15)</f>
        <v>14.95</v>
      </c>
      <c r="D18" s="105">
        <f t="shared" si="2"/>
        <v>60.349999999999994</v>
      </c>
      <c r="E18" s="105">
        <f t="shared" si="2"/>
        <v>0.18645090315483162</v>
      </c>
      <c r="F18" s="105">
        <f t="shared" si="2"/>
        <v>1.375</v>
      </c>
      <c r="G18" s="105">
        <f t="shared" si="2"/>
        <v>2.91</v>
      </c>
      <c r="H18" s="105">
        <f t="shared" si="2"/>
        <v>3.8149999999999995</v>
      </c>
      <c r="I18" s="105"/>
    </row>
    <row r="19" spans="1:10" s="37" customFormat="1" x14ac:dyDescent="0.25">
      <c r="A19" s="101"/>
      <c r="B19" s="101"/>
      <c r="C19" s="105"/>
      <c r="D19" s="105"/>
      <c r="E19" s="105"/>
      <c r="F19" s="105"/>
      <c r="G19" s="105"/>
      <c r="H19" s="105"/>
      <c r="I19" s="105"/>
      <c r="J19" s="105"/>
    </row>
    <row r="20" spans="1:10" s="37" customFormat="1" x14ac:dyDescent="0.25">
      <c r="A20" s="102" t="s">
        <v>141</v>
      </c>
      <c r="B20" s="102" t="s">
        <v>155</v>
      </c>
      <c r="C20" s="104">
        <v>25.31</v>
      </c>
      <c r="D20" s="106" t="s">
        <v>341</v>
      </c>
      <c r="E20" s="37" t="s">
        <v>331</v>
      </c>
    </row>
    <row r="21" spans="1:10" x14ac:dyDescent="0.25">
      <c r="A21" s="109" t="s">
        <v>339</v>
      </c>
      <c r="B21" s="109" t="s">
        <v>340</v>
      </c>
      <c r="D21">
        <f>B48+B50*E7</f>
        <v>23.630811671514806</v>
      </c>
      <c r="E21" s="105"/>
    </row>
    <row r="22" spans="1:10" s="37" customFormat="1" x14ac:dyDescent="0.25">
      <c r="A22" s="162" t="s">
        <v>337</v>
      </c>
      <c r="C22" s="178">
        <f>C20/D21-1</f>
        <v>7.1059274299466013E-2</v>
      </c>
      <c r="D22" s="106">
        <f>Data!E1/(1+C22)</f>
        <v>135.25862057891544</v>
      </c>
    </row>
    <row r="23" spans="1:10" x14ac:dyDescent="0.25">
      <c r="A23" s="37"/>
      <c r="C23" s="37"/>
    </row>
    <row r="24" spans="1:10" x14ac:dyDescent="0.25">
      <c r="A24" s="37"/>
      <c r="B24" s="37"/>
      <c r="C24" s="37"/>
    </row>
    <row r="25" spans="1:10" x14ac:dyDescent="0.25">
      <c r="A25" s="37"/>
      <c r="B25" s="37"/>
      <c r="C25" s="37"/>
    </row>
    <row r="26" spans="1:10" x14ac:dyDescent="0.25">
      <c r="A26" s="37"/>
      <c r="B26" s="37"/>
      <c r="C26" s="37"/>
    </row>
    <row r="27" spans="1:10" x14ac:dyDescent="0.25">
      <c r="A27" s="37"/>
      <c r="B27" s="37"/>
      <c r="C27" s="37"/>
    </row>
    <row r="28" spans="1:10" x14ac:dyDescent="0.25">
      <c r="A28" s="37"/>
      <c r="B28" s="37"/>
      <c r="C28" s="37"/>
    </row>
    <row r="29" spans="1:10" x14ac:dyDescent="0.25">
      <c r="A29" s="37"/>
      <c r="B29" s="37"/>
      <c r="C29" s="37"/>
    </row>
    <row r="31" spans="1:10" x14ac:dyDescent="0.25">
      <c r="A31" s="37" t="s">
        <v>455</v>
      </c>
      <c r="B31" s="37" t="s">
        <v>456</v>
      </c>
      <c r="C31" s="37" t="s">
        <v>457</v>
      </c>
      <c r="D31" s="37" t="s">
        <v>458</v>
      </c>
      <c r="E31" s="37" t="s">
        <v>459</v>
      </c>
      <c r="F31" s="37" t="s">
        <v>460</v>
      </c>
      <c r="G31" s="37" t="s">
        <v>461</v>
      </c>
      <c r="H31" s="37" t="s">
        <v>462</v>
      </c>
      <c r="I31" s="37" t="s">
        <v>463</v>
      </c>
    </row>
    <row r="32" spans="1:10" x14ac:dyDescent="0.25">
      <c r="A32" t="s">
        <v>179</v>
      </c>
    </row>
    <row r="33" spans="1:9" ht="16.5" thickBot="1" x14ac:dyDescent="0.3"/>
    <row r="34" spans="1:9" x14ac:dyDescent="0.25">
      <c r="A34" s="114" t="s">
        <v>180</v>
      </c>
      <c r="B34" s="114"/>
    </row>
    <row r="35" spans="1:9" x14ac:dyDescent="0.25">
      <c r="A35" s="111" t="s">
        <v>181</v>
      </c>
      <c r="B35" s="111">
        <v>0.91325000069002382</v>
      </c>
    </row>
    <row r="36" spans="1:9" x14ac:dyDescent="0.25">
      <c r="A36" s="111" t="s">
        <v>182</v>
      </c>
      <c r="B36" s="111">
        <v>0.83402556376032855</v>
      </c>
    </row>
    <row r="37" spans="1:9" x14ac:dyDescent="0.25">
      <c r="A37" s="111" t="s">
        <v>183</v>
      </c>
      <c r="B37" s="111">
        <v>0.7925319547004106</v>
      </c>
    </row>
    <row r="38" spans="1:9" x14ac:dyDescent="0.25">
      <c r="A38" s="111" t="s">
        <v>184</v>
      </c>
      <c r="B38" s="111">
        <v>1.5100631497568178</v>
      </c>
    </row>
    <row r="39" spans="1:9" ht="16.5" thickBot="1" x14ac:dyDescent="0.3">
      <c r="A39" s="112" t="s">
        <v>185</v>
      </c>
      <c r="B39" s="112">
        <v>11</v>
      </c>
    </row>
    <row r="41" spans="1:9" ht="16.5" thickBot="1" x14ac:dyDescent="0.3">
      <c r="A41" t="s">
        <v>186</v>
      </c>
    </row>
    <row r="42" spans="1:9" x14ac:dyDescent="0.25">
      <c r="A42" s="113"/>
      <c r="B42" s="113" t="s">
        <v>190</v>
      </c>
      <c r="C42" s="113" t="s">
        <v>191</v>
      </c>
      <c r="D42" s="113" t="s">
        <v>192</v>
      </c>
      <c r="E42" s="113" t="s">
        <v>193</v>
      </c>
      <c r="F42" s="113" t="s">
        <v>194</v>
      </c>
    </row>
    <row r="43" spans="1:9" x14ac:dyDescent="0.25">
      <c r="A43" s="111" t="s">
        <v>187</v>
      </c>
      <c r="B43" s="111">
        <v>2</v>
      </c>
      <c r="C43" s="111">
        <v>91.668128815426684</v>
      </c>
      <c r="D43" s="111">
        <v>45.834064407713342</v>
      </c>
      <c r="E43" s="111">
        <v>20.100096922298896</v>
      </c>
      <c r="F43" s="111">
        <v>7.5886549921048649E-4</v>
      </c>
    </row>
    <row r="44" spans="1:9" x14ac:dyDescent="0.25">
      <c r="A44" s="111" t="s">
        <v>188</v>
      </c>
      <c r="B44" s="111">
        <v>8</v>
      </c>
      <c r="C44" s="111">
        <v>18.242325730027851</v>
      </c>
      <c r="D44" s="111">
        <v>2.2802907162534813</v>
      </c>
      <c r="E44" s="111"/>
      <c r="F44" s="111"/>
    </row>
    <row r="45" spans="1:9" ht="16.5" thickBot="1" x14ac:dyDescent="0.3">
      <c r="A45" s="112" t="s">
        <v>177</v>
      </c>
      <c r="B45" s="112">
        <v>10</v>
      </c>
      <c r="C45" s="112">
        <v>109.91045454545454</v>
      </c>
      <c r="D45" s="112"/>
      <c r="E45" s="112"/>
      <c r="F45" s="112"/>
    </row>
    <row r="46" spans="1:9" ht="16.5" thickBot="1" x14ac:dyDescent="0.3"/>
    <row r="47" spans="1:9" x14ac:dyDescent="0.25">
      <c r="A47" s="113"/>
      <c r="B47" s="113" t="s">
        <v>195</v>
      </c>
      <c r="C47" s="113" t="s">
        <v>184</v>
      </c>
      <c r="D47" s="113" t="s">
        <v>196</v>
      </c>
      <c r="E47" s="113" t="s">
        <v>197</v>
      </c>
      <c r="F47" s="113" t="s">
        <v>198</v>
      </c>
      <c r="G47" s="113" t="s">
        <v>199</v>
      </c>
      <c r="H47" s="113" t="s">
        <v>332</v>
      </c>
      <c r="I47" s="113" t="s">
        <v>333</v>
      </c>
    </row>
    <row r="48" spans="1:9" x14ac:dyDescent="0.25">
      <c r="A48" s="111" t="s">
        <v>189</v>
      </c>
      <c r="B48" s="111">
        <v>24.370722594508202</v>
      </c>
      <c r="C48" s="111">
        <v>1.9363787591748725</v>
      </c>
      <c r="D48" s="111">
        <v>12.58572088700922</v>
      </c>
      <c r="E48" s="111">
        <v>1.4898011371869121E-6</v>
      </c>
      <c r="F48" s="111">
        <v>19.905425168529419</v>
      </c>
      <c r="G48" s="111">
        <v>28.836020020486956</v>
      </c>
      <c r="H48" s="111">
        <v>19.905425168529419</v>
      </c>
      <c r="I48" s="111">
        <v>28.836020020486956</v>
      </c>
    </row>
    <row r="49" spans="1:9" x14ac:dyDescent="0.25">
      <c r="A49" s="111" t="s">
        <v>324</v>
      </c>
      <c r="B49" s="111">
        <v>-2.4193387083676514</v>
      </c>
      <c r="C49" s="111">
        <v>2.9180454170021428</v>
      </c>
      <c r="D49" s="111">
        <v>-0.82909563170992784</v>
      </c>
      <c r="E49" s="111">
        <v>0.43109104572631685</v>
      </c>
      <c r="F49" s="111">
        <v>-9.1483635066881615</v>
      </c>
      <c r="G49" s="111">
        <v>4.3096860899528586</v>
      </c>
      <c r="H49" s="111">
        <v>-9.1483635066881615</v>
      </c>
      <c r="I49" s="111">
        <v>4.3096860899528586</v>
      </c>
    </row>
    <row r="50" spans="1:9" x14ac:dyDescent="0.25">
      <c r="A50" s="111" t="s">
        <v>325</v>
      </c>
      <c r="B50" s="111">
        <v>-6.0547640318191798</v>
      </c>
      <c r="C50" s="111">
        <v>1.6613046011240986</v>
      </c>
      <c r="D50" s="111">
        <v>-3.6445839177970809</v>
      </c>
      <c r="E50" s="111">
        <v>6.545419819916326E-3</v>
      </c>
      <c r="F50" s="111">
        <v>-9.8857393118450645</v>
      </c>
      <c r="G50" s="111">
        <v>-2.2237887517933035</v>
      </c>
      <c r="H50" s="111">
        <v>-9.8857393118450645</v>
      </c>
      <c r="I50" s="111">
        <v>-2.2237887517933035</v>
      </c>
    </row>
    <row r="54" spans="1:9" x14ac:dyDescent="0.25">
      <c r="A54" t="s">
        <v>200</v>
      </c>
      <c r="F54" t="s">
        <v>204</v>
      </c>
    </row>
    <row r="55" spans="1:9" ht="16.5" thickBot="1" x14ac:dyDescent="0.3"/>
    <row r="56" spans="1:9" x14ac:dyDescent="0.25">
      <c r="A56" s="113" t="s">
        <v>201</v>
      </c>
      <c r="B56" s="113" t="s">
        <v>338</v>
      </c>
      <c r="C56" s="113" t="s">
        <v>202</v>
      </c>
      <c r="D56" s="113" t="s">
        <v>203</v>
      </c>
      <c r="F56" s="113" t="s">
        <v>205</v>
      </c>
      <c r="G56" s="113" t="s">
        <v>173</v>
      </c>
    </row>
    <row r="57" spans="1:9" x14ac:dyDescent="0.25">
      <c r="A57" s="111">
        <v>1</v>
      </c>
      <c r="B57" s="111">
        <v>15.010441017454136</v>
      </c>
      <c r="C57" s="111">
        <v>0.18955898254586323</v>
      </c>
      <c r="D57" s="111">
        <v>0.14034736586562827</v>
      </c>
      <c r="F57" s="111">
        <v>4.5454545454545459</v>
      </c>
      <c r="G57" s="111">
        <v>9.4499999999999993</v>
      </c>
    </row>
    <row r="58" spans="1:9" x14ac:dyDescent="0.25">
      <c r="A58" s="111">
        <v>2</v>
      </c>
      <c r="B58" s="111">
        <v>17.000134353410928</v>
      </c>
      <c r="C58" s="111">
        <v>-2.3001343534109289</v>
      </c>
      <c r="D58" s="111">
        <v>-1.7029939351998746</v>
      </c>
      <c r="F58" s="111">
        <v>13.636363636363637</v>
      </c>
      <c r="G58" s="111">
        <v>10.3</v>
      </c>
    </row>
    <row r="59" spans="1:9" x14ac:dyDescent="0.25">
      <c r="A59" s="111">
        <v>3</v>
      </c>
      <c r="B59" s="111">
        <v>17.414831473975063</v>
      </c>
      <c r="C59" s="111">
        <v>2.8851685260249376</v>
      </c>
      <c r="D59" s="111">
        <v>2.1361467405431278</v>
      </c>
      <c r="F59" s="111">
        <v>22.72727272727273</v>
      </c>
      <c r="G59" s="111">
        <v>13.8</v>
      </c>
    </row>
    <row r="60" spans="1:9" x14ac:dyDescent="0.25">
      <c r="A60" s="111">
        <v>4</v>
      </c>
      <c r="B60" s="111">
        <v>11.532915892740874</v>
      </c>
      <c r="C60" s="111">
        <v>-1.2329158927408734</v>
      </c>
      <c r="D60" s="111">
        <v>-0.91283723702296937</v>
      </c>
      <c r="F60" s="111">
        <v>31.81818181818182</v>
      </c>
      <c r="G60" s="111">
        <v>13.9</v>
      </c>
    </row>
    <row r="61" spans="1:9" x14ac:dyDescent="0.25">
      <c r="A61" s="111">
        <v>5</v>
      </c>
      <c r="B61" s="111">
        <v>16.810915636112309</v>
      </c>
      <c r="C61" s="111">
        <v>0.98908436388769161</v>
      </c>
      <c r="D61" s="111">
        <v>0.73230708049897919</v>
      </c>
      <c r="F61" s="111">
        <v>40.909090909090914</v>
      </c>
      <c r="G61" s="111">
        <v>14.7</v>
      </c>
    </row>
    <row r="62" spans="1:9" x14ac:dyDescent="0.25">
      <c r="A62" s="111">
        <v>6</v>
      </c>
      <c r="B62" s="111">
        <v>17.675491071861686</v>
      </c>
      <c r="C62" s="111">
        <v>-0.17549107186168555</v>
      </c>
      <c r="D62" s="111">
        <v>-0.12993164100131294</v>
      </c>
      <c r="F62" s="111">
        <v>50.000000000000007</v>
      </c>
      <c r="G62" s="111">
        <v>15.2</v>
      </c>
    </row>
    <row r="63" spans="1:9" x14ac:dyDescent="0.25">
      <c r="A63" s="111">
        <v>7</v>
      </c>
      <c r="B63" s="111">
        <v>16.486473618195209</v>
      </c>
      <c r="C63" s="111">
        <v>-0.48647361819520896</v>
      </c>
      <c r="D63" s="111">
        <v>-0.36017966524113382</v>
      </c>
      <c r="F63" s="111">
        <v>59.090909090909093</v>
      </c>
      <c r="G63" s="111">
        <v>16</v>
      </c>
    </row>
    <row r="64" spans="1:9" x14ac:dyDescent="0.25">
      <c r="A64" s="111">
        <v>8</v>
      </c>
      <c r="B64" s="111">
        <v>12.841642671031968</v>
      </c>
      <c r="C64" s="111">
        <v>0.95835732896803272</v>
      </c>
      <c r="D64" s="111">
        <v>0.70955712502909318</v>
      </c>
      <c r="F64" s="111">
        <v>68.181818181818187</v>
      </c>
      <c r="G64" s="111">
        <v>17.5</v>
      </c>
    </row>
    <row r="65" spans="1:7" x14ac:dyDescent="0.25">
      <c r="A65" s="111">
        <v>9</v>
      </c>
      <c r="B65" s="111">
        <v>9.1015599754189989</v>
      </c>
      <c r="C65" s="111">
        <v>0.34844002458100043</v>
      </c>
      <c r="D65" s="111">
        <v>0.25798112521661337</v>
      </c>
      <c r="F65" s="111">
        <v>77.27272727272728</v>
      </c>
      <c r="G65" s="111">
        <v>17.8</v>
      </c>
    </row>
    <row r="66" spans="1:7" x14ac:dyDescent="0.25">
      <c r="A66" s="111">
        <v>10</v>
      </c>
      <c r="B66" s="111">
        <v>14.269984964254949</v>
      </c>
      <c r="C66" s="111">
        <v>-0.36998496425494842</v>
      </c>
      <c r="D66" s="111">
        <v>-0.27393275932206063</v>
      </c>
      <c r="F66" s="111">
        <v>86.363636363636374</v>
      </c>
      <c r="G66" s="111">
        <v>18.399999999999999</v>
      </c>
    </row>
    <row r="67" spans="1:7" ht="16.5" thickBot="1" x14ac:dyDescent="0.3">
      <c r="A67" s="112">
        <v>11</v>
      </c>
      <c r="B67" s="112">
        <v>19.20560932554389</v>
      </c>
      <c r="C67" s="112">
        <v>-0.80560932554389098</v>
      </c>
      <c r="D67" s="112">
        <v>-0.59646419936609818</v>
      </c>
      <c r="F67" s="112">
        <v>95.454545454545467</v>
      </c>
      <c r="G67" s="112">
        <v>20.3</v>
      </c>
    </row>
  </sheetData>
  <autoFilter ref="C4:E4" xr:uid="{F388E7D2-03E8-4660-9521-B4855457C47E}"/>
  <sortState xmlns:xlrd2="http://schemas.microsoft.com/office/spreadsheetml/2017/richdata2" ref="G57:G67">
    <sortCondition ref="G57"/>
  </sortState>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G b B B U h X Q n F u j A A A A 9 Q A A A B I A H A B D b 2 5 m a W c v U G F j a 2 F n Z S 5 4 b W w g o h g A K K A U A A A A A A A A A A A A A A A A A A A A A A A A A A A A h Y + x D o I w G I R f h X S n L X U h 5 K c M r G J M T I x r U y o 0 Q D G 0 W O K r O f h I v o I Y R d 0 c 7 7 6 7 5 O 5 + v U E 2 d W 1 w V o P V v U l R h C k K l J F 9 q U 2 V o t E d w x h l H L Z C N q J S w R w 2 N p m s T l H t 3 C k h x H u P / Q r 3 Q 0 U Y p R E 5 F O u d r F U n Q m 2 s E 0 Y q 9 G m V / 1 u I w / 4 1 h j M c x 5 j R e R K Q x Y N C m y 9 n M 3 v S H x P y s X X j o P i l D v M N k E U C e V / g D 1 B L A w Q U A A I A C A A Z s E 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b B B U i i K R 7 g O A A A A E Q A A A B M A H A B G b 3 J t d W x h c y 9 T Z W N 0 a W 9 u M S 5 t I K I Y A C i g F A A A A A A A A A A A A A A A A A A A A A A A A A A A A C t O T S 7 J z M 9 T C I b Q h t Y A U E s B A i 0 A F A A C A A g A G b B B U h X Q n F u j A A A A 9 Q A A A B I A A A A A A A A A A A A A A A A A A A A A A E N v b m Z p Z y 9 Q Y W N r Y W d l L n h t b F B L A Q I t A B Q A A g A I A B m w Q V I P y u m r p A A A A O k A A A A T A A A A A A A A A A A A A A A A A O 8 A A A B b Q 2 9 u d G V u d F 9 U e X B l c 1 0 u e G 1 s U E s B A i 0 A F A A C A A g A G b B B 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0 a q Z m A T J J P o n K i h v 2 1 a b c A A A A A A g A A A A A A E G Y A A A A B A A A g A A A A r k k 2 y 8 u N W N K z Z e G w p S 7 k v c e P L w D h T T V k E G D D / Y S 0 Z x M A A A A A D o A A A A A C A A A g A A A A Y n U Z e 9 r r v y u J F i Y f / t Z e f y P s t q / 3 w 6 Q x G I C X s U N b 7 b J Q A A A A b e u F l 4 7 m Q 8 9 Q i y B f w l l Q q 5 h L d M k A 8 9 / f b + e 8 J / G E U O W s h S i E V Z Y G L + l q C X O z s h c w 6 T q O N v D m m r t V p t a 1 a h Z b B r b w m 5 2 S p W k u k 7 0 J L b X v O u p A A A A A 0 0 k R E x P l O g y U I 4 g l 8 A d r f + 1 2 w r 0 X g L k W q Q v p x Q S R g W Z Y t C N D l P s 8 G 9 n h E n r Y x G g M o F V o r d j T 4 p i s Q O G e l n S 9 2 w = = < / D a t a M a s h u p > 
</file>

<file path=customXml/itemProps1.xml><?xml version="1.0" encoding="utf-8"?>
<ds:datastoreItem xmlns:ds="http://schemas.openxmlformats.org/officeDocument/2006/customXml" ds:itemID="{CA4C80E5-022F-4F9F-98EF-4EA493F7B5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Data</vt:lpstr>
      <vt:lpstr>Systematic Risk (β) Estimation</vt:lpstr>
      <vt:lpstr>CAPM</vt:lpstr>
      <vt:lpstr>Valuation</vt:lpstr>
      <vt:lpstr>DDM Model</vt:lpstr>
      <vt:lpstr>ER Model</vt:lpstr>
      <vt:lpstr>Growth</vt:lpstr>
      <vt:lpstr>ER</vt:lpstr>
      <vt:lpstr> PE</vt:lpstr>
      <vt:lpstr>PVB vs ROE</vt:lpstr>
      <vt:lpstr>FCFE Final</vt:lpstr>
      <vt:lpstr>DCFE Model</vt:lpstr>
      <vt:lpstr>Companies</vt:lpstr>
      <vt:lpstr>Financial</vt:lpstr>
      <vt:lpstr>FCF</vt:lpstr>
      <vt:lpstr>FRC Comp</vt:lpstr>
      <vt:lpstr>Credit Ex</vt:lpstr>
      <vt:lpstr>Sheet2</vt:lpstr>
      <vt:lpstr>RIM Model</vt:lpstr>
      <vt:lpstr>RIM  data</vt:lpstr>
      <vt:lpstr>H model</vt:lpstr>
      <vt:lpstr>WACC</vt:lpstr>
      <vt:lpstr>Profit Margin</vt:lpstr>
      <vt:lpstr>Spread Ratio</vt:lpstr>
      <vt:lpstr>Invested Capital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Haolin Chi</dc:creator>
  <cp:lastModifiedBy>RainyVintage</cp:lastModifiedBy>
  <dcterms:created xsi:type="dcterms:W3CDTF">2020-03-10T22:02:34Z</dcterms:created>
  <dcterms:modified xsi:type="dcterms:W3CDTF">2021-02-21T19:22:33Z</dcterms:modified>
</cp:coreProperties>
</file>