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inyvintage/Desktop/Global Case-20200305T013833Z-001/"/>
    </mc:Choice>
  </mc:AlternateContent>
  <xr:revisionPtr revIDLastSave="0" documentId="13_ncr:1_{9C93222F-BC83-F749-A864-F42D25F1159B}" xr6:coauthVersionLast="45" xr6:coauthVersionMax="45" xr10:uidLastSave="{00000000-0000-0000-0000-000000000000}"/>
  <bookViews>
    <workbookView xWindow="780" yWindow="960" windowWidth="27640" windowHeight="15440" activeTab="6" xr2:uid="{2A93D6A7-FA24-8847-8766-3C2CE4E44A2C}"/>
  </bookViews>
  <sheets>
    <sheet name="Data" sheetId="3" r:id="rId1"/>
    <sheet name="Systematic Risk (β) Estimation" sheetId="6" r:id="rId2"/>
    <sheet name="CAPM" sheetId="1" r:id="rId3"/>
    <sheet name="WACC" sheetId="5" r:id="rId4"/>
    <sheet name="Growth rate" sheetId="2" r:id="rId5"/>
    <sheet name="DCFE Model" sheetId="16" r:id="rId6"/>
    <sheet name="Mutiple" sheetId="10" r:id="rId7"/>
    <sheet name="Profit Margin" sheetId="7" r:id="rId8"/>
    <sheet name="Spread Ratio" sheetId="9" r:id="rId9"/>
    <sheet name="Invested Capital" sheetId="11" r:id="rId10"/>
    <sheet name="Cash operating taxes" sheetId="13" r:id="rId11"/>
    <sheet name="NOPAT" sheetId="14" r:id="rId12"/>
    <sheet name="Econ Profit" sheetId="15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7" i="10" l="1"/>
  <c r="I17" i="10"/>
  <c r="B6" i="6"/>
  <c r="B5" i="6"/>
  <c r="G70" i="3"/>
  <c r="G69" i="3"/>
  <c r="E69" i="3"/>
  <c r="E70" i="3"/>
  <c r="B7" i="6"/>
  <c r="B4" i="6"/>
  <c r="B22" i="10"/>
  <c r="B8" i="6" l="1"/>
  <c r="C7" i="1" s="1"/>
  <c r="B8" i="5"/>
  <c r="B10" i="6"/>
  <c r="B31" i="1"/>
  <c r="B32" i="1" s="1"/>
  <c r="B28" i="1"/>
  <c r="C6" i="1"/>
  <c r="F70" i="3"/>
  <c r="F69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7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C9" i="1" l="1"/>
  <c r="D10" i="16" s="1"/>
  <c r="D9" i="16" l="1"/>
  <c r="D8" i="16"/>
  <c r="D7" i="16"/>
  <c r="D5" i="5"/>
  <c r="B9" i="5" s="1"/>
  <c r="C11" i="16"/>
  <c r="D11" i="16" s="1"/>
  <c r="D6" i="16"/>
  <c r="B9" i="6"/>
  <c r="D12" i="16" l="1"/>
  <c r="D14" i="16" s="1"/>
</calcChain>
</file>

<file path=xl/sharedStrings.xml><?xml version="1.0" encoding="utf-8"?>
<sst xmlns="http://schemas.openxmlformats.org/spreadsheetml/2006/main" count="245" uniqueCount="176">
  <si>
    <t>Netflix Inc.</t>
  </si>
  <si>
    <t>Expected rate of return</t>
  </si>
  <si>
    <t>Assumptions</t>
  </si>
  <si>
    <t>Rate of return on LT Treasury Composite</t>
  </si>
  <si>
    <t>R(F)</t>
  </si>
  <si>
    <t>Expected rate of return on market portfolio</t>
  </si>
  <si>
    <t>E[R(M)]</t>
  </si>
  <si>
    <t>Systematic risk (β) of Netflix Inc.’s common stock</t>
  </si>
  <si>
    <t>β(NFLX)</t>
  </si>
  <si>
    <t>Expected rate of return on Netflix Inc.’s common stock</t>
  </si>
  <si>
    <t>E[R(NFLX)]</t>
  </si>
  <si>
    <t>https://www.treasury.gov/resource-center/data-chart-center/interest-rates/pages/TextView.aspx?data=longtermrateYear&amp;year=2020</t>
  </si>
  <si>
    <t>Monthly rates of return</t>
  </si>
  <si>
    <t>Netflix Inc. (NFLX)</t>
  </si>
  <si>
    <t>Standard &amp; Poor’s 500 (S&amp;P 500)</t>
  </si>
  <si>
    <t>t</t>
  </si>
  <si>
    <t>Date</t>
  </si>
  <si>
    <t>Price(NFLX, t)</t>
  </si>
  <si>
    <t>Dividend(NFLX, t)</t>
  </si>
  <si>
    <t>R(NFLX, t)</t>
  </si>
  <si>
    <t>Price(S&amp;P 500, t)</t>
  </si>
  <si>
    <t>R(S&amp;P 500, t)</t>
  </si>
  <si>
    <t>Average:</t>
  </si>
  <si>
    <t>Standard deviation:</t>
  </si>
  <si>
    <t>Cost of capital</t>
  </si>
  <si>
    <t>Value</t>
  </si>
  <si>
    <t>Weight</t>
  </si>
  <si>
    <t>Required rate of return</t>
  </si>
  <si>
    <t>Equity (fair value)</t>
  </si>
  <si>
    <t>161,906,489 </t>
  </si>
  <si>
    <t>Long-term debt (fair value)</t>
  </si>
  <si>
    <t>15,949,000 </t>
  </si>
  <si>
    <t>Based on: 10-K (filing date: 2020-01-29).</t>
  </si>
  <si>
    <t>WACC</t>
  </si>
  <si>
    <t>Systematic risk (β) estimation</t>
  </si>
  <si>
    <t>Variance(NFLX)</t>
  </si>
  <si>
    <t>Variance(S&amp;P 500)</t>
  </si>
  <si>
    <t>Covariance(NFLX, S&amp;P 500)</t>
  </si>
  <si>
    <t>Correlation coefficient(NFLX, S&amp;P 500)</t>
  </si>
  <si>
    <t>α(NFLX)</t>
  </si>
  <si>
    <t>Market Portfolio, PRAT model</t>
  </si>
  <si>
    <t>Average</t>
  </si>
  <si>
    <t>Financial Ratios</t>
  </si>
  <si>
    <t>Retention rate</t>
  </si>
  <si>
    <t>Profit margin</t>
  </si>
  <si>
    <t>Asset turnover</t>
  </si>
  <si>
    <t>Financial leverage</t>
  </si>
  <si>
    <t>Averages</t>
  </si>
  <si>
    <t>Estimates</t>
  </si>
  <si>
    <t>Market portfolio dividend growth rate</t>
  </si>
  <si>
    <t>Add: Market portfolio dividend yield</t>
  </si>
  <si>
    <t>Less: Risk-free rate of return</t>
  </si>
  <si>
    <t>Market portfolio risk premium</t>
  </si>
  <si>
    <t>Market portfolio dividend yield = Next year expected market portfolio dividends ÷ Current market portfolio price</t>
  </si>
  <si>
    <t>Risk free rate</t>
  </si>
  <si>
    <t> Equity (fair value) = No. shares of common stock outstanding × Current share price</t>
  </si>
  <si>
    <t>Estimated effective income tax rate</t>
  </si>
  <si>
    <t>Economic profit margin calculation</t>
  </si>
  <si>
    <t>Selected Financial Data (US$ in thousands)</t>
  </si>
  <si>
    <t>Economic profit</t>
  </si>
  <si>
    <t>Revenues</t>
  </si>
  <si>
    <t>Add: Increase (decrease) in deferred revenue</t>
  </si>
  <si>
    <t>Adjusted revenues</t>
  </si>
  <si>
    <t>Performance Ratio</t>
  </si>
  <si>
    <t>Economic profit margin</t>
  </si>
  <si>
    <t>Based on:
10-K (filing date: 2020-01-29),
10-K (filing date: 2019-01-29),
10-K (filing date: 2018-01-29),
10-K (filing date: 2017-01-27),
10-K (filing date: 2016-01-28).</t>
  </si>
  <si>
    <t>Economic spread ratio calculation</t>
  </si>
  <si>
    <t>Invested capital</t>
  </si>
  <si>
    <t>Economic spread ratio</t>
  </si>
  <si>
    <t>24,144,190 </t>
  </si>
  <si>
    <t>17,072,770 </t>
  </si>
  <si>
    <t>10,832,398 </t>
  </si>
  <si>
    <t>6,418,756 </t>
  </si>
  <si>
    <t>4,681,790 </t>
  </si>
  <si>
    <t>Based on:</t>
  </si>
  <si>
    <t>10-K (filing date: 2016-01-28).</t>
  </si>
  <si>
    <t>10-K (filing date: 2020-01-29) to</t>
  </si>
  <si>
    <t>Entertainment</t>
  </si>
  <si>
    <t>Price/Sales</t>
  </si>
  <si>
    <t>Net Margin</t>
  </si>
  <si>
    <t>EV/Sales</t>
  </si>
  <si>
    <t>Pre-tax Operating Margin</t>
  </si>
  <si>
    <t>PBV</t>
  </si>
  <si>
    <t>ROE</t>
  </si>
  <si>
    <t>EV/ Invested Capital</t>
  </si>
  <si>
    <t>ROIC</t>
  </si>
  <si>
    <t>Current PE</t>
  </si>
  <si>
    <t>Trailing PE</t>
  </si>
  <si>
    <t>Forward PE</t>
  </si>
  <si>
    <t>Aggregate Mkt Cap/ Net Income (all firms)</t>
  </si>
  <si>
    <t>Aggregate Mkt Cap/ Trailing Net Income (only money making firms)</t>
  </si>
  <si>
    <t>Expected growth - next 5 years</t>
  </si>
  <si>
    <t>PEG Ratio</t>
  </si>
  <si>
    <t>Netflix</t>
  </si>
  <si>
    <t>EV/EBITDAR&amp;D</t>
  </si>
  <si>
    <t>EV/EBITDA</t>
  </si>
  <si>
    <t>EV/EBIT</t>
  </si>
  <si>
    <t>EV/EBIT (1-t)</t>
  </si>
  <si>
    <t>Invested capital calculation (financing approach)</t>
  </si>
  <si>
    <t>US$ in thousands</t>
  </si>
  <si>
    <t>Long-term debt</t>
  </si>
  <si>
    <t>Operating lease liability</t>
  </si>
  <si>
    <t>Total reported debt &amp; leases</t>
  </si>
  <si>
    <t>Stockholders’ equity</t>
  </si>
  <si>
    <t>Net deferred tax (assets) liabilities</t>
  </si>
  <si>
    <t>Deferred revenue</t>
  </si>
  <si>
    <t>Equity equivalents</t>
  </si>
  <si>
    <t>Accumulated other comprehensive (income) loss, net of tax</t>
  </si>
  <si>
    <t>Adjusted stockholders’ equity</t>
  </si>
  <si>
    <t>Capital work-in-progress</t>
  </si>
  <si>
    <t>Short-term investments</t>
  </si>
  <si>
    <t>Average growth rate</t>
  </si>
  <si>
    <t>Cash operating taxes calculation</t>
  </si>
  <si>
    <t>12 months ended</t>
  </si>
  <si>
    <t>Provision for (benefit from) income taxes</t>
  </si>
  <si>
    <t>Less: Deferred income tax expense (benefit)</t>
  </si>
  <si>
    <t>Add: Tax savings from interest expense</t>
  </si>
  <si>
    <t>Less: Tax imposed on investment income</t>
  </si>
  <si>
    <t>Cash operating taxes</t>
  </si>
  <si>
    <t>NOPAT calculation</t>
  </si>
  <si>
    <t>Net income</t>
  </si>
  <si>
    <t>Deferred income tax expense (benefit)</t>
  </si>
  <si>
    <t>Increase (decrease) in deferred revenue</t>
  </si>
  <si>
    <t>Increase (decrease) in equity equivalents</t>
  </si>
  <si>
    <t>Interest expense</t>
  </si>
  <si>
    <t>Interest expense, operating lease liability</t>
  </si>
  <si>
    <t>Adjusted interest expense</t>
  </si>
  <si>
    <t>Tax benefit of interest expense</t>
  </si>
  <si>
    <t>Adjusted interest expense, after taxes</t>
  </si>
  <si>
    <t>(Gain) loss on marketable securities</t>
  </si>
  <si>
    <t>Investment income, before taxes</t>
  </si>
  <si>
    <t>Tax expense (benefit) of investment income</t>
  </si>
  <si>
    <t>Investment income, after taxes</t>
  </si>
  <si>
    <t>Net operating profit after taxes (NOPAT)</t>
  </si>
  <si>
    <t>Economic profit calculation</t>
  </si>
  <si>
    <t>FCFE growth rate (g) forecast</t>
  </si>
  <si>
    <t>Year</t>
  </si>
  <si>
    <t>g(t)</t>
  </si>
  <si>
    <t>g(1)</t>
  </si>
  <si>
    <t>g(2)</t>
  </si>
  <si>
    <t>g(3)</t>
  </si>
  <si>
    <t>g(4)</t>
  </si>
  <si>
    <t>5 and thereafter</t>
  </si>
  <si>
    <t>g(5)</t>
  </si>
  <si>
    <t>FCFE growth rate (g) implied by PRAT model</t>
  </si>
  <si>
    <t>Total assets</t>
  </si>
  <si>
    <t>FCFE growth rate (g)</t>
  </si>
  <si>
    <t>Note:</t>
  </si>
  <si>
    <r>
      <t>g</t>
    </r>
    <r>
      <rPr>
        <sz val="11"/>
        <color rgb="FF252525"/>
        <rFont val="Calibri"/>
        <family val="2"/>
        <scheme val="minor"/>
      </rPr>
      <t>1 is implied by PRAT model</t>
    </r>
  </si>
  <si>
    <r>
      <t>g</t>
    </r>
    <r>
      <rPr>
        <sz val="11"/>
        <color rgb="FF252525"/>
        <rFont val="Calibri"/>
        <family val="2"/>
        <scheme val="minor"/>
      </rPr>
      <t>5 is implied by single-stage model</t>
    </r>
  </si>
  <si>
    <r>
      <t>g</t>
    </r>
    <r>
      <rPr>
        <sz val="11"/>
        <color rgb="FF252525"/>
        <rFont val="Calibri"/>
        <family val="2"/>
        <scheme val="minor"/>
      </rPr>
      <t>2, </t>
    </r>
    <r>
      <rPr>
        <i/>
        <sz val="11"/>
        <color rgb="FF252525"/>
        <rFont val="Calibri"/>
        <family val="2"/>
        <scheme val="minor"/>
      </rPr>
      <t>g</t>
    </r>
    <r>
      <rPr>
        <sz val="11"/>
        <color rgb="FF252525"/>
        <rFont val="Calibri"/>
        <family val="2"/>
        <scheme val="minor"/>
      </rPr>
      <t>3 and </t>
    </r>
    <r>
      <rPr>
        <i/>
        <sz val="11"/>
        <color rgb="FF252525"/>
        <rFont val="Calibri"/>
        <family val="2"/>
        <scheme val="minor"/>
      </rPr>
      <t>g</t>
    </r>
    <r>
      <rPr>
        <sz val="11"/>
        <color rgb="FF252525"/>
        <rFont val="Calibri"/>
        <family val="2"/>
        <scheme val="minor"/>
      </rPr>
      <t>4 are calculated using linear interpoltion between </t>
    </r>
    <r>
      <rPr>
        <i/>
        <sz val="11"/>
        <color rgb="FF252525"/>
        <rFont val="Calibri"/>
        <family val="2"/>
        <scheme val="minor"/>
      </rPr>
      <t>g</t>
    </r>
    <r>
      <rPr>
        <sz val="11"/>
        <color rgb="FF252525"/>
        <rFont val="Calibri"/>
        <family val="2"/>
        <scheme val="minor"/>
      </rPr>
      <t>1 and </t>
    </r>
    <r>
      <rPr>
        <i/>
        <sz val="11"/>
        <color rgb="FF252525"/>
        <rFont val="Calibri"/>
        <family val="2"/>
        <scheme val="minor"/>
      </rPr>
      <t>g</t>
    </r>
    <r>
      <rPr>
        <sz val="11"/>
        <color rgb="FF252525"/>
        <rFont val="Calibri"/>
        <family val="2"/>
        <scheme val="minor"/>
      </rPr>
      <t>5</t>
    </r>
  </si>
  <si>
    <t>where:</t>
  </si>
  <si>
    <t>WACC = weighted average cost of Thermo Fisher Scientific Inc.’s capital</t>
  </si>
  <si>
    <t>Total capital, fair value0 = current fair value of Thermo Fisher Scientific Inc.’s debt and equity (US$ in millions)</t>
  </si>
  <si>
    <t>FCFF0 = the last year Thermo Fisher Scientific Inc.’s free cash flow to the firm (US$ in millions)</t>
  </si>
  <si>
    <r>
      <rPr>
        <b/>
        <sz val="17"/>
        <color rgb="FF162B2E"/>
        <rFont val="Calibri (Body)"/>
      </rPr>
      <t>FCFF growth rate (</t>
    </r>
    <r>
      <rPr>
        <b/>
        <i/>
        <sz val="17"/>
        <color rgb="FF162B2E"/>
        <rFont val="Calibri (Body)"/>
      </rPr>
      <t>g</t>
    </r>
    <r>
      <rPr>
        <b/>
        <sz val="17"/>
        <color rgb="FF162B2E"/>
        <rFont val="Calibri (Body)"/>
      </rPr>
      <t>) implied by single-stage model</t>
    </r>
  </si>
  <si>
    <t>Free cash flow to equity (FCFE) forecast</t>
  </si>
  <si>
    <t>US$ in thousands, except per share data</t>
  </si>
  <si>
    <t>FCFE(t) or TV(t)</t>
  </si>
  <si>
    <t>FCFE(0)</t>
  </si>
  <si>
    <t>FCFE(1)</t>
  </si>
  <si>
    <t>FCFE(2)</t>
  </si>
  <si>
    <t>FCFE(3)</t>
  </si>
  <si>
    <t>FCFE(4)</t>
  </si>
  <si>
    <t>FCFE(5)</t>
  </si>
  <si>
    <t>TV(5)</t>
  </si>
  <si>
    <t>Intrinsic value of Netflix Inc.’s common stock</t>
  </si>
  <si>
    <t>Intrinsic value of Netflix Inc.’s common stock (per share)</t>
  </si>
  <si>
    <t>Current share price</t>
  </si>
  <si>
    <t>Present value at Required rate of return</t>
  </si>
  <si>
    <t>The FCFE is calculated based on grwoth rate</t>
  </si>
  <si>
    <t>in the last excel sheet</t>
  </si>
  <si>
    <t>﻿g = 100 × (Equity market value × r – FCFE ) ÷ (Equity market value + FCFE )</t>
  </si>
  <si>
    <t>= 100 × (168,409,604 × 15.83% – 1,292,815) ÷ (168,409,604 + 1,292,815) = 14.94%</t>
  </si>
  <si>
    <t>Share outstanding</t>
  </si>
  <si>
    <t>As for monthly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</si>
</sst>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#,##0.00%;\-#,##0.00%;&quot;—&quot;"/>
    <numFmt numFmtId="165" formatCode="#,##0.00;\-#,##0.00;&quot;—&quot;"/>
    <numFmt numFmtId="170" formatCode="[$-409]mmm\ d\,\ yyyy"/>
    <numFmt numFmtId="171" formatCode="#,##0_);\(#,##0\);&quot;—&quot;"/>
    <numFmt numFmtId="181" formatCode="0.00000"/>
    <numFmt numFmtId="185" formatCode="[$-409]#,##0.00_);[Red]\(#,##0.00\)"/>
    <numFmt numFmtId="186" formatCode="#,##0.00%;[Red]\-#,##0.00%"/>
    <numFmt numFmtId="187" formatCode="[$$-409]#,##0.00"/>
  </numFmts>
  <fonts count="4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2"/>
      <color rgb="FF162B2E"/>
      <name val="Calibri"/>
    </font>
    <font>
      <b/>
      <sz val="17"/>
      <color rgb="FF162B2E"/>
      <name val="Calibri"/>
    </font>
    <font>
      <b/>
      <sz val="11"/>
      <color rgb="FF252525"/>
      <name val="Calibri"/>
    </font>
    <font>
      <b/>
      <sz val="22"/>
      <color rgb="FF162B2E"/>
      <name val="Calibri"/>
      <scheme val="minor"/>
    </font>
    <font>
      <sz val="11"/>
      <color rgb="FF252525"/>
      <name val="Calibri"/>
      <scheme val="minor"/>
    </font>
    <font>
      <b/>
      <sz val="17"/>
      <color rgb="FF162B2E"/>
      <name val="Calibri"/>
      <scheme val="minor"/>
    </font>
    <font>
      <b/>
      <i/>
      <sz val="13"/>
      <color rgb="FF737373"/>
      <name val="Calibri"/>
      <scheme val="minor"/>
    </font>
    <font>
      <b/>
      <sz val="11"/>
      <color rgb="FF252525"/>
      <name val="Calibri"/>
      <scheme val="minor"/>
    </font>
    <font>
      <sz val="9"/>
      <color rgb="FF757575"/>
      <name val="Calibri"/>
      <scheme val="minor"/>
    </font>
    <font>
      <u/>
      <sz val="11"/>
      <color rgb="FF0000FF"/>
      <name val="Calibri"/>
      <scheme val="minor"/>
    </font>
    <font>
      <b/>
      <sz val="22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7"/>
      <color rgb="FF333333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9"/>
      <color rgb="FF80808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rgb="FF162B2E"/>
      <name val="Calibri"/>
      <family val="2"/>
    </font>
    <font>
      <b/>
      <sz val="11"/>
      <color rgb="FF252525"/>
      <name val="Calibri"/>
      <family val="2"/>
    </font>
    <font>
      <b/>
      <i/>
      <sz val="13"/>
      <color rgb="FF737373"/>
      <name val="Calibri"/>
      <family val="2"/>
    </font>
    <font>
      <b/>
      <sz val="17"/>
      <color rgb="FF162B2E"/>
      <name val="Calibri"/>
      <family val="2"/>
    </font>
    <font>
      <sz val="11"/>
      <color rgb="FF252525"/>
      <name val="Arial"/>
      <family val="2"/>
    </font>
    <font>
      <sz val="9"/>
      <color rgb="FF757575"/>
      <name val="Calibri"/>
      <family val="2"/>
    </font>
    <font>
      <b/>
      <i/>
      <sz val="13"/>
      <color rgb="FF80808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2"/>
      <color theme="1"/>
      <name val="Calibri"/>
      <family val="2"/>
    </font>
    <font>
      <i/>
      <sz val="10"/>
      <name val="Calibri"/>
      <family val="2"/>
    </font>
    <font>
      <sz val="9"/>
      <color rgb="FF808080"/>
      <name val="Calibri"/>
      <family val="2"/>
    </font>
    <font>
      <sz val="10"/>
      <color rgb="FF010000"/>
      <name val="Calibri"/>
      <family val="2"/>
    </font>
    <font>
      <b/>
      <sz val="22"/>
      <color rgb="FF162B2E"/>
      <name val="Calibri"/>
      <family val="2"/>
      <scheme val="minor"/>
    </font>
    <font>
      <sz val="11"/>
      <color rgb="FF252525"/>
      <name val="Calibri"/>
      <family val="2"/>
      <scheme val="minor"/>
    </font>
    <font>
      <b/>
      <sz val="17"/>
      <color rgb="FF162B2E"/>
      <name val="Calibri"/>
      <family val="2"/>
      <scheme val="minor"/>
    </font>
    <font>
      <b/>
      <sz val="11"/>
      <color rgb="FF252525"/>
      <name val="Calibri"/>
      <family val="2"/>
      <scheme val="minor"/>
    </font>
    <font>
      <b/>
      <i/>
      <sz val="13"/>
      <color rgb="FF737373"/>
      <name val="Calibri"/>
      <family val="2"/>
      <scheme val="minor"/>
    </font>
    <font>
      <sz val="9"/>
      <color rgb="FF757575"/>
      <name val="Calibri"/>
      <family val="2"/>
      <scheme val="minor"/>
    </font>
    <font>
      <i/>
      <sz val="11"/>
      <color rgb="FF252525"/>
      <name val="Calibri"/>
      <family val="2"/>
      <scheme val="minor"/>
    </font>
    <font>
      <sz val="12"/>
      <color rgb="FF252525"/>
      <name val="Calibri"/>
      <family val="2"/>
      <scheme val="minor"/>
    </font>
    <font>
      <i/>
      <sz val="12"/>
      <color rgb="FF252525"/>
      <name val="Calibri"/>
      <family val="2"/>
      <scheme val="minor"/>
    </font>
    <font>
      <b/>
      <sz val="17"/>
      <color rgb="FF162B2E"/>
      <name val="Calibri (Body)"/>
    </font>
    <font>
      <b/>
      <i/>
      <sz val="17"/>
      <color rgb="FF162B2E"/>
      <name val="Calibri (Body)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FF"/>
        <bgColor rgb="FFF2F2F2"/>
      </patternFill>
    </fill>
  </fills>
  <borders count="7">
    <border>
      <left/>
      <right/>
      <top/>
      <bottom/>
      <diagonal/>
    </border>
    <border>
      <left/>
      <right/>
      <top style="thin">
        <color rgb="FFE2E2E2"/>
      </top>
      <bottom/>
      <diagonal/>
    </border>
    <border>
      <left/>
      <right/>
      <top style="thin">
        <color rgb="FF4D4D4D"/>
      </top>
      <bottom/>
      <diagonal/>
    </border>
    <border>
      <left/>
      <right/>
      <top style="thin">
        <color rgb="FF4D4D4D"/>
      </top>
      <bottom style="medium">
        <color rgb="FF4D4D4D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05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 wrapText="1" indent="2"/>
    </xf>
    <xf numFmtId="0" fontId="0" fillId="0" borderId="0" xfId="0" applyAlignment="1">
      <alignment horizontal="left" wrapText="1" indent="1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4" fontId="6" fillId="0" borderId="1" xfId="0" applyNumberFormat="1" applyFont="1" applyBorder="1" applyAlignment="1">
      <alignment horizontal="right"/>
    </xf>
    <xf numFmtId="0" fontId="3" fillId="0" borderId="0" xfId="3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 vertical="center" indent="1"/>
    </xf>
    <xf numFmtId="0" fontId="8" fillId="0" borderId="0" xfId="0" applyFont="1" applyAlignment="1">
      <alignment horizontal="left" wrapText="1" indent="2"/>
    </xf>
    <xf numFmtId="0" fontId="8" fillId="0" borderId="0" xfId="0" applyFont="1" applyAlignment="1">
      <alignment horizontal="left" wrapText="1" indent="1"/>
    </xf>
    <xf numFmtId="10" fontId="0" fillId="0" borderId="0" xfId="0" applyNumberFormat="1"/>
    <xf numFmtId="164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11" fillId="0" borderId="0" xfId="0" applyFont="1" applyAlignment="1">
      <alignment horizontal="left" wrapText="1" indent="1"/>
    </xf>
    <xf numFmtId="164" fontId="11" fillId="0" borderId="1" xfId="0" applyNumberFormat="1" applyFont="1" applyBorder="1" applyAlignment="1">
      <alignment horizontal="right"/>
    </xf>
    <xf numFmtId="0" fontId="12" fillId="0" borderId="2" xfId="0" applyFont="1" applyBorder="1"/>
    <xf numFmtId="0" fontId="13" fillId="0" borderId="0" xfId="0" applyFont="1"/>
    <xf numFmtId="0" fontId="6" fillId="2" borderId="3" xfId="0" applyFont="1" applyFill="1" applyBorder="1" applyAlignment="1">
      <alignment horizontal="right" vertical="top"/>
    </xf>
    <xf numFmtId="0" fontId="0" fillId="0" borderId="0" xfId="0"/>
    <xf numFmtId="49" fontId="6" fillId="2" borderId="3" xfId="0" applyNumberFormat="1" applyFont="1" applyFill="1" applyBorder="1" applyAlignment="1">
      <alignment horizontal="center" vertical="top" wrapText="1"/>
    </xf>
    <xf numFmtId="49" fontId="6" fillId="2" borderId="3" xfId="0" applyNumberFormat="1" applyFont="1" applyFill="1" applyBorder="1" applyAlignment="1">
      <alignment horizontal="center" vertical="top" wrapText="1"/>
    </xf>
    <xf numFmtId="170" fontId="0" fillId="0" borderId="0" xfId="0" applyNumberFormat="1" applyAlignment="1">
      <alignment horizontal="right"/>
    </xf>
    <xf numFmtId="171" fontId="0" fillId="0" borderId="0" xfId="0" applyNumberFormat="1" applyAlignment="1">
      <alignment horizontal="right"/>
    </xf>
    <xf numFmtId="0" fontId="6" fillId="0" borderId="0" xfId="0" applyFont="1" applyAlignment="1">
      <alignment horizontal="left" wrapText="1" indent="1"/>
    </xf>
    <xf numFmtId="43" fontId="6" fillId="0" borderId="1" xfId="1" applyFont="1" applyBorder="1" applyAlignment="1">
      <alignment horizontal="right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10" fontId="15" fillId="0" borderId="0" xfId="0" applyNumberFormat="1" applyFont="1"/>
    <xf numFmtId="0" fontId="18" fillId="0" borderId="0" xfId="0" applyFont="1"/>
    <xf numFmtId="10" fontId="0" fillId="0" borderId="0" xfId="2" applyNumberFormat="1" applyFont="1"/>
    <xf numFmtId="0" fontId="19" fillId="0" borderId="0" xfId="0" applyFont="1"/>
    <xf numFmtId="10" fontId="19" fillId="0" borderId="0" xfId="0" applyNumberFormat="1" applyFont="1"/>
    <xf numFmtId="181" fontId="15" fillId="0" borderId="0" xfId="0" applyNumberFormat="1" applyFont="1"/>
    <xf numFmtId="2" fontId="17" fillId="0" borderId="0" xfId="0" applyNumberFormat="1" applyFont="1"/>
    <xf numFmtId="10" fontId="15" fillId="0" borderId="0" xfId="2" applyNumberFormat="1" applyFont="1"/>
    <xf numFmtId="0" fontId="20" fillId="0" borderId="0" xfId="0" applyFont="1"/>
    <xf numFmtId="0" fontId="21" fillId="2" borderId="3" xfId="0" applyFont="1" applyFill="1" applyBorder="1" applyAlignment="1">
      <alignment horizontal="right" vertical="top"/>
    </xf>
    <xf numFmtId="49" fontId="21" fillId="2" borderId="3" xfId="0" applyNumberFormat="1" applyFont="1" applyFill="1" applyBorder="1" applyAlignment="1">
      <alignment horizontal="center" vertical="top" wrapText="1"/>
    </xf>
    <xf numFmtId="0" fontId="22" fillId="0" borderId="0" xfId="0" applyFont="1" applyAlignment="1">
      <alignment horizontal="left" vertical="center" indent="1"/>
    </xf>
    <xf numFmtId="0" fontId="21" fillId="0" borderId="0" xfId="0" applyFont="1" applyAlignment="1">
      <alignment horizontal="left" wrapText="1" indent="3"/>
    </xf>
    <xf numFmtId="164" fontId="21" fillId="0" borderId="1" xfId="0" applyNumberFormat="1" applyFont="1" applyBorder="1" applyAlignment="1">
      <alignment horizontal="right"/>
    </xf>
    <xf numFmtId="0" fontId="21" fillId="0" borderId="0" xfId="0" applyFont="1" applyAlignment="1">
      <alignment horizontal="left" wrapText="1" indent="2"/>
    </xf>
    <xf numFmtId="0" fontId="23" fillId="0" borderId="0" xfId="0" applyFont="1"/>
    <xf numFmtId="0" fontId="24" fillId="0" borderId="0" xfId="0" applyFont="1"/>
    <xf numFmtId="170" fontId="21" fillId="2" borderId="3" xfId="0" applyNumberFormat="1" applyFont="1" applyFill="1" applyBorder="1" applyAlignment="1">
      <alignment horizontal="center" vertical="top"/>
    </xf>
    <xf numFmtId="0" fontId="0" fillId="0" borderId="0" xfId="0" applyAlignment="1">
      <alignment horizontal="left" wrapText="1" indent="3"/>
    </xf>
    <xf numFmtId="0" fontId="21" fillId="0" borderId="0" xfId="0" applyFont="1" applyAlignment="1">
      <alignment horizontal="left" wrapText="1" indent="4"/>
    </xf>
    <xf numFmtId="171" fontId="21" fillId="0" borderId="1" xfId="0" applyNumberFormat="1" applyFont="1" applyBorder="1" applyAlignment="1">
      <alignment horizontal="right"/>
    </xf>
    <xf numFmtId="0" fontId="25" fillId="0" borderId="2" xfId="0" applyFont="1" applyBorder="1"/>
    <xf numFmtId="15" fontId="17" fillId="0" borderId="0" xfId="0" applyNumberFormat="1" applyFont="1"/>
    <xf numFmtId="0" fontId="26" fillId="0" borderId="0" xfId="0" applyFont="1"/>
    <xf numFmtId="3" fontId="19" fillId="0" borderId="0" xfId="0" applyNumberFormat="1" applyFont="1"/>
    <xf numFmtId="0" fontId="27" fillId="0" borderId="0" xfId="0" applyFont="1"/>
    <xf numFmtId="10" fontId="27" fillId="0" borderId="0" xfId="0" applyNumberFormat="1" applyFont="1"/>
    <xf numFmtId="0" fontId="21" fillId="0" borderId="0" xfId="0" applyFont="1" applyAlignment="1">
      <alignment horizontal="left" wrapText="1" indent="1"/>
    </xf>
    <xf numFmtId="0" fontId="28" fillId="0" borderId="4" xfId="0" applyFont="1" applyBorder="1"/>
    <xf numFmtId="0" fontId="28" fillId="0" borderId="4" xfId="0" applyFont="1" applyBorder="1" applyAlignment="1">
      <alignment horizontal="center"/>
    </xf>
    <xf numFmtId="2" fontId="28" fillId="0" borderId="4" xfId="0" applyNumberFormat="1" applyFont="1" applyBorder="1" applyAlignment="1">
      <alignment horizontal="center"/>
    </xf>
    <xf numFmtId="2" fontId="28" fillId="0" borderId="5" xfId="0" applyNumberFormat="1" applyFont="1" applyBorder="1" applyAlignment="1">
      <alignment horizontal="center"/>
    </xf>
    <xf numFmtId="0" fontId="29" fillId="0" borderId="0" xfId="0" applyFont="1"/>
    <xf numFmtId="0" fontId="30" fillId="3" borderId="6" xfId="0" applyFont="1" applyFill="1" applyBorder="1" applyAlignment="1">
      <alignment horizontal="center"/>
    </xf>
    <xf numFmtId="10" fontId="28" fillId="0" borderId="4" xfId="0" applyNumberFormat="1" applyFont="1" applyBorder="1" applyAlignment="1">
      <alignment horizontal="center"/>
    </xf>
    <xf numFmtId="2" fontId="28" fillId="4" borderId="4" xfId="0" applyNumberFormat="1" applyFont="1" applyFill="1" applyBorder="1" applyAlignment="1">
      <alignment horizontal="center"/>
    </xf>
    <xf numFmtId="10" fontId="28" fillId="4" borderId="4" xfId="0" applyNumberFormat="1" applyFont="1" applyFill="1" applyBorder="1" applyAlignment="1">
      <alignment horizontal="center"/>
    </xf>
    <xf numFmtId="0" fontId="28" fillId="4" borderId="4" xfId="0" applyFont="1" applyFill="1" applyBorder="1" applyAlignment="1">
      <alignment horizontal="center"/>
    </xf>
    <xf numFmtId="0" fontId="31" fillId="0" borderId="0" xfId="0" applyFont="1"/>
    <xf numFmtId="0" fontId="28" fillId="3" borderId="4" xfId="0" applyFont="1" applyFill="1" applyBorder="1" applyAlignment="1">
      <alignment horizontal="center"/>
    </xf>
    <xf numFmtId="185" fontId="32" fillId="5" borderId="0" xfId="0" applyNumberFormat="1" applyFont="1" applyFill="1" applyAlignment="1">
      <alignment horizontal="right" vertical="top"/>
    </xf>
    <xf numFmtId="186" fontId="32" fillId="5" borderId="0" xfId="0" applyNumberFormat="1" applyFont="1" applyFill="1" applyAlignment="1">
      <alignment horizontal="right" vertical="top"/>
    </xf>
    <xf numFmtId="10" fontId="29" fillId="0" borderId="0" xfId="0" applyNumberFormat="1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2" borderId="3" xfId="0" applyFont="1" applyFill="1" applyBorder="1" applyAlignment="1">
      <alignment horizontal="right" vertical="top"/>
    </xf>
    <xf numFmtId="49" fontId="36" fillId="2" borderId="3" xfId="0" applyNumberFormat="1" applyFont="1" applyFill="1" applyBorder="1" applyAlignment="1">
      <alignment horizontal="center" vertical="top" wrapText="1"/>
    </xf>
    <xf numFmtId="170" fontId="36" fillId="2" borderId="3" xfId="0" applyNumberFormat="1" applyFont="1" applyFill="1" applyBorder="1" applyAlignment="1">
      <alignment horizontal="center" vertical="top"/>
    </xf>
    <xf numFmtId="0" fontId="37" fillId="0" borderId="0" xfId="0" applyFont="1" applyAlignment="1">
      <alignment horizontal="left" vertical="center" indent="1"/>
    </xf>
    <xf numFmtId="0" fontId="34" fillId="0" borderId="0" xfId="0" applyFont="1" applyAlignment="1">
      <alignment horizontal="left" wrapText="1" indent="2"/>
    </xf>
    <xf numFmtId="171" fontId="34" fillId="0" borderId="0" xfId="0" applyNumberFormat="1" applyFont="1" applyAlignment="1">
      <alignment horizontal="right"/>
    </xf>
    <xf numFmtId="165" fontId="34" fillId="0" borderId="0" xfId="0" applyNumberFormat="1" applyFont="1" applyAlignment="1">
      <alignment horizontal="right"/>
    </xf>
    <xf numFmtId="164" fontId="34" fillId="0" borderId="0" xfId="0" applyNumberFormat="1" applyFont="1" applyAlignment="1">
      <alignment horizontal="right"/>
    </xf>
    <xf numFmtId="0" fontId="36" fillId="0" borderId="0" xfId="0" applyFont="1" applyAlignment="1">
      <alignment horizontal="left" wrapText="1" indent="1"/>
    </xf>
    <xf numFmtId="164" fontId="36" fillId="0" borderId="1" xfId="0" applyNumberFormat="1" applyFont="1" applyBorder="1" applyAlignment="1">
      <alignment horizontal="right"/>
    </xf>
    <xf numFmtId="0" fontId="38" fillId="0" borderId="2" xfId="0" applyFont="1" applyBorder="1" applyAlignment="1"/>
    <xf numFmtId="0" fontId="38" fillId="0" borderId="2" xfId="0" applyFont="1" applyBorder="1"/>
    <xf numFmtId="0" fontId="39" fillId="0" borderId="0" xfId="0" applyFont="1"/>
    <xf numFmtId="0" fontId="38" fillId="0" borderId="0" xfId="0" applyFont="1" applyBorder="1" applyAlignment="1"/>
    <xf numFmtId="0" fontId="38" fillId="0" borderId="0" xfId="0" applyFont="1" applyBorder="1"/>
    <xf numFmtId="0" fontId="0" fillId="0" borderId="0" xfId="0" applyFont="1"/>
    <xf numFmtId="0" fontId="41" fillId="0" borderId="0" xfId="0" applyFont="1"/>
    <xf numFmtId="0" fontId="40" fillId="0" borderId="0" xfId="0" applyFont="1"/>
    <xf numFmtId="0" fontId="42" fillId="0" borderId="0" xfId="0" applyFont="1"/>
    <xf numFmtId="0" fontId="21" fillId="0" borderId="0" xfId="0" applyFont="1" applyAlignment="1">
      <alignment horizontal="left" wrapText="1" indent="1"/>
    </xf>
    <xf numFmtId="187" fontId="21" fillId="0" borderId="1" xfId="0" applyNumberFormat="1" applyFont="1" applyBorder="1" applyAlignment="1">
      <alignment horizontal="right"/>
    </xf>
    <xf numFmtId="0" fontId="0" fillId="0" borderId="0" xfId="0" applyAlignment="1">
      <alignment horizontal="left" wrapText="1" indent="1"/>
    </xf>
    <xf numFmtId="187" fontId="0" fillId="0" borderId="0" xfId="0" applyNumberFormat="1" applyAlignment="1">
      <alignment horizontal="right"/>
    </xf>
    <xf numFmtId="187" fontId="0" fillId="0" borderId="0" xfId="0" applyNumberFormat="1"/>
    <xf numFmtId="0" fontId="2" fillId="0" borderId="0" xfId="0" applyFont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easury.gov/resource-center/data-chart-center/interest-rates/pages/TextView.aspx?data=longtermrateYear&amp;year=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45033-D10A-764D-ADB7-F01D4F879EBC}">
  <dimension ref="A1:G70"/>
  <sheetViews>
    <sheetView topLeftCell="A2" zoomScale="106" workbookViewId="0">
      <selection activeCell="G2" sqref="G2"/>
    </sheetView>
  </sheetViews>
  <sheetFormatPr baseColWidth="10" defaultColWidth="20.83203125" defaultRowHeight="16"/>
  <sheetData>
    <row r="1" spans="1:7" ht="29">
      <c r="A1" s="1" t="s">
        <v>0</v>
      </c>
    </row>
    <row r="2" spans="1:7" ht="23">
      <c r="A2" s="2" t="s">
        <v>12</v>
      </c>
    </row>
    <row r="4" spans="1:7" ht="17" thickBot="1">
      <c r="A4" s="22"/>
      <c r="B4" s="23"/>
      <c r="C4" s="24" t="s">
        <v>13</v>
      </c>
      <c r="D4" s="23"/>
      <c r="E4" s="23"/>
      <c r="F4" s="24" t="s">
        <v>14</v>
      </c>
      <c r="G4" s="23"/>
    </row>
    <row r="5" spans="1:7" ht="33" thickBot="1">
      <c r="A5" s="25" t="s">
        <v>15</v>
      </c>
      <c r="B5" s="25" t="s">
        <v>16</v>
      </c>
      <c r="C5" s="25" t="s">
        <v>17</v>
      </c>
      <c r="D5" s="25" t="s">
        <v>18</v>
      </c>
      <c r="E5" s="25" t="s">
        <v>19</v>
      </c>
      <c r="F5" s="25" t="s">
        <v>20</v>
      </c>
      <c r="G5" s="25" t="s">
        <v>21</v>
      </c>
    </row>
    <row r="6" spans="1:7">
      <c r="B6" s="26">
        <v>42035</v>
      </c>
      <c r="C6" s="6">
        <v>63.11</v>
      </c>
      <c r="F6" s="6">
        <v>1994.99</v>
      </c>
    </row>
    <row r="7" spans="1:7">
      <c r="A7" s="27">
        <v>1</v>
      </c>
      <c r="B7" s="26">
        <v>42063</v>
      </c>
      <c r="C7" s="6">
        <v>67.84</v>
      </c>
      <c r="E7" s="5">
        <f>(C7-C6)/C6</f>
        <v>7.4948502614482715E-2</v>
      </c>
      <c r="F7" s="6">
        <v>2104.5</v>
      </c>
      <c r="G7" s="5">
        <f>(F7-F6)/F6</f>
        <v>5.4892505726845744E-2</v>
      </c>
    </row>
    <row r="8" spans="1:7">
      <c r="A8" s="27">
        <v>2</v>
      </c>
      <c r="B8" s="26">
        <v>42094</v>
      </c>
      <c r="C8" s="6">
        <v>59.53</v>
      </c>
      <c r="E8" s="5">
        <f t="shared" ref="E8:E67" si="0">(C8-C7)/C7</f>
        <v>-0.12249410377358494</v>
      </c>
      <c r="F8" s="6">
        <v>2067.89</v>
      </c>
      <c r="G8" s="5">
        <f t="shared" ref="G8:G67" si="1">(F8-F7)/F7</f>
        <v>-1.7396056070325554E-2</v>
      </c>
    </row>
    <row r="9" spans="1:7">
      <c r="A9" s="27">
        <v>3</v>
      </c>
      <c r="B9" s="26">
        <v>42124</v>
      </c>
      <c r="C9" s="6">
        <v>79.5</v>
      </c>
      <c r="E9" s="5">
        <f t="shared" si="0"/>
        <v>0.33546111204434736</v>
      </c>
      <c r="F9" s="6">
        <v>2085.5100000000002</v>
      </c>
      <c r="G9" s="5">
        <f t="shared" si="1"/>
        <v>8.5207627098154871E-3</v>
      </c>
    </row>
    <row r="10" spans="1:7">
      <c r="A10" s="27">
        <v>4</v>
      </c>
      <c r="B10" s="26">
        <v>42155</v>
      </c>
      <c r="C10" s="6">
        <v>89.15</v>
      </c>
      <c r="E10" s="5">
        <f t="shared" si="0"/>
        <v>0.12138364779874221</v>
      </c>
      <c r="F10" s="6">
        <v>2107.39</v>
      </c>
      <c r="G10" s="5">
        <f t="shared" si="1"/>
        <v>1.0491438545008008E-2</v>
      </c>
    </row>
    <row r="11" spans="1:7">
      <c r="A11" s="27">
        <v>5</v>
      </c>
      <c r="B11" s="26">
        <v>42185</v>
      </c>
      <c r="C11" s="6">
        <v>93.85</v>
      </c>
      <c r="E11" s="5">
        <f t="shared" si="0"/>
        <v>5.2720134604598859E-2</v>
      </c>
      <c r="F11" s="6">
        <v>2063.11</v>
      </c>
      <c r="G11" s="5">
        <f t="shared" si="1"/>
        <v>-2.1011772856471631E-2</v>
      </c>
    </row>
    <row r="12" spans="1:7">
      <c r="A12" s="27">
        <v>6</v>
      </c>
      <c r="B12" s="26">
        <v>42216</v>
      </c>
      <c r="C12" s="6">
        <v>114.31</v>
      </c>
      <c r="E12" s="5">
        <f t="shared" si="0"/>
        <v>0.21800745871070867</v>
      </c>
      <c r="F12" s="6">
        <v>2103.84</v>
      </c>
      <c r="G12" s="5">
        <f t="shared" si="1"/>
        <v>1.9742039930008587E-2</v>
      </c>
    </row>
    <row r="13" spans="1:7">
      <c r="A13" s="27">
        <v>7</v>
      </c>
      <c r="B13" s="26">
        <v>42247</v>
      </c>
      <c r="C13" s="6">
        <v>115.03</v>
      </c>
      <c r="E13" s="5">
        <f t="shared" si="0"/>
        <v>6.2986615344239249E-3</v>
      </c>
      <c r="F13" s="6">
        <v>1972.18</v>
      </c>
      <c r="G13" s="5">
        <f t="shared" si="1"/>
        <v>-6.2580804623925804E-2</v>
      </c>
    </row>
    <row r="14" spans="1:7">
      <c r="A14" s="27">
        <v>8</v>
      </c>
      <c r="B14" s="26">
        <v>42277</v>
      </c>
      <c r="C14" s="6">
        <v>103.26</v>
      </c>
      <c r="E14" s="5">
        <f t="shared" si="0"/>
        <v>-0.10232113361731719</v>
      </c>
      <c r="F14" s="6">
        <v>1920.03</v>
      </c>
      <c r="G14" s="5">
        <f t="shared" si="1"/>
        <v>-2.6442819620927142E-2</v>
      </c>
    </row>
    <row r="15" spans="1:7">
      <c r="A15" s="27">
        <v>9</v>
      </c>
      <c r="B15" s="26">
        <v>42308</v>
      </c>
      <c r="C15" s="6">
        <v>108.38</v>
      </c>
      <c r="E15" s="5">
        <f t="shared" si="0"/>
        <v>4.9583575440635193E-2</v>
      </c>
      <c r="F15" s="6">
        <v>2079.36</v>
      </c>
      <c r="G15" s="5">
        <f t="shared" si="1"/>
        <v>8.298307838940025E-2</v>
      </c>
    </row>
    <row r="16" spans="1:7">
      <c r="A16" s="27">
        <v>10</v>
      </c>
      <c r="B16" s="26">
        <v>42338</v>
      </c>
      <c r="C16" s="6">
        <v>123.33</v>
      </c>
      <c r="E16" s="5">
        <f t="shared" si="0"/>
        <v>0.13794057944270163</v>
      </c>
      <c r="F16" s="6">
        <v>2080.41</v>
      </c>
      <c r="G16" s="5">
        <f t="shared" si="1"/>
        <v>5.0496306555850219E-4</v>
      </c>
    </row>
    <row r="17" spans="1:7">
      <c r="A17" s="27">
        <v>11</v>
      </c>
      <c r="B17" s="26">
        <v>42369</v>
      </c>
      <c r="C17" s="6">
        <v>114.38</v>
      </c>
      <c r="E17" s="5">
        <f t="shared" si="0"/>
        <v>-7.2569528906186676E-2</v>
      </c>
      <c r="F17" s="6">
        <v>2043.94</v>
      </c>
      <c r="G17" s="5">
        <f t="shared" si="1"/>
        <v>-1.7530198374358805E-2</v>
      </c>
    </row>
    <row r="18" spans="1:7">
      <c r="A18" s="27">
        <v>12</v>
      </c>
      <c r="B18" s="26">
        <v>42400</v>
      </c>
      <c r="C18" s="6">
        <v>91.84</v>
      </c>
      <c r="E18" s="5">
        <f t="shared" si="0"/>
        <v>-0.19706242350061193</v>
      </c>
      <c r="F18" s="6">
        <v>1940.24</v>
      </c>
      <c r="G18" s="5">
        <f t="shared" si="1"/>
        <v>-5.0735344481736278E-2</v>
      </c>
    </row>
    <row r="19" spans="1:7">
      <c r="A19" s="27">
        <v>13</v>
      </c>
      <c r="B19" s="26">
        <v>42429</v>
      </c>
      <c r="C19" s="6">
        <v>93.41</v>
      </c>
      <c r="E19" s="5">
        <f t="shared" si="0"/>
        <v>1.7094947735191563E-2</v>
      </c>
      <c r="F19" s="6">
        <v>1932.23</v>
      </c>
      <c r="G19" s="5">
        <f t="shared" si="1"/>
        <v>-4.1283552550199932E-3</v>
      </c>
    </row>
    <row r="20" spans="1:7">
      <c r="A20" s="27">
        <v>14</v>
      </c>
      <c r="B20" s="26">
        <v>42460</v>
      </c>
      <c r="C20" s="6">
        <v>102.23</v>
      </c>
      <c r="E20" s="5">
        <f t="shared" si="0"/>
        <v>9.4422438711058862E-2</v>
      </c>
      <c r="F20" s="6">
        <v>2059.7399999999998</v>
      </c>
      <c r="G20" s="5">
        <f t="shared" si="1"/>
        <v>6.5991108718941205E-2</v>
      </c>
    </row>
    <row r="21" spans="1:7">
      <c r="A21" s="27">
        <v>15</v>
      </c>
      <c r="B21" s="26">
        <v>42490</v>
      </c>
      <c r="C21" s="6">
        <v>90.03</v>
      </c>
      <c r="E21" s="5">
        <f t="shared" si="0"/>
        <v>-0.11933874596498095</v>
      </c>
      <c r="F21" s="6">
        <v>2065.3000000000002</v>
      </c>
      <c r="G21" s="5">
        <f t="shared" si="1"/>
        <v>2.6993698233759604E-3</v>
      </c>
    </row>
    <row r="22" spans="1:7">
      <c r="A22" s="27">
        <v>16</v>
      </c>
      <c r="B22" s="26">
        <v>42521</v>
      </c>
      <c r="C22" s="6">
        <v>102.57</v>
      </c>
      <c r="E22" s="5">
        <f t="shared" si="0"/>
        <v>0.13928690436521152</v>
      </c>
      <c r="F22" s="6">
        <v>2096.9499999999998</v>
      </c>
      <c r="G22" s="5">
        <f t="shared" si="1"/>
        <v>1.5324650171887683E-2</v>
      </c>
    </row>
    <row r="23" spans="1:7">
      <c r="A23" s="27">
        <v>17</v>
      </c>
      <c r="B23" s="26">
        <v>42551</v>
      </c>
      <c r="C23" s="6">
        <v>91.48</v>
      </c>
      <c r="E23" s="5">
        <f t="shared" si="0"/>
        <v>-0.1081212830262259</v>
      </c>
      <c r="F23" s="6">
        <v>2098.86</v>
      </c>
      <c r="G23" s="5">
        <f t="shared" si="1"/>
        <v>9.1084670593018875E-4</v>
      </c>
    </row>
    <row r="24" spans="1:7">
      <c r="A24" s="27">
        <v>18</v>
      </c>
      <c r="B24" s="26">
        <v>42582</v>
      </c>
      <c r="C24" s="6">
        <v>91.25</v>
      </c>
      <c r="E24" s="5">
        <f t="shared" si="0"/>
        <v>-2.5142107564495404E-3</v>
      </c>
      <c r="F24" s="6">
        <v>2173.6</v>
      </c>
      <c r="G24" s="5">
        <f t="shared" si="1"/>
        <v>3.5609807228685945E-2</v>
      </c>
    </row>
    <row r="25" spans="1:7">
      <c r="A25" s="27">
        <v>19</v>
      </c>
      <c r="B25" s="26">
        <v>42613</v>
      </c>
      <c r="C25" s="6">
        <v>97.45</v>
      </c>
      <c r="E25" s="5">
        <f t="shared" si="0"/>
        <v>6.7945205479452084E-2</v>
      </c>
      <c r="F25" s="6">
        <v>2170.9499999999998</v>
      </c>
      <c r="G25" s="5">
        <f t="shared" si="1"/>
        <v>-1.2191755612808663E-3</v>
      </c>
    </row>
    <row r="26" spans="1:7">
      <c r="A26" s="27">
        <v>20</v>
      </c>
      <c r="B26" s="26">
        <v>42643</v>
      </c>
      <c r="C26" s="6">
        <v>98.55</v>
      </c>
      <c r="E26" s="5">
        <f t="shared" si="0"/>
        <v>1.1287839917906561E-2</v>
      </c>
      <c r="F26" s="6">
        <v>2168.27</v>
      </c>
      <c r="G26" s="5">
        <f t="shared" si="1"/>
        <v>-1.2344825997834296E-3</v>
      </c>
    </row>
    <row r="27" spans="1:7">
      <c r="A27" s="27">
        <v>21</v>
      </c>
      <c r="B27" s="26">
        <v>42674</v>
      </c>
      <c r="C27" s="6">
        <v>124.87</v>
      </c>
      <c r="E27" s="5">
        <f t="shared" si="0"/>
        <v>0.26707255200405894</v>
      </c>
      <c r="F27" s="6">
        <v>2126.15</v>
      </c>
      <c r="G27" s="5">
        <f t="shared" si="1"/>
        <v>-1.9425625037472222E-2</v>
      </c>
    </row>
    <row r="28" spans="1:7">
      <c r="A28" s="27">
        <v>22</v>
      </c>
      <c r="B28" s="26">
        <v>42704</v>
      </c>
      <c r="C28" s="6">
        <v>117</v>
      </c>
      <c r="E28" s="5">
        <f t="shared" si="0"/>
        <v>-6.3025546568431207E-2</v>
      </c>
      <c r="F28" s="6">
        <v>2198.81</v>
      </c>
      <c r="G28" s="5">
        <f t="shared" si="1"/>
        <v>3.4174446769983234E-2</v>
      </c>
    </row>
    <row r="29" spans="1:7">
      <c r="A29" s="27">
        <v>23</v>
      </c>
      <c r="B29" s="26">
        <v>42735</v>
      </c>
      <c r="C29" s="6">
        <v>123.8</v>
      </c>
      <c r="E29" s="5">
        <f t="shared" si="0"/>
        <v>5.8119658119658094E-2</v>
      </c>
      <c r="F29" s="6">
        <v>2238.83</v>
      </c>
      <c r="G29" s="5">
        <f t="shared" si="1"/>
        <v>1.8200754044233009E-2</v>
      </c>
    </row>
    <row r="30" spans="1:7">
      <c r="A30" s="27">
        <v>24</v>
      </c>
      <c r="B30" s="26">
        <v>42766</v>
      </c>
      <c r="C30" s="6">
        <v>140.71</v>
      </c>
      <c r="E30" s="5">
        <f t="shared" si="0"/>
        <v>0.13659127625201947</v>
      </c>
      <c r="F30" s="6">
        <v>2278.87</v>
      </c>
      <c r="G30" s="5">
        <f t="shared" si="1"/>
        <v>1.7884341374735897E-2</v>
      </c>
    </row>
    <row r="31" spans="1:7">
      <c r="A31" s="27">
        <v>25</v>
      </c>
      <c r="B31" s="26">
        <v>42794</v>
      </c>
      <c r="C31" s="6">
        <v>142.13</v>
      </c>
      <c r="E31" s="5">
        <f t="shared" si="0"/>
        <v>1.0091677919124352E-2</v>
      </c>
      <c r="F31" s="6">
        <v>2363.64</v>
      </c>
      <c r="G31" s="5">
        <f t="shared" si="1"/>
        <v>3.7198260541408672E-2</v>
      </c>
    </row>
    <row r="32" spans="1:7">
      <c r="A32" s="27">
        <v>26</v>
      </c>
      <c r="B32" s="26">
        <v>42825</v>
      </c>
      <c r="C32" s="6">
        <v>147.81</v>
      </c>
      <c r="E32" s="5">
        <f t="shared" si="0"/>
        <v>3.9963413776120504E-2</v>
      </c>
      <c r="F32" s="6">
        <v>2362.7199999999998</v>
      </c>
      <c r="G32" s="5">
        <f t="shared" si="1"/>
        <v>-3.8923017041515325E-4</v>
      </c>
    </row>
    <row r="33" spans="1:7">
      <c r="A33" s="27">
        <v>27</v>
      </c>
      <c r="B33" s="26">
        <v>42855</v>
      </c>
      <c r="C33" s="6">
        <v>152.19999999999999</v>
      </c>
      <c r="E33" s="5">
        <f t="shared" si="0"/>
        <v>2.9700290914011138E-2</v>
      </c>
      <c r="F33" s="6">
        <v>2384.1999999999998</v>
      </c>
      <c r="G33" s="5">
        <f t="shared" si="1"/>
        <v>9.0912169025529985E-3</v>
      </c>
    </row>
    <row r="34" spans="1:7">
      <c r="A34" s="27">
        <v>28</v>
      </c>
      <c r="B34" s="26">
        <v>42886</v>
      </c>
      <c r="C34" s="6">
        <v>163.07</v>
      </c>
      <c r="E34" s="5">
        <f t="shared" si="0"/>
        <v>7.1419185282523029E-2</v>
      </c>
      <c r="F34" s="6">
        <v>2411.8000000000002</v>
      </c>
      <c r="G34" s="5">
        <f t="shared" si="1"/>
        <v>1.1576210049492646E-2</v>
      </c>
    </row>
    <row r="35" spans="1:7">
      <c r="A35" s="27">
        <v>29</v>
      </c>
      <c r="B35" s="26">
        <v>42916</v>
      </c>
      <c r="C35" s="6">
        <v>149.41</v>
      </c>
      <c r="E35" s="5">
        <f t="shared" si="0"/>
        <v>-8.3767707119641849E-2</v>
      </c>
      <c r="F35" s="6">
        <v>2423.41</v>
      </c>
      <c r="G35" s="5">
        <f t="shared" si="1"/>
        <v>4.81383199270241E-3</v>
      </c>
    </row>
    <row r="36" spans="1:7">
      <c r="A36" s="27">
        <v>30</v>
      </c>
      <c r="B36" s="26">
        <v>42947</v>
      </c>
      <c r="C36" s="6">
        <v>181.66</v>
      </c>
      <c r="E36" s="5">
        <f t="shared" si="0"/>
        <v>0.21584900609062313</v>
      </c>
      <c r="F36" s="6">
        <v>2470.3000000000002</v>
      </c>
      <c r="G36" s="5">
        <f t="shared" si="1"/>
        <v>1.9348768883515513E-2</v>
      </c>
    </row>
    <row r="37" spans="1:7">
      <c r="A37" s="27">
        <v>31</v>
      </c>
      <c r="B37" s="26">
        <v>42978</v>
      </c>
      <c r="C37" s="6">
        <v>174.71</v>
      </c>
      <c r="E37" s="5">
        <f t="shared" si="0"/>
        <v>-3.8258284707695635E-2</v>
      </c>
      <c r="F37" s="6">
        <v>2471.65</v>
      </c>
      <c r="G37" s="5">
        <f t="shared" si="1"/>
        <v>5.4649232886690234E-4</v>
      </c>
    </row>
    <row r="38" spans="1:7">
      <c r="A38" s="27">
        <v>32</v>
      </c>
      <c r="B38" s="26">
        <v>43008</v>
      </c>
      <c r="C38" s="6">
        <v>181.35</v>
      </c>
      <c r="E38" s="5">
        <f t="shared" si="0"/>
        <v>3.8005838246236538E-2</v>
      </c>
      <c r="F38" s="6">
        <v>2519.36</v>
      </c>
      <c r="G38" s="5">
        <f t="shared" si="1"/>
        <v>1.9302894827342074E-2</v>
      </c>
    </row>
    <row r="39" spans="1:7">
      <c r="A39" s="27">
        <v>33</v>
      </c>
      <c r="B39" s="26">
        <v>43039</v>
      </c>
      <c r="C39" s="6">
        <v>196.43</v>
      </c>
      <c r="E39" s="5">
        <f t="shared" si="0"/>
        <v>8.3154121863799349E-2</v>
      </c>
      <c r="F39" s="6">
        <v>2575.2600000000002</v>
      </c>
      <c r="G39" s="5">
        <f t="shared" si="1"/>
        <v>2.218817477454595E-2</v>
      </c>
    </row>
    <row r="40" spans="1:7">
      <c r="A40" s="27">
        <v>34</v>
      </c>
      <c r="B40" s="26">
        <v>43069</v>
      </c>
      <c r="C40" s="6">
        <v>187.58</v>
      </c>
      <c r="E40" s="5">
        <f t="shared" si="0"/>
        <v>-4.505421778750697E-2</v>
      </c>
      <c r="F40" s="6">
        <v>2647.58</v>
      </c>
      <c r="G40" s="5">
        <f t="shared" si="1"/>
        <v>2.8082601368405406E-2</v>
      </c>
    </row>
    <row r="41" spans="1:7">
      <c r="A41" s="27">
        <v>35</v>
      </c>
      <c r="B41" s="26">
        <v>43100</v>
      </c>
      <c r="C41" s="6">
        <v>191.96</v>
      </c>
      <c r="E41" s="5">
        <f t="shared" si="0"/>
        <v>2.3350037317411212E-2</v>
      </c>
      <c r="F41" s="6">
        <v>2673.61</v>
      </c>
      <c r="G41" s="5">
        <f t="shared" si="1"/>
        <v>9.8316198188535195E-3</v>
      </c>
    </row>
    <row r="42" spans="1:7">
      <c r="A42" s="27">
        <v>36</v>
      </c>
      <c r="B42" s="26">
        <v>43131</v>
      </c>
      <c r="C42" s="6">
        <v>270.3</v>
      </c>
      <c r="E42" s="5">
        <f t="shared" si="0"/>
        <v>0.40810585538653887</v>
      </c>
      <c r="F42" s="6">
        <v>2823.81</v>
      </c>
      <c r="G42" s="5">
        <f t="shared" si="1"/>
        <v>5.6178724645703677E-2</v>
      </c>
    </row>
    <row r="43" spans="1:7">
      <c r="A43" s="27">
        <v>37</v>
      </c>
      <c r="B43" s="26">
        <v>43159</v>
      </c>
      <c r="C43" s="6">
        <v>291.38</v>
      </c>
      <c r="E43" s="5">
        <f t="shared" si="0"/>
        <v>7.798742138364774E-2</v>
      </c>
      <c r="F43" s="6">
        <v>2713.83</v>
      </c>
      <c r="G43" s="5">
        <f t="shared" si="1"/>
        <v>-3.8947379604151844E-2</v>
      </c>
    </row>
    <row r="44" spans="1:7">
      <c r="A44" s="27">
        <v>38</v>
      </c>
      <c r="B44" s="26">
        <v>43190</v>
      </c>
      <c r="C44" s="6">
        <v>295.35000000000002</v>
      </c>
      <c r="E44" s="5">
        <f t="shared" si="0"/>
        <v>1.3624819822911756E-2</v>
      </c>
      <c r="F44" s="6">
        <v>2640.87</v>
      </c>
      <c r="G44" s="5">
        <f t="shared" si="1"/>
        <v>-2.6884513768364281E-2</v>
      </c>
    </row>
    <row r="45" spans="1:7">
      <c r="A45" s="27">
        <v>39</v>
      </c>
      <c r="B45" s="26">
        <v>43220</v>
      </c>
      <c r="C45" s="6">
        <v>312.45999999999998</v>
      </c>
      <c r="E45" s="5">
        <f t="shared" si="0"/>
        <v>5.7931267987133758E-2</v>
      </c>
      <c r="F45" s="6">
        <v>2648.05</v>
      </c>
      <c r="G45" s="5">
        <f t="shared" si="1"/>
        <v>2.718801001185326E-3</v>
      </c>
    </row>
    <row r="46" spans="1:7">
      <c r="A46" s="27">
        <v>40</v>
      </c>
      <c r="B46" s="26">
        <v>43251</v>
      </c>
      <c r="C46" s="6">
        <v>351.6</v>
      </c>
      <c r="E46" s="5">
        <f t="shared" si="0"/>
        <v>0.12526403379632609</v>
      </c>
      <c r="F46" s="6">
        <v>2705.27</v>
      </c>
      <c r="G46" s="5">
        <f t="shared" si="1"/>
        <v>2.1608353316591378E-2</v>
      </c>
    </row>
    <row r="47" spans="1:7">
      <c r="A47" s="27">
        <v>41</v>
      </c>
      <c r="B47" s="26">
        <v>43281</v>
      </c>
      <c r="C47" s="6">
        <v>391.43</v>
      </c>
      <c r="E47" s="5">
        <f t="shared" si="0"/>
        <v>0.11328213879408414</v>
      </c>
      <c r="F47" s="6">
        <v>2718.37</v>
      </c>
      <c r="G47" s="5">
        <f t="shared" si="1"/>
        <v>4.842400204046143E-3</v>
      </c>
    </row>
    <row r="48" spans="1:7">
      <c r="A48" s="27">
        <v>42</v>
      </c>
      <c r="B48" s="26">
        <v>43312</v>
      </c>
      <c r="C48" s="6">
        <v>337.45</v>
      </c>
      <c r="E48" s="5">
        <f t="shared" si="0"/>
        <v>-0.1379046061875687</v>
      </c>
      <c r="F48" s="6">
        <v>2816.29</v>
      </c>
      <c r="G48" s="5">
        <f t="shared" si="1"/>
        <v>3.6021586465418642E-2</v>
      </c>
    </row>
    <row r="49" spans="1:7">
      <c r="A49" s="27">
        <v>43</v>
      </c>
      <c r="B49" s="26">
        <v>43343</v>
      </c>
      <c r="C49" s="6">
        <v>367.68</v>
      </c>
      <c r="E49" s="5">
        <f t="shared" si="0"/>
        <v>8.9583642021040216E-2</v>
      </c>
      <c r="F49" s="6">
        <v>2901.52</v>
      </c>
      <c r="G49" s="5">
        <f t="shared" si="1"/>
        <v>3.0263218631603996E-2</v>
      </c>
    </row>
    <row r="50" spans="1:7">
      <c r="A50" s="27">
        <v>44</v>
      </c>
      <c r="B50" s="26">
        <v>43373</v>
      </c>
      <c r="C50" s="6">
        <v>374.13</v>
      </c>
      <c r="E50" s="5">
        <f t="shared" si="0"/>
        <v>1.754242819843339E-2</v>
      </c>
      <c r="F50" s="6">
        <v>2913.98</v>
      </c>
      <c r="G50" s="5">
        <f t="shared" si="1"/>
        <v>4.2943009181394707E-3</v>
      </c>
    </row>
    <row r="51" spans="1:7">
      <c r="A51" s="27">
        <v>45</v>
      </c>
      <c r="B51" s="26">
        <v>43404</v>
      </c>
      <c r="C51" s="6">
        <v>301.77999999999997</v>
      </c>
      <c r="E51" s="5">
        <f t="shared" si="0"/>
        <v>-0.19338197952583333</v>
      </c>
      <c r="F51" s="6">
        <v>2711.74</v>
      </c>
      <c r="G51" s="5">
        <f t="shared" si="1"/>
        <v>-6.9403358979814631E-2</v>
      </c>
    </row>
    <row r="52" spans="1:7">
      <c r="A52" s="27">
        <v>46</v>
      </c>
      <c r="B52" s="26">
        <v>43434</v>
      </c>
      <c r="C52" s="6">
        <v>286.13</v>
      </c>
      <c r="E52" s="5">
        <f t="shared" si="0"/>
        <v>-5.1858970110676583E-2</v>
      </c>
      <c r="F52" s="6">
        <v>2760.17</v>
      </c>
      <c r="G52" s="5">
        <f t="shared" si="1"/>
        <v>1.7859381799140144E-2</v>
      </c>
    </row>
    <row r="53" spans="1:7">
      <c r="A53" s="27">
        <v>47</v>
      </c>
      <c r="B53" s="26">
        <v>43465</v>
      </c>
      <c r="C53" s="6">
        <v>267.66000000000003</v>
      </c>
      <c r="E53" s="5">
        <f t="shared" si="0"/>
        <v>-6.4551078181246183E-2</v>
      </c>
      <c r="F53" s="6">
        <v>2506.85</v>
      </c>
      <c r="G53" s="5">
        <f t="shared" si="1"/>
        <v>-9.1776955767217297E-2</v>
      </c>
    </row>
    <row r="54" spans="1:7">
      <c r="A54" s="27">
        <v>48</v>
      </c>
      <c r="B54" s="26">
        <v>43496</v>
      </c>
      <c r="C54" s="6">
        <v>339.5</v>
      </c>
      <c r="E54" s="5">
        <f t="shared" si="0"/>
        <v>0.26840020922065294</v>
      </c>
      <c r="F54" s="6">
        <v>2704.1</v>
      </c>
      <c r="G54" s="5">
        <f t="shared" si="1"/>
        <v>7.8684404731036967E-2</v>
      </c>
    </row>
    <row r="55" spans="1:7">
      <c r="A55" s="27">
        <v>49</v>
      </c>
      <c r="B55" s="26">
        <v>43524</v>
      </c>
      <c r="C55" s="6">
        <v>358.1</v>
      </c>
      <c r="E55" s="5">
        <f t="shared" si="0"/>
        <v>5.4786450662739392E-2</v>
      </c>
      <c r="F55" s="6">
        <v>2784.49</v>
      </c>
      <c r="G55" s="5">
        <f t="shared" si="1"/>
        <v>2.9728930143115964E-2</v>
      </c>
    </row>
    <row r="56" spans="1:7">
      <c r="A56" s="27">
        <v>50</v>
      </c>
      <c r="B56" s="26">
        <v>43555</v>
      </c>
      <c r="C56" s="6">
        <v>356.56</v>
      </c>
      <c r="E56" s="5">
        <f t="shared" si="0"/>
        <v>-4.3004747277297414E-3</v>
      </c>
      <c r="F56" s="6">
        <v>2834.4</v>
      </c>
      <c r="G56" s="5">
        <f t="shared" si="1"/>
        <v>1.7924287751078408E-2</v>
      </c>
    </row>
    <row r="57" spans="1:7">
      <c r="A57" s="27">
        <v>51</v>
      </c>
      <c r="B57" s="26">
        <v>43585</v>
      </c>
      <c r="C57" s="6">
        <v>370.54</v>
      </c>
      <c r="E57" s="5">
        <f t="shared" si="0"/>
        <v>3.9207987435494779E-2</v>
      </c>
      <c r="F57" s="6">
        <v>2945.83</v>
      </c>
      <c r="G57" s="5">
        <f t="shared" si="1"/>
        <v>3.9313434942139368E-2</v>
      </c>
    </row>
    <row r="58" spans="1:7">
      <c r="A58" s="27">
        <v>52</v>
      </c>
      <c r="B58" s="26">
        <v>43616</v>
      </c>
      <c r="C58" s="6">
        <v>343.28</v>
      </c>
      <c r="E58" s="5">
        <f t="shared" si="0"/>
        <v>-7.3568305715982205E-2</v>
      </c>
      <c r="F58" s="6">
        <v>2752.06</v>
      </c>
      <c r="G58" s="5">
        <f t="shared" si="1"/>
        <v>-6.5777726481161508E-2</v>
      </c>
    </row>
    <row r="59" spans="1:7">
      <c r="A59" s="27">
        <v>53</v>
      </c>
      <c r="B59" s="26">
        <v>43646</v>
      </c>
      <c r="C59" s="6">
        <v>367.32</v>
      </c>
      <c r="E59" s="5">
        <f t="shared" si="0"/>
        <v>7.0030295968305817E-2</v>
      </c>
      <c r="F59" s="6">
        <v>2941.76</v>
      </c>
      <c r="G59" s="5">
        <f t="shared" si="1"/>
        <v>6.8930183208215035E-2</v>
      </c>
    </row>
    <row r="60" spans="1:7">
      <c r="A60" s="27">
        <v>54</v>
      </c>
      <c r="B60" s="26">
        <v>43677</v>
      </c>
      <c r="C60" s="6">
        <v>322.99</v>
      </c>
      <c r="E60" s="5">
        <f t="shared" si="0"/>
        <v>-0.12068496134160946</v>
      </c>
      <c r="F60" s="6">
        <v>2980.38</v>
      </c>
      <c r="G60" s="5">
        <f t="shared" si="1"/>
        <v>1.312819536603934E-2</v>
      </c>
    </row>
    <row r="61" spans="1:7">
      <c r="A61" s="27">
        <v>55</v>
      </c>
      <c r="B61" s="26">
        <v>43708</v>
      </c>
      <c r="C61" s="6">
        <v>293.75</v>
      </c>
      <c r="E61" s="5">
        <f t="shared" si="0"/>
        <v>-9.0529118548561896E-2</v>
      </c>
      <c r="F61" s="6">
        <v>2926.46</v>
      </c>
      <c r="G61" s="5">
        <f t="shared" si="1"/>
        <v>-1.8091652742267789E-2</v>
      </c>
    </row>
    <row r="62" spans="1:7">
      <c r="A62" s="27">
        <v>56</v>
      </c>
      <c r="B62" s="26">
        <v>43738</v>
      </c>
      <c r="C62" s="6">
        <v>267.62</v>
      </c>
      <c r="E62" s="5">
        <f t="shared" si="0"/>
        <v>-8.8953191489361691E-2</v>
      </c>
      <c r="F62" s="6">
        <v>2976.74</v>
      </c>
      <c r="G62" s="5">
        <f t="shared" si="1"/>
        <v>1.7181167690656883E-2</v>
      </c>
    </row>
    <row r="63" spans="1:7">
      <c r="A63" s="27">
        <v>57</v>
      </c>
      <c r="B63" s="26">
        <v>43769</v>
      </c>
      <c r="C63" s="6">
        <v>287.41000000000003</v>
      </c>
      <c r="E63" s="5">
        <f t="shared" si="0"/>
        <v>7.394813541588828E-2</v>
      </c>
      <c r="F63" s="6">
        <v>3037.56</v>
      </c>
      <c r="G63" s="5">
        <f t="shared" si="1"/>
        <v>2.0431747482144953E-2</v>
      </c>
    </row>
    <row r="64" spans="1:7">
      <c r="A64" s="27">
        <v>58</v>
      </c>
      <c r="B64" s="26">
        <v>43799</v>
      </c>
      <c r="C64" s="6">
        <v>314.66000000000003</v>
      </c>
      <c r="E64" s="5">
        <f t="shared" si="0"/>
        <v>9.4812289064402755E-2</v>
      </c>
      <c r="F64" s="6">
        <v>3140.98</v>
      </c>
      <c r="G64" s="5">
        <f t="shared" si="1"/>
        <v>3.4047064090915104E-2</v>
      </c>
    </row>
    <row r="65" spans="1:7">
      <c r="A65" s="27">
        <v>59</v>
      </c>
      <c r="B65" s="26">
        <v>43830</v>
      </c>
      <c r="C65" s="6">
        <v>323.57</v>
      </c>
      <c r="E65" s="5">
        <f t="shared" si="0"/>
        <v>2.8316277887243269E-2</v>
      </c>
      <c r="F65" s="6">
        <v>3230.78</v>
      </c>
      <c r="G65" s="5">
        <f t="shared" si="1"/>
        <v>2.8589803182446302E-2</v>
      </c>
    </row>
    <row r="66" spans="1:7">
      <c r="A66" s="27">
        <v>60</v>
      </c>
      <c r="B66" s="26">
        <v>43861</v>
      </c>
      <c r="C66" s="6">
        <v>345.09</v>
      </c>
      <c r="E66" s="5">
        <f t="shared" si="0"/>
        <v>6.6508019902957571E-2</v>
      </c>
      <c r="F66" s="6">
        <v>3225.52</v>
      </c>
      <c r="G66" s="5">
        <f t="shared" si="1"/>
        <v>-1.6280898111292685E-3</v>
      </c>
    </row>
    <row r="67" spans="1:7">
      <c r="A67" s="27">
        <v>61</v>
      </c>
      <c r="B67" s="26">
        <v>43890</v>
      </c>
      <c r="C67" s="6">
        <v>369.03</v>
      </c>
      <c r="E67" s="5">
        <f t="shared" si="0"/>
        <v>6.9373206989481004E-2</v>
      </c>
      <c r="F67" s="6">
        <v>2954.22</v>
      </c>
      <c r="G67" s="5">
        <f t="shared" si="1"/>
        <v>-8.4110469009648109E-2</v>
      </c>
    </row>
    <row r="68" spans="1:7">
      <c r="A68" s="27"/>
      <c r="B68" s="26"/>
      <c r="C68" s="6"/>
      <c r="E68" s="5"/>
      <c r="F68" s="6"/>
      <c r="G68" s="5"/>
    </row>
    <row r="69" spans="1:7">
      <c r="A69" s="28" t="s">
        <v>22</v>
      </c>
      <c r="B69" s="23"/>
      <c r="C69" s="23"/>
      <c r="D69" s="23"/>
      <c r="E69" s="7">
        <f>AVERAGE(E7:E65)</f>
        <v>3.4784092333435365E-2</v>
      </c>
      <c r="F69" s="29">
        <f t="shared" ref="F69:G69" si="2">AVERAGE(F7:F67)</f>
        <v>2488.1396721311476</v>
      </c>
      <c r="G69" s="7">
        <f>AVERAGE(G7:G65)</f>
        <v>8.7911986146952323E-3</v>
      </c>
    </row>
    <row r="70" spans="1:7">
      <c r="A70" s="28" t="s">
        <v>23</v>
      </c>
      <c r="B70" s="23"/>
      <c r="C70" s="23"/>
      <c r="D70" s="23"/>
      <c r="E70" s="7">
        <f>_xlfn.STDEV.S(E7:E65)</f>
        <v>0.12051370538110615</v>
      </c>
      <c r="F70" s="29">
        <f t="shared" ref="F70:G70" si="3">_xlfn.STDEV.S(F7:F67)</f>
        <v>375.24218255222695</v>
      </c>
      <c r="G70" s="7">
        <f>_xlfn.STDEV.S(G7:G65)</f>
        <v>3.4460653767761772E-2</v>
      </c>
    </row>
  </sheetData>
  <mergeCells count="5">
    <mergeCell ref="A4:B4"/>
    <mergeCell ref="C4:E4"/>
    <mergeCell ref="F4:G4"/>
    <mergeCell ref="A69:D69"/>
    <mergeCell ref="A70:D7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E2417-0EE5-E046-91DE-27698F91011B}">
  <dimension ref="A1:B19"/>
  <sheetViews>
    <sheetView zoomScale="135" workbookViewId="0">
      <selection activeCell="B7" sqref="B7"/>
    </sheetView>
  </sheetViews>
  <sheetFormatPr baseColWidth="10" defaultColWidth="25.83203125" defaultRowHeight="16"/>
  <sheetData>
    <row r="1" spans="1:2" ht="29">
      <c r="A1" s="30" t="s">
        <v>0</v>
      </c>
      <c r="B1" s="31"/>
    </row>
    <row r="2" spans="1:2" ht="23">
      <c r="A2" s="32" t="s">
        <v>34</v>
      </c>
      <c r="B2" s="31"/>
    </row>
    <row r="3" spans="1:2">
      <c r="A3" s="31"/>
      <c r="B3" s="31"/>
    </row>
    <row r="4" spans="1:2">
      <c r="A4" s="31" t="s">
        <v>35</v>
      </c>
      <c r="B4" s="39">
        <f>_xlfn.VAR.S(Data!E7:E65)</f>
        <v>1.4523553184684053E-2</v>
      </c>
    </row>
    <row r="5" spans="1:2">
      <c r="A5" s="31" t="s">
        <v>36</v>
      </c>
      <c r="B5" s="39">
        <f>_xlfn.VAR.P(Data!G7:G65)</f>
        <v>1.1674089181337309E-3</v>
      </c>
    </row>
    <row r="6" spans="1:2">
      <c r="A6" s="31" t="s">
        <v>37</v>
      </c>
      <c r="B6" s="39">
        <f>COVAR(Data!E7:E65,Data!G7:G65)</f>
        <v>1.7122400482256724E-3</v>
      </c>
    </row>
    <row r="7" spans="1:2">
      <c r="A7" s="31" t="s">
        <v>38</v>
      </c>
      <c r="B7" s="39">
        <f>CORREL(Data!E7:E65,Data!G7:G65)</f>
        <v>0.41940028060355011</v>
      </c>
    </row>
    <row r="8" spans="1:2">
      <c r="A8" s="33" t="s">
        <v>8</v>
      </c>
      <c r="B8" s="40">
        <f>B6/B5</f>
        <v>1.466701188956935</v>
      </c>
    </row>
    <row r="9" spans="1:2">
      <c r="A9" s="31" t="s">
        <v>39</v>
      </c>
      <c r="B9" s="41">
        <f>Data!E69-'Systematic Risk (β) Estimation'!B8*Data!G69</f>
        <v>2.1890030872905308E-2</v>
      </c>
    </row>
    <row r="10" spans="1:2">
      <c r="A10" s="31" t="s">
        <v>54</v>
      </c>
      <c r="B10" s="39">
        <f>CAPM!C5</f>
        <v>2.2599999999999999E-2</v>
      </c>
    </row>
    <row r="11" spans="1:2">
      <c r="A11" s="37"/>
      <c r="B11" s="37"/>
    </row>
    <row r="12" spans="1:2">
      <c r="A12" s="37" t="s">
        <v>175</v>
      </c>
      <c r="B12" s="37"/>
    </row>
    <row r="13" spans="1:2">
      <c r="A13" s="37"/>
      <c r="B13" s="38"/>
    </row>
    <row r="14" spans="1:2">
      <c r="A14" s="37"/>
      <c r="B14" s="37"/>
    </row>
    <row r="15" spans="1:2">
      <c r="A15" s="37"/>
      <c r="B15" s="37"/>
    </row>
    <row r="16" spans="1:2">
      <c r="A16" s="37"/>
    </row>
    <row r="17" spans="1:1">
      <c r="A17" s="37"/>
    </row>
    <row r="18" spans="1:1">
      <c r="A18" s="37"/>
    </row>
    <row r="19" spans="1:1">
      <c r="A19" s="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BF325-54C1-6549-9FA1-5733EDFA69A3}">
  <dimension ref="A1:G34"/>
  <sheetViews>
    <sheetView topLeftCell="A3" zoomScale="136" workbookViewId="0">
      <selection activeCell="C6" sqref="C6"/>
    </sheetView>
  </sheetViews>
  <sheetFormatPr baseColWidth="10" defaultRowHeight="16"/>
  <cols>
    <col min="1" max="1" width="50.83203125" customWidth="1"/>
  </cols>
  <sheetData>
    <row r="1" spans="1:7" ht="29">
      <c r="A1" s="9" t="s">
        <v>0</v>
      </c>
      <c r="B1" s="10"/>
      <c r="C1" s="10"/>
    </row>
    <row r="2" spans="1:7" ht="23">
      <c r="A2" s="11" t="s">
        <v>1</v>
      </c>
      <c r="B2" s="10"/>
      <c r="C2" s="10"/>
    </row>
    <row r="3" spans="1:7">
      <c r="A3" s="10"/>
      <c r="B3" s="10"/>
      <c r="C3" s="10"/>
    </row>
    <row r="4" spans="1:7" ht="17">
      <c r="A4" s="12" t="s">
        <v>2</v>
      </c>
      <c r="B4" s="10"/>
      <c r="C4" s="10"/>
    </row>
    <row r="5" spans="1:7">
      <c r="A5" s="13" t="s">
        <v>3</v>
      </c>
      <c r="B5" s="14" t="s">
        <v>4</v>
      </c>
      <c r="C5" s="87">
        <v>2.2599999999999999E-2</v>
      </c>
    </row>
    <row r="6" spans="1:7">
      <c r="A6" s="13" t="s">
        <v>5</v>
      </c>
      <c r="B6" s="14" t="s">
        <v>6</v>
      </c>
      <c r="C6" s="16">
        <f>B30</f>
        <v>0.1171</v>
      </c>
    </row>
    <row r="7" spans="1:7">
      <c r="A7" s="13" t="s">
        <v>7</v>
      </c>
      <c r="B7" s="14" t="s">
        <v>8</v>
      </c>
      <c r="C7" s="17">
        <f>'Systematic Risk (β) Estimation'!B8</f>
        <v>1.466701188956935</v>
      </c>
    </row>
    <row r="8" spans="1:7">
      <c r="A8" s="10"/>
      <c r="B8" s="10"/>
      <c r="C8" s="10"/>
    </row>
    <row r="9" spans="1:7">
      <c r="A9" s="18" t="s">
        <v>9</v>
      </c>
      <c r="B9" s="18" t="s">
        <v>10</v>
      </c>
      <c r="C9" s="19">
        <f>C5+(C6-C5)*C7</f>
        <v>0.16120326235643037</v>
      </c>
    </row>
    <row r="10" spans="1:7">
      <c r="A10" s="20"/>
      <c r="B10" s="20"/>
      <c r="C10" s="20"/>
    </row>
    <row r="11" spans="1:7">
      <c r="A11" s="8" t="s">
        <v>11</v>
      </c>
      <c r="B11" s="21"/>
      <c r="C11" s="21"/>
    </row>
    <row r="14" spans="1:7" ht="23">
      <c r="A14" s="49" t="s">
        <v>40</v>
      </c>
    </row>
    <row r="16" spans="1:7" ht="17" thickBot="1">
      <c r="A16" s="43"/>
      <c r="B16" s="44" t="s">
        <v>41</v>
      </c>
      <c r="C16" s="44">
        <v>2019</v>
      </c>
      <c r="D16" s="44">
        <v>2018</v>
      </c>
      <c r="E16" s="44">
        <v>2017</v>
      </c>
      <c r="F16" s="44">
        <v>2016</v>
      </c>
      <c r="G16" s="44">
        <v>2015</v>
      </c>
    </row>
    <row r="17" spans="1:7" ht="17">
      <c r="A17" s="45" t="s">
        <v>42</v>
      </c>
    </row>
    <row r="18" spans="1:7" ht="17">
      <c r="A18" s="3" t="s">
        <v>43</v>
      </c>
      <c r="C18" s="6">
        <v>0.53</v>
      </c>
      <c r="D18" s="6">
        <v>0.54</v>
      </c>
      <c r="E18" s="6">
        <v>0.51</v>
      </c>
      <c r="F18" s="6">
        <v>0.51</v>
      </c>
      <c r="G18" s="6">
        <v>0.5</v>
      </c>
    </row>
    <row r="19" spans="1:7" ht="17">
      <c r="A19" s="3" t="s">
        <v>44</v>
      </c>
      <c r="C19" s="5">
        <v>9.8900000000000002E-2</v>
      </c>
      <c r="D19" s="5">
        <v>9.8199999999999996E-2</v>
      </c>
      <c r="E19" s="5">
        <v>9.7199999999999995E-2</v>
      </c>
      <c r="F19" s="5">
        <v>9.5699999999999993E-2</v>
      </c>
      <c r="G19" s="5">
        <v>9.3100000000000002E-2</v>
      </c>
    </row>
    <row r="20" spans="1:7" ht="17">
      <c r="A20" s="3" t="s">
        <v>45</v>
      </c>
      <c r="C20" s="6">
        <v>0.67</v>
      </c>
      <c r="D20" s="6">
        <v>0.69</v>
      </c>
      <c r="E20" s="6">
        <v>0.66</v>
      </c>
      <c r="F20" s="6">
        <v>0.67</v>
      </c>
      <c r="G20" s="6">
        <v>0.68</v>
      </c>
    </row>
    <row r="21" spans="1:7" ht="17">
      <c r="A21" s="3" t="s">
        <v>46</v>
      </c>
      <c r="C21" s="6">
        <v>2.99</v>
      </c>
      <c r="D21" s="6">
        <v>2.88</v>
      </c>
      <c r="E21" s="6">
        <v>2.82</v>
      </c>
      <c r="F21" s="6">
        <v>2.82</v>
      </c>
      <c r="G21" s="6">
        <v>2.77</v>
      </c>
    </row>
    <row r="22" spans="1:7" ht="17">
      <c r="A22" s="45" t="s">
        <v>47</v>
      </c>
    </row>
    <row r="23" spans="1:7" ht="17">
      <c r="A23" s="3" t="s">
        <v>43</v>
      </c>
      <c r="B23" s="6">
        <v>0.52</v>
      </c>
    </row>
    <row r="24" spans="1:7" ht="17">
      <c r="A24" s="3" t="s">
        <v>44</v>
      </c>
      <c r="B24" s="5">
        <v>9.6600000000000005E-2</v>
      </c>
    </row>
    <row r="25" spans="1:7" ht="17">
      <c r="A25" s="3" t="s">
        <v>45</v>
      </c>
      <c r="B25" s="6">
        <v>0.67</v>
      </c>
    </row>
    <row r="26" spans="1:7" ht="17">
      <c r="A26" s="3" t="s">
        <v>46</v>
      </c>
      <c r="B26" s="6">
        <v>2.85</v>
      </c>
    </row>
    <row r="27" spans="1:7" ht="17">
      <c r="A27" s="45" t="s">
        <v>48</v>
      </c>
    </row>
    <row r="28" spans="1:7" ht="17">
      <c r="A28" s="3" t="s">
        <v>49</v>
      </c>
      <c r="B28" s="5">
        <f>B23*B24*B25*B26</f>
        <v>9.5918004000000029E-2</v>
      </c>
    </row>
    <row r="29" spans="1:7" ht="17">
      <c r="A29" s="3" t="s">
        <v>50</v>
      </c>
      <c r="B29" s="5">
        <v>2.1000000000000001E-2</v>
      </c>
    </row>
    <row r="30" spans="1:7">
      <c r="A30" s="46" t="s">
        <v>5</v>
      </c>
      <c r="B30" s="47">
        <v>0.1171</v>
      </c>
    </row>
    <row r="31" spans="1:7" ht="17">
      <c r="A31" s="3" t="s">
        <v>51</v>
      </c>
      <c r="B31" s="5">
        <f>C5</f>
        <v>2.2599999999999999E-2</v>
      </c>
    </row>
    <row r="32" spans="1:7">
      <c r="A32" s="48" t="s">
        <v>52</v>
      </c>
      <c r="B32" s="47">
        <f>B30-B31</f>
        <v>9.4500000000000001E-2</v>
      </c>
    </row>
    <row r="34" spans="1:1">
      <c r="A34" s="50" t="s">
        <v>53</v>
      </c>
    </row>
  </sheetData>
  <hyperlinks>
    <hyperlink ref="A11" r:id="rId1" xr:uid="{49EB9292-2EBC-9840-9FFA-4A7EFAE1BC0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6E0D7-C5DB-254E-9413-113C58617BB5}">
  <dimension ref="A1:D12"/>
  <sheetViews>
    <sheetView zoomScale="150" workbookViewId="0">
      <selection activeCell="D5" sqref="D5"/>
    </sheetView>
  </sheetViews>
  <sheetFormatPr baseColWidth="10" defaultColWidth="25.83203125" defaultRowHeight="16"/>
  <cols>
    <col min="1" max="1" width="35.83203125" customWidth="1"/>
  </cols>
  <sheetData>
    <row r="1" spans="1:4" ht="29">
      <c r="A1" s="30" t="s">
        <v>0</v>
      </c>
      <c r="B1" s="31"/>
      <c r="C1" s="31"/>
      <c r="D1" s="31"/>
    </row>
    <row r="2" spans="1:4" ht="23">
      <c r="A2" s="32" t="s">
        <v>24</v>
      </c>
      <c r="B2" s="31"/>
      <c r="C2" s="31"/>
      <c r="D2" s="31"/>
    </row>
    <row r="3" spans="1:4">
      <c r="A3" s="31"/>
      <c r="B3" s="31"/>
      <c r="C3" s="31"/>
      <c r="D3" s="31"/>
    </row>
    <row r="4" spans="1:4">
      <c r="A4" s="33"/>
      <c r="B4" s="33" t="s">
        <v>25</v>
      </c>
      <c r="C4" s="33" t="s">
        <v>26</v>
      </c>
      <c r="D4" s="33" t="s">
        <v>27</v>
      </c>
    </row>
    <row r="5" spans="1:4">
      <c r="A5" s="31" t="s">
        <v>28</v>
      </c>
      <c r="B5" s="31" t="s">
        <v>29</v>
      </c>
      <c r="C5" s="31">
        <v>0.91</v>
      </c>
      <c r="D5" s="34">
        <f>CAPM!C9</f>
        <v>0.16120326235643037</v>
      </c>
    </row>
    <row r="6" spans="1:4">
      <c r="A6" s="31" t="s">
        <v>30</v>
      </c>
      <c r="B6" s="31" t="s">
        <v>31</v>
      </c>
      <c r="C6" s="31">
        <v>0.09</v>
      </c>
      <c r="D6" s="34">
        <v>4.0300000000000002E-2</v>
      </c>
    </row>
    <row r="7" spans="1:4">
      <c r="A7" s="35" t="s">
        <v>32</v>
      </c>
      <c r="B7" s="35"/>
      <c r="C7" s="35"/>
      <c r="D7" s="35"/>
    </row>
    <row r="8" spans="1:4">
      <c r="A8" s="50" t="s">
        <v>56</v>
      </c>
      <c r="B8" s="15">
        <f>(9%+1%-15%+28%+14%)/5</f>
        <v>7.400000000000001E-2</v>
      </c>
    </row>
    <row r="9" spans="1:4">
      <c r="A9" t="s">
        <v>33</v>
      </c>
      <c r="B9" s="36">
        <f>D5*C5+C6*D6*(1-B8)</f>
        <v>0.15005357074435163</v>
      </c>
    </row>
    <row r="10" spans="1:4">
      <c r="B10" s="36"/>
    </row>
    <row r="11" spans="1:4">
      <c r="A11" s="31" t="s">
        <v>55</v>
      </c>
      <c r="B11" s="31"/>
      <c r="C11" s="31"/>
    </row>
    <row r="12" spans="1:4">
      <c r="A12" s="31"/>
      <c r="B12" s="31"/>
      <c r="C12" s="3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64BAA-B8F7-9E43-8CA5-96FAF218F76B}">
  <dimension ref="A1:G48"/>
  <sheetViews>
    <sheetView zoomScale="140" workbookViewId="0">
      <selection activeCell="B29" sqref="B29"/>
    </sheetView>
  </sheetViews>
  <sheetFormatPr baseColWidth="10" defaultColWidth="25.83203125" defaultRowHeight="16"/>
  <sheetData>
    <row r="1" spans="1:7" ht="29">
      <c r="A1" s="77" t="s">
        <v>0</v>
      </c>
      <c r="B1" s="78"/>
      <c r="C1" s="78"/>
      <c r="D1" s="78"/>
      <c r="E1" s="78"/>
      <c r="F1" s="78"/>
      <c r="G1" s="78"/>
    </row>
    <row r="2" spans="1:7" ht="23">
      <c r="A2" s="79" t="s">
        <v>144</v>
      </c>
      <c r="B2" s="78"/>
      <c r="C2" s="78"/>
      <c r="D2" s="78"/>
      <c r="E2" s="78"/>
      <c r="F2" s="78"/>
      <c r="G2" s="78"/>
    </row>
    <row r="3" spans="1:7">
      <c r="A3" s="78"/>
      <c r="B3" s="78"/>
      <c r="C3" s="78"/>
      <c r="D3" s="78"/>
      <c r="E3" s="78"/>
      <c r="F3" s="78"/>
      <c r="G3" s="78"/>
    </row>
    <row r="4" spans="1:7" ht="17" thickBot="1">
      <c r="A4" s="80"/>
      <c r="B4" s="81" t="s">
        <v>41</v>
      </c>
      <c r="C4" s="82">
        <v>43830</v>
      </c>
      <c r="D4" s="82">
        <v>43465</v>
      </c>
      <c r="E4" s="82">
        <v>43100</v>
      </c>
      <c r="F4" s="82">
        <v>42735</v>
      </c>
      <c r="G4" s="82">
        <v>42369</v>
      </c>
    </row>
    <row r="5" spans="1:7" ht="17">
      <c r="A5" s="83" t="s">
        <v>58</v>
      </c>
      <c r="B5" s="78"/>
      <c r="C5" s="78"/>
      <c r="D5" s="78"/>
      <c r="E5" s="78"/>
      <c r="F5" s="78"/>
      <c r="G5" s="78"/>
    </row>
    <row r="6" spans="1:7">
      <c r="A6" s="84" t="s">
        <v>120</v>
      </c>
      <c r="B6" s="78"/>
      <c r="C6" s="85">
        <v>1866916</v>
      </c>
      <c r="D6" s="85">
        <v>1211242</v>
      </c>
      <c r="E6" s="85">
        <v>558929</v>
      </c>
      <c r="F6" s="85">
        <v>186678</v>
      </c>
      <c r="G6" s="85">
        <v>122641</v>
      </c>
    </row>
    <row r="7" spans="1:7">
      <c r="A7" s="84" t="s">
        <v>60</v>
      </c>
      <c r="B7" s="78"/>
      <c r="C7" s="85">
        <v>20156447</v>
      </c>
      <c r="D7" s="85">
        <v>15794341</v>
      </c>
      <c r="E7" s="85">
        <v>11692713</v>
      </c>
      <c r="F7" s="85">
        <v>8830669</v>
      </c>
      <c r="G7" s="85">
        <v>6779511</v>
      </c>
    </row>
    <row r="8" spans="1:7">
      <c r="A8" s="84" t="s">
        <v>145</v>
      </c>
      <c r="B8" s="78"/>
      <c r="C8" s="85">
        <v>33975712</v>
      </c>
      <c r="D8" s="85">
        <v>25974400</v>
      </c>
      <c r="E8" s="85">
        <v>19012742</v>
      </c>
      <c r="F8" s="85">
        <v>13586610</v>
      </c>
      <c r="G8" s="85">
        <v>10202871</v>
      </c>
    </row>
    <row r="9" spans="1:7">
      <c r="A9" s="84" t="s">
        <v>103</v>
      </c>
      <c r="B9" s="78"/>
      <c r="C9" s="85">
        <v>7582157</v>
      </c>
      <c r="D9" s="85">
        <v>5238765</v>
      </c>
      <c r="E9" s="85">
        <v>3581956</v>
      </c>
      <c r="F9" s="85">
        <v>2679800</v>
      </c>
      <c r="G9" s="85">
        <v>2223426</v>
      </c>
    </row>
    <row r="10" spans="1:7" ht="17">
      <c r="A10" s="83" t="s">
        <v>42</v>
      </c>
      <c r="B10" s="78"/>
      <c r="C10" s="78"/>
      <c r="D10" s="78"/>
      <c r="E10" s="78"/>
      <c r="F10" s="78"/>
      <c r="G10" s="78"/>
    </row>
    <row r="11" spans="1:7">
      <c r="A11" s="84" t="s">
        <v>43</v>
      </c>
      <c r="B11" s="78"/>
      <c r="C11" s="86">
        <v>1</v>
      </c>
      <c r="D11" s="86">
        <v>1</v>
      </c>
      <c r="E11" s="86">
        <v>1</v>
      </c>
      <c r="F11" s="86">
        <v>1</v>
      </c>
      <c r="G11" s="86">
        <v>1</v>
      </c>
    </row>
    <row r="12" spans="1:7">
      <c r="A12" s="84" t="s">
        <v>44</v>
      </c>
      <c r="B12" s="78"/>
      <c r="C12" s="87">
        <v>9.2600000000000002E-2</v>
      </c>
      <c r="D12" s="87">
        <v>7.6700000000000004E-2</v>
      </c>
      <c r="E12" s="87">
        <v>4.7800000000000002E-2</v>
      </c>
      <c r="F12" s="87">
        <v>2.1100000000000001E-2</v>
      </c>
      <c r="G12" s="87">
        <v>1.8100000000000002E-2</v>
      </c>
    </row>
    <row r="13" spans="1:7">
      <c r="A13" s="84" t="s">
        <v>45</v>
      </c>
      <c r="B13" s="78"/>
      <c r="C13" s="86">
        <v>0.59</v>
      </c>
      <c r="D13" s="86">
        <v>0.61</v>
      </c>
      <c r="E13" s="86">
        <v>0.61</v>
      </c>
      <c r="F13" s="86">
        <v>0.65</v>
      </c>
      <c r="G13" s="86">
        <v>0.66</v>
      </c>
    </row>
    <row r="14" spans="1:7">
      <c r="A14" s="84" t="s">
        <v>46</v>
      </c>
      <c r="B14" s="78"/>
      <c r="C14" s="86">
        <v>4.4800000000000004</v>
      </c>
      <c r="D14" s="86">
        <v>4.96</v>
      </c>
      <c r="E14" s="86">
        <v>5.31</v>
      </c>
      <c r="F14" s="86">
        <v>5.07</v>
      </c>
      <c r="G14" s="86">
        <v>4.59</v>
      </c>
    </row>
    <row r="15" spans="1:7" ht="17">
      <c r="A15" s="83" t="s">
        <v>47</v>
      </c>
      <c r="B15" s="78"/>
      <c r="C15" s="78"/>
      <c r="D15" s="78"/>
      <c r="E15" s="78"/>
      <c r="F15" s="78"/>
      <c r="G15" s="78"/>
    </row>
    <row r="16" spans="1:7">
      <c r="A16" s="84" t="s">
        <v>43</v>
      </c>
      <c r="B16" s="86">
        <v>1</v>
      </c>
      <c r="C16" s="78"/>
      <c r="D16" s="78"/>
      <c r="E16" s="78"/>
      <c r="F16" s="78"/>
      <c r="G16" s="78"/>
    </row>
    <row r="17" spans="1:7">
      <c r="A17" s="84" t="s">
        <v>44</v>
      </c>
      <c r="B17" s="87">
        <v>5.1299999999999998E-2</v>
      </c>
      <c r="C17" s="78"/>
      <c r="D17" s="78"/>
      <c r="E17" s="78"/>
      <c r="F17" s="78"/>
      <c r="G17" s="78"/>
    </row>
    <row r="18" spans="1:7">
      <c r="A18" s="84" t="s">
        <v>45</v>
      </c>
      <c r="B18" s="86">
        <v>0.63</v>
      </c>
      <c r="C18" s="78"/>
      <c r="D18" s="78"/>
      <c r="E18" s="78"/>
      <c r="F18" s="78"/>
      <c r="G18" s="78"/>
    </row>
    <row r="19" spans="1:7">
      <c r="A19" s="84" t="s">
        <v>46</v>
      </c>
      <c r="B19" s="86">
        <v>4.88</v>
      </c>
      <c r="C19" s="78"/>
      <c r="D19" s="78"/>
      <c r="E19" s="78"/>
      <c r="F19" s="78"/>
      <c r="G19" s="78"/>
    </row>
    <row r="20" spans="1:7">
      <c r="A20" s="78"/>
      <c r="B20" s="78"/>
      <c r="C20" s="78"/>
      <c r="D20" s="78"/>
      <c r="E20" s="78"/>
      <c r="F20" s="78"/>
      <c r="G20" s="78"/>
    </row>
    <row r="21" spans="1:7">
      <c r="A21" s="88" t="s">
        <v>146</v>
      </c>
      <c r="B21" s="89">
        <v>0.15670000000000001</v>
      </c>
      <c r="C21" s="78"/>
      <c r="D21" s="78"/>
      <c r="E21" s="78"/>
      <c r="F21" s="78"/>
      <c r="G21" s="78"/>
    </row>
    <row r="22" spans="1:7">
      <c r="A22" s="90" t="s">
        <v>65</v>
      </c>
      <c r="B22" s="91"/>
      <c r="C22" s="91"/>
      <c r="D22" s="91"/>
      <c r="E22" s="91"/>
      <c r="F22" s="91"/>
      <c r="G22" s="91"/>
    </row>
    <row r="23" spans="1:7">
      <c r="A23" s="93"/>
      <c r="B23" s="94"/>
      <c r="C23" s="94"/>
      <c r="D23" s="94"/>
      <c r="E23" s="94"/>
      <c r="F23" s="94"/>
      <c r="G23" s="94"/>
    </row>
    <row r="24" spans="1:7">
      <c r="A24" s="93"/>
      <c r="B24" s="94"/>
      <c r="C24" s="94"/>
      <c r="D24" s="94"/>
      <c r="E24" s="94"/>
      <c r="F24" s="94"/>
      <c r="G24" s="94"/>
    </row>
    <row r="25" spans="1:7" ht="23">
      <c r="A25" s="98" t="s">
        <v>155</v>
      </c>
      <c r="B25" s="49"/>
      <c r="C25" s="94"/>
      <c r="D25" s="94"/>
      <c r="E25" s="94"/>
      <c r="F25" s="94"/>
      <c r="G25" s="94"/>
    </row>
    <row r="26" spans="1:7">
      <c r="A26" s="95"/>
      <c r="B26" s="94"/>
      <c r="C26" s="94"/>
      <c r="D26" s="94"/>
      <c r="E26" s="94"/>
      <c r="F26" s="94"/>
      <c r="G26" s="94"/>
    </row>
    <row r="27" spans="1:7">
      <c r="A27" s="96" t="s">
        <v>172</v>
      </c>
      <c r="B27" s="94"/>
      <c r="C27" s="94"/>
      <c r="D27" s="94"/>
      <c r="E27" s="94"/>
      <c r="F27" s="94"/>
      <c r="G27" s="94"/>
    </row>
    <row r="28" spans="1:7">
      <c r="A28" s="97" t="s">
        <v>173</v>
      </c>
      <c r="B28" s="94"/>
      <c r="C28" s="94"/>
      <c r="D28" s="94"/>
      <c r="E28" s="94"/>
      <c r="F28" s="94"/>
      <c r="G28" s="94"/>
    </row>
    <row r="29" spans="1:7">
      <c r="A29" s="95"/>
      <c r="B29" s="94"/>
      <c r="C29" s="94"/>
      <c r="D29" s="94"/>
      <c r="E29" s="94"/>
      <c r="F29" s="94"/>
      <c r="G29" s="94"/>
    </row>
    <row r="30" spans="1:7">
      <c r="A30" s="97" t="s">
        <v>151</v>
      </c>
      <c r="B30" s="94"/>
      <c r="C30" s="94"/>
      <c r="D30" s="94"/>
      <c r="E30" s="94"/>
      <c r="F30" s="94"/>
      <c r="G30" s="94"/>
    </row>
    <row r="31" spans="1:7">
      <c r="A31" s="97" t="s">
        <v>153</v>
      </c>
      <c r="B31" s="94"/>
      <c r="C31" s="94"/>
      <c r="D31" s="94"/>
      <c r="E31" s="94"/>
      <c r="F31" s="94"/>
      <c r="G31" s="94"/>
    </row>
    <row r="32" spans="1:7">
      <c r="A32" s="97" t="s">
        <v>154</v>
      </c>
      <c r="B32" s="94"/>
      <c r="C32" s="94"/>
      <c r="D32" s="94"/>
      <c r="E32" s="94"/>
      <c r="F32" s="94"/>
      <c r="G32" s="94"/>
    </row>
    <row r="33" spans="1:3">
      <c r="A33" s="97" t="s">
        <v>152</v>
      </c>
    </row>
    <row r="34" spans="1:3">
      <c r="A34" s="97"/>
    </row>
    <row r="36" spans="1:3" ht="23">
      <c r="A36" s="49" t="s">
        <v>135</v>
      </c>
    </row>
    <row r="38" spans="1:3" ht="17" thickBot="1">
      <c r="A38" s="44" t="s">
        <v>136</v>
      </c>
      <c r="B38" s="44" t="s">
        <v>25</v>
      </c>
      <c r="C38" s="44" t="s">
        <v>137</v>
      </c>
    </row>
    <row r="39" spans="1:3" ht="17">
      <c r="A39" s="4">
        <v>1</v>
      </c>
      <c r="B39" s="4" t="s">
        <v>138</v>
      </c>
      <c r="C39" s="5">
        <v>0.15670000000000001</v>
      </c>
    </row>
    <row r="40" spans="1:3" ht="17">
      <c r="A40" s="4">
        <v>2</v>
      </c>
      <c r="B40" s="4" t="s">
        <v>139</v>
      </c>
      <c r="C40" s="5">
        <v>0.1555</v>
      </c>
    </row>
    <row r="41" spans="1:3" ht="17">
      <c r="A41" s="4">
        <v>3</v>
      </c>
      <c r="B41" s="4" t="s">
        <v>140</v>
      </c>
      <c r="C41" s="5">
        <v>0.15440000000000001</v>
      </c>
    </row>
    <row r="42" spans="1:3" ht="17">
      <c r="A42" s="4">
        <v>4</v>
      </c>
      <c r="B42" s="4" t="s">
        <v>141</v>
      </c>
      <c r="C42" s="5">
        <v>0.15329999999999999</v>
      </c>
    </row>
    <row r="43" spans="1:3" ht="17">
      <c r="A43" s="4" t="s">
        <v>142</v>
      </c>
      <c r="B43" s="4" t="s">
        <v>143</v>
      </c>
      <c r="C43" s="5">
        <v>0.15210000000000001</v>
      </c>
    </row>
    <row r="45" spans="1:3">
      <c r="A45" t="s">
        <v>147</v>
      </c>
    </row>
    <row r="46" spans="1:3">
      <c r="A46" s="92" t="s">
        <v>148</v>
      </c>
    </row>
    <row r="47" spans="1:3">
      <c r="A47" s="92" t="s">
        <v>149</v>
      </c>
    </row>
    <row r="48" spans="1:3">
      <c r="A48" s="92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B7C7E-05C0-F641-A14F-BDC9F60DE233}">
  <dimension ref="A1:E18"/>
  <sheetViews>
    <sheetView zoomScale="150" workbookViewId="0">
      <selection activeCell="D14" sqref="D14"/>
    </sheetView>
  </sheetViews>
  <sheetFormatPr baseColWidth="10" defaultColWidth="25.83203125" defaultRowHeight="16"/>
  <cols>
    <col min="1" max="1" width="35.83203125" customWidth="1"/>
  </cols>
  <sheetData>
    <row r="1" spans="1:5" ht="23">
      <c r="A1" s="49" t="s">
        <v>156</v>
      </c>
    </row>
    <row r="3" spans="1:5">
      <c r="A3" t="s">
        <v>157</v>
      </c>
    </row>
    <row r="4" spans="1:5" ht="33" thickBot="1">
      <c r="A4" s="44" t="s">
        <v>136</v>
      </c>
      <c r="B4" s="44" t="s">
        <v>25</v>
      </c>
      <c r="C4" s="44" t="s">
        <v>158</v>
      </c>
      <c r="D4" s="44" t="s">
        <v>169</v>
      </c>
    </row>
    <row r="5" spans="1:5" ht="17">
      <c r="A5" s="4">
        <v>0</v>
      </c>
      <c r="B5" s="4" t="s">
        <v>159</v>
      </c>
      <c r="C5" s="27">
        <v>1292815</v>
      </c>
    </row>
    <row r="6" spans="1:5" ht="17">
      <c r="A6" s="4">
        <v>1</v>
      </c>
      <c r="B6" s="4" t="s">
        <v>160</v>
      </c>
      <c r="C6" s="27">
        <v>1495390</v>
      </c>
      <c r="D6" s="27">
        <f>C6/(1+CAPM!C9)</f>
        <v>1287793.4884245885</v>
      </c>
    </row>
    <row r="7" spans="1:5" ht="17">
      <c r="A7" s="4">
        <v>2</v>
      </c>
      <c r="B7" s="4" t="s">
        <v>161</v>
      </c>
      <c r="C7" s="27">
        <v>1727998</v>
      </c>
      <c r="D7" s="27">
        <f>C7/(1+CAPM!C9)^2</f>
        <v>1281523.9910364454</v>
      </c>
    </row>
    <row r="8" spans="1:5" ht="17">
      <c r="A8" s="4">
        <v>3</v>
      </c>
      <c r="B8" s="4" t="s">
        <v>162</v>
      </c>
      <c r="C8" s="27">
        <v>1994812</v>
      </c>
      <c r="D8" s="27">
        <f>C8/(1+CAPM!C9)^3</f>
        <v>1274022.8879463265</v>
      </c>
    </row>
    <row r="9" spans="1:5" ht="17">
      <c r="A9" s="4">
        <v>4</v>
      </c>
      <c r="B9" s="4" t="s">
        <v>163</v>
      </c>
      <c r="C9" s="27">
        <v>2300542</v>
      </c>
      <c r="D9" s="27">
        <f>C9/(1+CAPM!C9)^4</f>
        <v>1265310.6900552195</v>
      </c>
    </row>
    <row r="10" spans="1:5" ht="17">
      <c r="A10" s="4">
        <v>5</v>
      </c>
      <c r="B10" s="4" t="s">
        <v>164</v>
      </c>
      <c r="C10" s="27">
        <v>2650498</v>
      </c>
      <c r="D10" s="27">
        <f>C10/(1+CAPM!C9)^5</f>
        <v>1255411.9097828972</v>
      </c>
    </row>
    <row r="11" spans="1:5" ht="17">
      <c r="A11" s="4">
        <v>5</v>
      </c>
      <c r="B11" s="4" t="s">
        <v>165</v>
      </c>
      <c r="C11" s="27">
        <f>C10*(1+'Growth rate'!C43)/(CAPM!C9-'Growth rate'!C43)</f>
        <v>335444440.27178586</v>
      </c>
      <c r="D11" s="27">
        <f>C11/(1+CAPM!C9)^5</f>
        <v>158883706.15169588</v>
      </c>
    </row>
    <row r="12" spans="1:5">
      <c r="A12" s="99" t="s">
        <v>166</v>
      </c>
      <c r="B12" s="23"/>
      <c r="C12" s="23"/>
      <c r="D12" s="54">
        <f>SUM(D6:D11)</f>
        <v>165247769.11894137</v>
      </c>
      <c r="E12" s="103"/>
    </row>
    <row r="13" spans="1:5">
      <c r="A13" s="99" t="s">
        <v>174</v>
      </c>
      <c r="B13" s="23"/>
      <c r="C13" s="23"/>
      <c r="D13" s="104">
        <v>438811</v>
      </c>
    </row>
    <row r="14" spans="1:5">
      <c r="A14" s="99" t="s">
        <v>167</v>
      </c>
      <c r="B14" s="23"/>
      <c r="C14" s="23"/>
      <c r="D14" s="100">
        <f>D12/438802</f>
        <v>376.58845930269547</v>
      </c>
    </row>
    <row r="15" spans="1:5">
      <c r="A15" s="101" t="s">
        <v>168</v>
      </c>
      <c r="B15" s="23"/>
      <c r="C15" s="23"/>
      <c r="D15" s="102">
        <v>368.97</v>
      </c>
    </row>
    <row r="16" spans="1:5">
      <c r="A16" s="55" t="s">
        <v>32</v>
      </c>
      <c r="B16" s="55"/>
      <c r="C16" s="55"/>
      <c r="D16" s="55"/>
    </row>
    <row r="18" spans="1:2">
      <c r="A18" t="s">
        <v>170</v>
      </c>
      <c r="B18" t="s">
        <v>171</v>
      </c>
    </row>
  </sheetData>
  <mergeCells count="4">
    <mergeCell ref="A12:C12"/>
    <mergeCell ref="A14:C14"/>
    <mergeCell ref="A15:C15"/>
    <mergeCell ref="A13:C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49CBD-3358-C64B-819A-45E4863BE067}">
  <dimension ref="A1:J22"/>
  <sheetViews>
    <sheetView tabSelected="1" topLeftCell="E1" zoomScale="125" workbookViewId="0">
      <selection activeCell="J18" sqref="J18"/>
    </sheetView>
  </sheetViews>
  <sheetFormatPr baseColWidth="10" defaultColWidth="30.83203125" defaultRowHeight="16"/>
  <cols>
    <col min="1" max="16384" width="30.83203125" style="66"/>
  </cols>
  <sheetData>
    <row r="1" spans="1:10">
      <c r="A1" s="62" t="s">
        <v>77</v>
      </c>
      <c r="B1" s="63">
        <v>107</v>
      </c>
      <c r="C1" s="64">
        <v>18.501846225585563</v>
      </c>
      <c r="D1" s="64">
        <v>21.849891013216887</v>
      </c>
      <c r="E1" s="64">
        <v>34.912738681218364</v>
      </c>
      <c r="F1" s="64">
        <v>44.149308265127495</v>
      </c>
      <c r="G1" s="64">
        <v>21.293373581629972</v>
      </c>
      <c r="H1" s="64">
        <v>25.659808958691784</v>
      </c>
      <c r="I1" s="64">
        <v>36.181093629773997</v>
      </c>
      <c r="J1" s="65">
        <v>45.753221212910837</v>
      </c>
    </row>
    <row r="2" spans="1:10">
      <c r="A2" s="62"/>
      <c r="B2" s="63"/>
      <c r="C2" s="67" t="s">
        <v>78</v>
      </c>
      <c r="D2" s="67" t="s">
        <v>79</v>
      </c>
      <c r="E2" s="67" t="s">
        <v>80</v>
      </c>
      <c r="F2" s="67" t="s">
        <v>81</v>
      </c>
      <c r="G2" s="64"/>
      <c r="H2" s="64"/>
      <c r="I2" s="64"/>
      <c r="J2" s="65"/>
    </row>
    <row r="3" spans="1:10">
      <c r="C3" s="64">
        <v>4.075701117591608</v>
      </c>
      <c r="D3" s="68">
        <v>0.11728223624722409</v>
      </c>
      <c r="E3" s="64">
        <v>4.7187982015918033</v>
      </c>
      <c r="F3" s="68">
        <v>0.13042165750646711</v>
      </c>
    </row>
    <row r="4" spans="1:10">
      <c r="C4" s="67" t="s">
        <v>82</v>
      </c>
      <c r="D4" s="67" t="s">
        <v>83</v>
      </c>
      <c r="E4" s="67" t="s">
        <v>84</v>
      </c>
      <c r="F4" s="67" t="s">
        <v>85</v>
      </c>
    </row>
    <row r="5" spans="1:10">
      <c r="C5" s="69">
        <v>3.7020566556354479</v>
      </c>
      <c r="D5" s="70">
        <v>0.17660188702061802</v>
      </c>
      <c r="E5" s="69">
        <v>4.4678143058834676</v>
      </c>
      <c r="F5" s="70">
        <v>0.18572742748682836</v>
      </c>
    </row>
    <row r="6" spans="1:10">
      <c r="C6" s="67"/>
      <c r="D6" s="67" t="s">
        <v>86</v>
      </c>
      <c r="E6" s="67" t="s">
        <v>87</v>
      </c>
      <c r="F6" s="67" t="s">
        <v>88</v>
      </c>
      <c r="G6" s="67" t="s">
        <v>89</v>
      </c>
      <c r="H6" s="67" t="s">
        <v>90</v>
      </c>
      <c r="I6" s="67" t="s">
        <v>91</v>
      </c>
      <c r="J6" s="67" t="s">
        <v>92</v>
      </c>
    </row>
    <row r="7" spans="1:10">
      <c r="C7" s="71"/>
      <c r="D7" s="69">
        <v>150.3874265</v>
      </c>
      <c r="E7" s="69">
        <v>47.683998889999998</v>
      </c>
      <c r="F7" s="69">
        <v>40.24677234</v>
      </c>
      <c r="G7" s="69">
        <v>38.147141937019143</v>
      </c>
      <c r="H7" s="69">
        <v>29.532212573756166</v>
      </c>
      <c r="I7" s="70">
        <v>0.13325000000000001</v>
      </c>
      <c r="J7" s="69">
        <v>2.2163011312387364</v>
      </c>
    </row>
    <row r="10" spans="1:10">
      <c r="A10" s="66" t="s">
        <v>93</v>
      </c>
      <c r="B10" s="72" t="s">
        <v>32</v>
      </c>
      <c r="C10" s="73" t="s">
        <v>94</v>
      </c>
      <c r="D10" s="73" t="s">
        <v>95</v>
      </c>
      <c r="E10" s="73" t="s">
        <v>96</v>
      </c>
      <c r="F10" s="73" t="s">
        <v>97</v>
      </c>
    </row>
    <row r="11" spans="1:10">
      <c r="C11" s="64"/>
      <c r="D11" s="74">
        <v>63.432194237667524</v>
      </c>
      <c r="E11" s="74">
        <v>7.9358368411834501</v>
      </c>
      <c r="F11" s="64"/>
    </row>
    <row r="12" spans="1:10">
      <c r="C12" s="67" t="s">
        <v>78</v>
      </c>
      <c r="D12" s="67" t="s">
        <v>79</v>
      </c>
      <c r="E12" s="67" t="s">
        <v>80</v>
      </c>
      <c r="F12" s="67" t="s">
        <v>81</v>
      </c>
    </row>
    <row r="13" spans="1:10">
      <c r="C13" s="64">
        <v>4.075701117591608</v>
      </c>
      <c r="D13" s="68">
        <v>0.11728223624722409</v>
      </c>
      <c r="E13" s="64">
        <v>4.7187982015918033</v>
      </c>
      <c r="F13" s="68">
        <v>0.13042165750646711</v>
      </c>
    </row>
    <row r="14" spans="1:10">
      <c r="C14" s="67" t="s">
        <v>82</v>
      </c>
      <c r="D14" s="67" t="s">
        <v>83</v>
      </c>
      <c r="E14" s="67" t="s">
        <v>84</v>
      </c>
      <c r="F14" s="67" t="s">
        <v>85</v>
      </c>
    </row>
    <row r="15" spans="1:10">
      <c r="C15" s="74">
        <v>20.66674433403896</v>
      </c>
      <c r="D15" s="75">
        <v>0.2964202539815064</v>
      </c>
      <c r="E15" s="69"/>
      <c r="F15" s="75">
        <v>0.12835973153062991</v>
      </c>
    </row>
    <row r="16" spans="1:10">
      <c r="C16" s="67"/>
      <c r="D16" s="67" t="s">
        <v>86</v>
      </c>
      <c r="E16" s="67" t="s">
        <v>87</v>
      </c>
      <c r="F16" s="67" t="s">
        <v>88</v>
      </c>
      <c r="G16" s="67" t="s">
        <v>89</v>
      </c>
      <c r="H16" s="67" t="s">
        <v>90</v>
      </c>
      <c r="I16" s="67" t="s">
        <v>91</v>
      </c>
      <c r="J16" s="67" t="s">
        <v>92</v>
      </c>
    </row>
    <row r="17" spans="1:10">
      <c r="C17" s="71"/>
      <c r="D17" s="74">
        <v>103.70833333333333</v>
      </c>
      <c r="E17" s="69"/>
      <c r="F17" s="69"/>
      <c r="G17" s="69"/>
      <c r="H17" s="69"/>
      <c r="I17" s="70">
        <f>B22</f>
        <v>0.15307999999999999</v>
      </c>
      <c r="J17" s="69">
        <f>D17/I17/100</f>
        <v>6.7747800714223505</v>
      </c>
    </row>
    <row r="18" spans="1:10">
      <c r="A18" s="76">
        <v>0.15670000000000001</v>
      </c>
    </row>
    <row r="19" spans="1:10">
      <c r="A19" s="76">
        <v>0.15490000000000001</v>
      </c>
    </row>
    <row r="20" spans="1:10">
      <c r="A20" s="76">
        <v>0.15310000000000001</v>
      </c>
    </row>
    <row r="21" spans="1:10">
      <c r="A21" s="76">
        <v>0.15129999999999999</v>
      </c>
      <c r="B21" s="66" t="s">
        <v>111</v>
      </c>
    </row>
    <row r="22" spans="1:10">
      <c r="A22" s="76">
        <v>0.14940000000000001</v>
      </c>
      <c r="B22" s="76">
        <f>AVERAGE(A18:A22)</f>
        <v>0.15307999999999999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9CCE0-9B01-664C-A320-24D5ECC437A3}">
  <dimension ref="A1:F18"/>
  <sheetViews>
    <sheetView zoomScale="135" workbookViewId="0">
      <selection activeCell="A12" sqref="A12"/>
    </sheetView>
  </sheetViews>
  <sheetFormatPr baseColWidth="10" defaultColWidth="25.83203125" defaultRowHeight="16"/>
  <sheetData>
    <row r="1" spans="1:6" ht="29">
      <c r="A1" s="42" t="s">
        <v>0</v>
      </c>
    </row>
    <row r="2" spans="1:6" ht="23">
      <c r="A2" s="49" t="s">
        <v>57</v>
      </c>
    </row>
    <row r="4" spans="1:6" ht="17" thickBot="1">
      <c r="A4" s="43"/>
      <c r="B4" s="51">
        <v>43830</v>
      </c>
      <c r="C4" s="51">
        <v>43465</v>
      </c>
      <c r="D4" s="51">
        <v>43100</v>
      </c>
      <c r="E4" s="51">
        <v>42735</v>
      </c>
      <c r="F4" s="51">
        <v>42369</v>
      </c>
    </row>
    <row r="5" spans="1:6" ht="17">
      <c r="A5" s="45" t="s">
        <v>58</v>
      </c>
    </row>
    <row r="6" spans="1:6" ht="17">
      <c r="A6" s="3" t="s">
        <v>59</v>
      </c>
      <c r="B6" s="27">
        <v>-1091231</v>
      </c>
      <c r="C6" s="27">
        <v>-950210</v>
      </c>
      <c r="D6" s="27">
        <v>-970150</v>
      </c>
      <c r="E6" s="27">
        <v>-633942</v>
      </c>
      <c r="F6" s="27">
        <v>-479904</v>
      </c>
    </row>
    <row r="7" spans="1:6" ht="17">
      <c r="A7" s="52" t="s">
        <v>60</v>
      </c>
      <c r="B7" s="27">
        <v>20156447</v>
      </c>
      <c r="C7" s="27">
        <v>15794341</v>
      </c>
      <c r="D7" s="27">
        <v>11692713</v>
      </c>
      <c r="E7" s="27">
        <v>8830669</v>
      </c>
      <c r="F7" s="27">
        <v>6779511</v>
      </c>
    </row>
    <row r="8" spans="1:6" ht="51">
      <c r="A8" s="52" t="s">
        <v>61</v>
      </c>
      <c r="B8" s="27">
        <v>163846</v>
      </c>
      <c r="C8" s="27">
        <v>142277</v>
      </c>
      <c r="D8" s="27">
        <v>175150</v>
      </c>
      <c r="E8" s="27">
        <v>96751</v>
      </c>
      <c r="F8" s="27">
        <v>72135</v>
      </c>
    </row>
    <row r="9" spans="1:6">
      <c r="A9" s="53" t="s">
        <v>62</v>
      </c>
      <c r="B9" s="54">
        <v>20320293</v>
      </c>
      <c r="C9" s="54">
        <v>15936618</v>
      </c>
      <c r="D9" s="54">
        <v>11867863</v>
      </c>
      <c r="E9" s="54">
        <v>8927420</v>
      </c>
      <c r="F9" s="54">
        <v>6851646</v>
      </c>
    </row>
    <row r="10" spans="1:6" ht="17">
      <c r="A10" s="45" t="s">
        <v>63</v>
      </c>
    </row>
    <row r="11" spans="1:6">
      <c r="A11" s="48" t="s">
        <v>64</v>
      </c>
      <c r="B11" s="47">
        <v>-5.3699999999999998E-2</v>
      </c>
      <c r="C11" s="47">
        <v>-5.96E-2</v>
      </c>
      <c r="D11" s="47">
        <v>-8.1699999999999995E-2</v>
      </c>
      <c r="E11" s="47">
        <v>-7.0999999999999994E-2</v>
      </c>
      <c r="F11" s="47">
        <v>-7.0000000000000007E-2</v>
      </c>
    </row>
    <row r="12" spans="1:6">
      <c r="A12" s="55" t="s">
        <v>65</v>
      </c>
      <c r="B12" s="55"/>
      <c r="C12" s="55"/>
      <c r="D12" s="55"/>
      <c r="E12" s="55"/>
      <c r="F12" s="55"/>
    </row>
    <row r="13" spans="1:6">
      <c r="A13" s="37"/>
      <c r="B13" s="38"/>
    </row>
    <row r="14" spans="1:6">
      <c r="A14" s="37"/>
      <c r="B14" s="37"/>
    </row>
    <row r="15" spans="1:6">
      <c r="A15" s="37"/>
      <c r="B15" s="37"/>
    </row>
    <row r="16" spans="1:6">
      <c r="A16" s="37"/>
    </row>
    <row r="17" spans="1:1">
      <c r="A17" s="37"/>
    </row>
    <row r="18" spans="1:1">
      <c r="A18" s="3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54340-CE96-0545-8120-5B7537365F42}">
  <dimension ref="A1:F18"/>
  <sheetViews>
    <sheetView zoomScale="135" workbookViewId="0">
      <selection activeCell="A2" sqref="A2"/>
    </sheetView>
  </sheetViews>
  <sheetFormatPr baseColWidth="10" defaultColWidth="25.83203125" defaultRowHeight="16"/>
  <sheetData>
    <row r="1" spans="1:6" ht="29">
      <c r="A1" s="30" t="s">
        <v>0</v>
      </c>
      <c r="B1" s="31"/>
      <c r="C1" s="31"/>
      <c r="D1" s="31"/>
      <c r="E1" s="31"/>
      <c r="F1" s="31"/>
    </row>
    <row r="2" spans="1:6" ht="23">
      <c r="A2" s="32" t="s">
        <v>66</v>
      </c>
      <c r="B2" s="31"/>
      <c r="C2" s="31"/>
      <c r="D2" s="31"/>
      <c r="E2" s="31"/>
      <c r="F2" s="31"/>
    </row>
    <row r="3" spans="1:6">
      <c r="A3" s="31"/>
      <c r="B3" s="31"/>
      <c r="C3" s="31"/>
      <c r="D3" s="31"/>
      <c r="E3" s="31"/>
      <c r="F3" s="31"/>
    </row>
    <row r="4" spans="1:6">
      <c r="A4" s="33"/>
      <c r="B4" s="56">
        <v>43830</v>
      </c>
      <c r="C4" s="56">
        <v>43465</v>
      </c>
      <c r="D4" s="56">
        <v>43100</v>
      </c>
      <c r="E4" s="56">
        <v>42735</v>
      </c>
      <c r="F4" s="56">
        <v>42369</v>
      </c>
    </row>
    <row r="5" spans="1:6" ht="17">
      <c r="A5" s="57" t="s">
        <v>58</v>
      </c>
      <c r="B5" s="37"/>
      <c r="C5" s="37"/>
      <c r="D5" s="37"/>
      <c r="E5" s="37"/>
      <c r="F5" s="37"/>
    </row>
    <row r="6" spans="1:6">
      <c r="A6" s="37" t="s">
        <v>59</v>
      </c>
      <c r="B6" s="58">
        <v>-1091231</v>
      </c>
      <c r="C6" s="58">
        <v>-950210</v>
      </c>
      <c r="D6" s="58">
        <v>-970150</v>
      </c>
      <c r="E6" s="58">
        <v>-633942</v>
      </c>
      <c r="F6" s="58">
        <v>-479904</v>
      </c>
    </row>
    <row r="7" spans="1:6">
      <c r="A7" s="37" t="s">
        <v>67</v>
      </c>
      <c r="B7" s="37" t="s">
        <v>69</v>
      </c>
      <c r="C7" s="37" t="s">
        <v>70</v>
      </c>
      <c r="D7" s="37" t="s">
        <v>71</v>
      </c>
      <c r="E7" s="37" t="s">
        <v>72</v>
      </c>
      <c r="F7" s="37" t="s">
        <v>73</v>
      </c>
    </row>
    <row r="8" spans="1:6" ht="17">
      <c r="A8" s="57" t="s">
        <v>63</v>
      </c>
      <c r="B8" s="37"/>
      <c r="C8" s="37"/>
      <c r="D8" s="37"/>
      <c r="E8" s="37"/>
      <c r="F8" s="37"/>
    </row>
    <row r="9" spans="1:6">
      <c r="A9" s="59" t="s">
        <v>68</v>
      </c>
      <c r="B9" s="60">
        <v>-4.5199999999999997E-2</v>
      </c>
      <c r="C9" s="60">
        <v>-5.57E-2</v>
      </c>
      <c r="D9" s="60">
        <v>-8.9599999999999999E-2</v>
      </c>
      <c r="E9" s="60">
        <v>-9.8799999999999999E-2</v>
      </c>
      <c r="F9" s="60">
        <v>-0.10249999999999999</v>
      </c>
    </row>
    <row r="10" spans="1:6">
      <c r="A10" s="35" t="s">
        <v>74</v>
      </c>
    </row>
    <row r="11" spans="1:6">
      <c r="A11" s="35" t="s">
        <v>76</v>
      </c>
      <c r="B11" s="35" t="s">
        <v>75</v>
      </c>
    </row>
    <row r="12" spans="1:6">
      <c r="A12" s="35"/>
    </row>
    <row r="13" spans="1:6">
      <c r="A13" s="35"/>
    </row>
    <row r="14" spans="1:6">
      <c r="A14" s="35"/>
    </row>
    <row r="15" spans="1:6">
      <c r="A15" s="35"/>
    </row>
    <row r="16" spans="1:6">
      <c r="A16" s="37"/>
    </row>
    <row r="17" spans="1:1">
      <c r="A17" s="37"/>
    </row>
    <row r="18" spans="1:1">
      <c r="A18" s="3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04129-4364-B243-B9E0-37EBC6E99B5B}">
  <dimension ref="A1:F18"/>
  <sheetViews>
    <sheetView topLeftCell="A2" zoomScale="150" workbookViewId="0">
      <selection activeCell="B17" sqref="B17"/>
    </sheetView>
  </sheetViews>
  <sheetFormatPr baseColWidth="10" defaultColWidth="25.83203125" defaultRowHeight="16"/>
  <cols>
    <col min="1" max="1" width="35.83203125" customWidth="1"/>
  </cols>
  <sheetData>
    <row r="1" spans="1:6" ht="29">
      <c r="A1" s="42" t="s">
        <v>0</v>
      </c>
    </row>
    <row r="2" spans="1:6" ht="23">
      <c r="A2" s="49" t="s">
        <v>98</v>
      </c>
    </row>
    <row r="4" spans="1:6">
      <c r="A4" t="s">
        <v>99</v>
      </c>
    </row>
    <row r="5" spans="1:6" ht="17" thickBot="1">
      <c r="A5" s="43"/>
      <c r="B5" s="51">
        <v>43830</v>
      </c>
      <c r="C5" s="51">
        <v>43465</v>
      </c>
      <c r="D5" s="51">
        <v>43100</v>
      </c>
      <c r="E5" s="51">
        <v>42735</v>
      </c>
      <c r="F5" s="51">
        <v>42369</v>
      </c>
    </row>
    <row r="6" spans="1:6" ht="17">
      <c r="A6" s="4" t="s">
        <v>100</v>
      </c>
      <c r="B6" s="27">
        <v>14759260</v>
      </c>
      <c r="C6" s="27">
        <v>10360058</v>
      </c>
      <c r="D6" s="27">
        <v>6499432</v>
      </c>
      <c r="E6" s="27">
        <v>3364311</v>
      </c>
      <c r="F6" s="27">
        <v>2371362</v>
      </c>
    </row>
    <row r="7" spans="1:6" ht="17">
      <c r="A7" s="4" t="s">
        <v>101</v>
      </c>
      <c r="B7" s="27">
        <v>1613234</v>
      </c>
      <c r="C7" s="27">
        <v>1277439</v>
      </c>
      <c r="D7" s="27">
        <v>599664</v>
      </c>
      <c r="E7" s="27">
        <v>489272</v>
      </c>
      <c r="F7" s="27">
        <v>393865</v>
      </c>
    </row>
    <row r="8" spans="1:6">
      <c r="A8" s="48" t="s">
        <v>102</v>
      </c>
      <c r="B8" s="54">
        <v>16372494</v>
      </c>
      <c r="C8" s="54">
        <v>11637497</v>
      </c>
      <c r="D8" s="54">
        <v>7099096</v>
      </c>
      <c r="E8" s="54">
        <v>3853583</v>
      </c>
      <c r="F8" s="54">
        <v>2765227</v>
      </c>
    </row>
    <row r="9" spans="1:6" ht="17">
      <c r="A9" s="4" t="s">
        <v>103</v>
      </c>
      <c r="B9" s="27">
        <v>7582157</v>
      </c>
      <c r="C9" s="27">
        <v>5238765</v>
      </c>
      <c r="D9" s="27">
        <v>3581956</v>
      </c>
      <c r="E9" s="27">
        <v>2679800</v>
      </c>
      <c r="F9" s="27">
        <v>2223426</v>
      </c>
    </row>
    <row r="10" spans="1:6" ht="17">
      <c r="A10" s="3" t="s">
        <v>104</v>
      </c>
      <c r="B10" s="27">
        <v>-658206</v>
      </c>
      <c r="C10" s="27">
        <v>-564425</v>
      </c>
      <c r="D10" s="27">
        <v>-478266</v>
      </c>
      <c r="E10" s="27">
        <v>-227248</v>
      </c>
      <c r="F10" s="27">
        <v>-180573</v>
      </c>
    </row>
    <row r="11" spans="1:6" ht="17">
      <c r="A11" s="3" t="s">
        <v>105</v>
      </c>
      <c r="B11" s="27">
        <v>924745</v>
      </c>
      <c r="C11" s="27">
        <v>760899</v>
      </c>
      <c r="D11" s="27">
        <v>618622</v>
      </c>
      <c r="E11" s="27">
        <v>443472</v>
      </c>
      <c r="F11" s="27">
        <v>346721</v>
      </c>
    </row>
    <row r="12" spans="1:6">
      <c r="A12" s="46" t="s">
        <v>106</v>
      </c>
      <c r="B12" s="54">
        <v>266539</v>
      </c>
      <c r="C12" s="54">
        <v>196474</v>
      </c>
      <c r="D12" s="54">
        <v>140356</v>
      </c>
      <c r="E12" s="54">
        <v>216224</v>
      </c>
      <c r="F12" s="54">
        <v>166148</v>
      </c>
    </row>
    <row r="13" spans="1:6" ht="34">
      <c r="A13" s="4" t="s">
        <v>107</v>
      </c>
      <c r="B13" s="27">
        <v>23521</v>
      </c>
      <c r="C13" s="27">
        <v>19582</v>
      </c>
      <c r="D13" s="27">
        <v>20557</v>
      </c>
      <c r="E13" s="27">
        <v>48565</v>
      </c>
      <c r="F13" s="27">
        <v>43308</v>
      </c>
    </row>
    <row r="14" spans="1:6">
      <c r="A14" s="48" t="s">
        <v>108</v>
      </c>
      <c r="B14" s="54">
        <v>7872217</v>
      </c>
      <c r="C14" s="54">
        <v>5454821</v>
      </c>
      <c r="D14" s="54">
        <v>3742869</v>
      </c>
      <c r="E14" s="54">
        <v>2944589</v>
      </c>
      <c r="F14" s="54">
        <v>2432882</v>
      </c>
    </row>
    <row r="15" spans="1:6" ht="17">
      <c r="A15" s="4" t="s">
        <v>109</v>
      </c>
      <c r="B15" s="27">
        <v>-100521</v>
      </c>
      <c r="C15" s="27">
        <v>-19548</v>
      </c>
      <c r="D15" s="27">
        <v>-8267</v>
      </c>
      <c r="E15" s="27">
        <v>-108296</v>
      </c>
      <c r="F15" s="27">
        <v>-8845</v>
      </c>
    </row>
    <row r="16" spans="1:6" ht="17">
      <c r="A16" s="4" t="s">
        <v>110</v>
      </c>
      <c r="B16" s="27">
        <v>0</v>
      </c>
      <c r="C16" s="27">
        <v>0</v>
      </c>
      <c r="D16" s="27">
        <v>-1300</v>
      </c>
      <c r="E16" s="27">
        <v>-271120</v>
      </c>
      <c r="F16" s="27">
        <v>-507474</v>
      </c>
    </row>
    <row r="17" spans="1:6">
      <c r="A17" s="61" t="s">
        <v>67</v>
      </c>
      <c r="B17" s="54">
        <v>24144190</v>
      </c>
      <c r="C17" s="54">
        <v>17072770</v>
      </c>
      <c r="D17" s="54">
        <v>10832398</v>
      </c>
      <c r="E17" s="54">
        <v>6418756</v>
      </c>
      <c r="F17" s="54">
        <v>4681790</v>
      </c>
    </row>
    <row r="18" spans="1:6">
      <c r="A18" s="55" t="s">
        <v>65</v>
      </c>
      <c r="B18" s="55"/>
      <c r="C18" s="55"/>
      <c r="D18" s="55"/>
      <c r="E18" s="55"/>
      <c r="F18" s="5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148DF-9AC3-1847-A03C-403A8F3E151E}">
  <dimension ref="A1:F12"/>
  <sheetViews>
    <sheetView zoomScale="150" workbookViewId="0">
      <selection activeCell="C10" sqref="C10"/>
    </sheetView>
  </sheetViews>
  <sheetFormatPr baseColWidth="10" defaultColWidth="25.83203125" defaultRowHeight="16"/>
  <cols>
    <col min="1" max="1" width="35.83203125" customWidth="1"/>
  </cols>
  <sheetData>
    <row r="1" spans="1:6" ht="29">
      <c r="A1" s="42" t="s">
        <v>0</v>
      </c>
    </row>
    <row r="2" spans="1:6" ht="23">
      <c r="A2" s="49" t="s">
        <v>112</v>
      </c>
    </row>
    <row r="4" spans="1:6">
      <c r="A4" t="s">
        <v>99</v>
      </c>
    </row>
    <row r="5" spans="1:6" ht="17" thickBot="1">
      <c r="A5" s="43" t="s">
        <v>113</v>
      </c>
      <c r="B5" s="51">
        <v>43830</v>
      </c>
      <c r="C5" s="51">
        <v>43465</v>
      </c>
      <c r="D5" s="51">
        <v>43100</v>
      </c>
      <c r="E5" s="51">
        <v>42735</v>
      </c>
      <c r="F5" s="51">
        <v>42369</v>
      </c>
    </row>
    <row r="6" spans="1:6" ht="34">
      <c r="A6" s="4" t="s">
        <v>114</v>
      </c>
      <c r="B6" s="27">
        <v>195315</v>
      </c>
      <c r="C6" s="27">
        <v>15216</v>
      </c>
      <c r="D6" s="27">
        <v>-73608</v>
      </c>
      <c r="E6" s="27">
        <v>73829</v>
      </c>
      <c r="F6" s="27">
        <v>19244</v>
      </c>
    </row>
    <row r="7" spans="1:6" ht="34">
      <c r="A7" s="4" t="s">
        <v>115</v>
      </c>
      <c r="B7" s="27">
        <v>-94739</v>
      </c>
      <c r="C7" s="27">
        <v>-85520</v>
      </c>
      <c r="D7" s="27">
        <v>-208688</v>
      </c>
      <c r="E7" s="27">
        <v>-46847</v>
      </c>
      <c r="F7" s="27">
        <v>-58655</v>
      </c>
    </row>
    <row r="8" spans="1:6" ht="17">
      <c r="A8" s="4" t="s">
        <v>116</v>
      </c>
      <c r="B8" s="27">
        <v>148404</v>
      </c>
      <c r="C8" s="27">
        <v>102012</v>
      </c>
      <c r="D8" s="27">
        <v>93446</v>
      </c>
      <c r="E8" s="27">
        <v>61616</v>
      </c>
      <c r="F8" s="27">
        <v>54225</v>
      </c>
    </row>
    <row r="9" spans="1:6" ht="34">
      <c r="A9" s="4" t="s">
        <v>117</v>
      </c>
      <c r="B9" s="27">
        <v>0</v>
      </c>
      <c r="C9" s="27">
        <v>0</v>
      </c>
      <c r="D9" s="27">
        <v>45</v>
      </c>
      <c r="E9" s="27">
        <v>36</v>
      </c>
      <c r="F9" s="27">
        <v>71</v>
      </c>
    </row>
    <row r="10" spans="1:6">
      <c r="A10" s="61" t="s">
        <v>118</v>
      </c>
      <c r="B10" s="54">
        <v>438458</v>
      </c>
      <c r="C10" s="54">
        <v>202748</v>
      </c>
      <c r="D10" s="54">
        <v>228481</v>
      </c>
      <c r="E10" s="54">
        <v>182256</v>
      </c>
      <c r="F10" s="54">
        <v>132053</v>
      </c>
    </row>
    <row r="11" spans="1:6">
      <c r="A11" s="55" t="s">
        <v>65</v>
      </c>
      <c r="B11" s="55"/>
      <c r="C11" s="55"/>
      <c r="D11" s="55"/>
      <c r="E11" s="55"/>
      <c r="F11" s="55"/>
    </row>
    <row r="12" spans="1:6">
      <c r="A12" s="31"/>
      <c r="B12" s="31"/>
      <c r="C12" s="3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393D2-6D82-3445-B086-1B8A98EB92E4}">
  <dimension ref="A1:F20"/>
  <sheetViews>
    <sheetView topLeftCell="A9" zoomScale="150" workbookViewId="0">
      <selection activeCell="A7" sqref="A7"/>
    </sheetView>
  </sheetViews>
  <sheetFormatPr baseColWidth="10" defaultColWidth="25.83203125" defaultRowHeight="16"/>
  <cols>
    <col min="1" max="1" width="35.83203125" customWidth="1"/>
  </cols>
  <sheetData>
    <row r="1" spans="1:6" ht="29">
      <c r="A1" s="42" t="s">
        <v>0</v>
      </c>
    </row>
    <row r="2" spans="1:6" ht="23">
      <c r="A2" s="49" t="s">
        <v>119</v>
      </c>
    </row>
    <row r="4" spans="1:6">
      <c r="A4" t="s">
        <v>99</v>
      </c>
    </row>
    <row r="5" spans="1:6" ht="17" thickBot="1">
      <c r="A5" s="43" t="s">
        <v>113</v>
      </c>
      <c r="B5" s="51">
        <v>43830</v>
      </c>
      <c r="C5" s="51">
        <v>43465</v>
      </c>
      <c r="D5" s="51">
        <v>43100</v>
      </c>
      <c r="E5" s="51">
        <v>42735</v>
      </c>
      <c r="F5" s="51">
        <v>42369</v>
      </c>
    </row>
    <row r="6" spans="1:6" ht="17">
      <c r="A6" s="4" t="s">
        <v>120</v>
      </c>
      <c r="B6" s="27">
        <v>1866916</v>
      </c>
      <c r="C6" s="27">
        <v>1211242</v>
      </c>
      <c r="D6" s="27">
        <v>558929</v>
      </c>
      <c r="E6" s="27">
        <v>186678</v>
      </c>
      <c r="F6" s="27">
        <v>122641</v>
      </c>
    </row>
    <row r="7" spans="1:6" ht="34">
      <c r="A7" s="3" t="s">
        <v>121</v>
      </c>
      <c r="B7" s="27">
        <v>-94739</v>
      </c>
      <c r="C7" s="27">
        <v>-85520</v>
      </c>
      <c r="D7" s="27">
        <v>-208688</v>
      </c>
      <c r="E7" s="27">
        <v>-46847</v>
      </c>
      <c r="F7" s="27">
        <v>-58655</v>
      </c>
    </row>
    <row r="8" spans="1:6" ht="34">
      <c r="A8" s="3" t="s">
        <v>122</v>
      </c>
      <c r="B8" s="27">
        <v>163846</v>
      </c>
      <c r="C8" s="27">
        <v>142277</v>
      </c>
      <c r="D8" s="27">
        <v>175150</v>
      </c>
      <c r="E8" s="27">
        <v>96751</v>
      </c>
      <c r="F8" s="27">
        <v>72135</v>
      </c>
    </row>
    <row r="9" spans="1:6" ht="32">
      <c r="A9" s="46" t="s">
        <v>123</v>
      </c>
      <c r="B9" s="54">
        <v>69107</v>
      </c>
      <c r="C9" s="54">
        <v>56757</v>
      </c>
      <c r="D9" s="54">
        <v>-33538</v>
      </c>
      <c r="E9" s="54">
        <v>49904</v>
      </c>
      <c r="F9" s="54">
        <v>13480</v>
      </c>
    </row>
    <row r="10" spans="1:6" ht="17">
      <c r="A10" s="3" t="s">
        <v>124</v>
      </c>
      <c r="B10" s="27">
        <v>626023</v>
      </c>
      <c r="C10" s="27">
        <v>420493</v>
      </c>
      <c r="D10" s="27">
        <v>238204</v>
      </c>
      <c r="E10" s="27">
        <v>150114</v>
      </c>
      <c r="F10" s="27">
        <v>132716</v>
      </c>
    </row>
    <row r="11" spans="1:6" ht="34">
      <c r="A11" s="3" t="s">
        <v>125</v>
      </c>
      <c r="B11" s="27">
        <v>80662</v>
      </c>
      <c r="C11" s="27">
        <v>65277</v>
      </c>
      <c r="D11" s="27">
        <v>28784</v>
      </c>
      <c r="E11" s="27">
        <v>25931</v>
      </c>
      <c r="F11" s="27">
        <v>22214</v>
      </c>
    </row>
    <row r="12" spans="1:6">
      <c r="A12" s="53" t="s">
        <v>126</v>
      </c>
      <c r="B12" s="54">
        <v>706685</v>
      </c>
      <c r="C12" s="54">
        <v>485770</v>
      </c>
      <c r="D12" s="54">
        <v>266988</v>
      </c>
      <c r="E12" s="54">
        <v>176045</v>
      </c>
      <c r="F12" s="54">
        <v>154930</v>
      </c>
    </row>
    <row r="13" spans="1:6" ht="17">
      <c r="A13" s="3" t="s">
        <v>127</v>
      </c>
      <c r="B13" s="27">
        <v>-148404</v>
      </c>
      <c r="C13" s="27">
        <v>-102012</v>
      </c>
      <c r="D13" s="27">
        <v>-93446</v>
      </c>
      <c r="E13" s="27">
        <v>-61616</v>
      </c>
      <c r="F13" s="27">
        <v>-54225</v>
      </c>
    </row>
    <row r="14" spans="1:6">
      <c r="A14" s="46" t="s">
        <v>128</v>
      </c>
      <c r="B14" s="54">
        <v>558281</v>
      </c>
      <c r="C14" s="54">
        <v>383758</v>
      </c>
      <c r="D14" s="54">
        <v>173542</v>
      </c>
      <c r="E14" s="54">
        <v>114430</v>
      </c>
      <c r="F14" s="54">
        <v>100704</v>
      </c>
    </row>
    <row r="15" spans="1:6" ht="17">
      <c r="A15" s="3" t="s">
        <v>129</v>
      </c>
      <c r="B15" s="27">
        <v>0</v>
      </c>
      <c r="C15" s="27">
        <v>0</v>
      </c>
      <c r="D15" s="27">
        <v>-129</v>
      </c>
      <c r="E15" s="27">
        <v>-103</v>
      </c>
      <c r="F15" s="27">
        <v>-204</v>
      </c>
    </row>
    <row r="16" spans="1:6">
      <c r="A16" s="53" t="s">
        <v>130</v>
      </c>
      <c r="B16" s="54">
        <v>0</v>
      </c>
      <c r="C16" s="54">
        <v>0</v>
      </c>
      <c r="D16" s="54">
        <v>-129</v>
      </c>
      <c r="E16" s="54">
        <v>-103</v>
      </c>
      <c r="F16" s="54">
        <v>-204</v>
      </c>
    </row>
    <row r="17" spans="1:6" ht="34">
      <c r="A17" s="3" t="s">
        <v>131</v>
      </c>
      <c r="B17" s="27">
        <v>0</v>
      </c>
      <c r="C17" s="27">
        <v>0</v>
      </c>
      <c r="D17" s="27">
        <v>45</v>
      </c>
      <c r="E17" s="27">
        <v>36</v>
      </c>
      <c r="F17" s="27">
        <v>71</v>
      </c>
    </row>
    <row r="18" spans="1:6">
      <c r="A18" s="46" t="s">
        <v>132</v>
      </c>
      <c r="B18" s="54">
        <v>0</v>
      </c>
      <c r="C18" s="54">
        <v>0</v>
      </c>
      <c r="D18" s="54">
        <v>-84</v>
      </c>
      <c r="E18" s="54">
        <v>-67</v>
      </c>
      <c r="F18" s="54">
        <v>-133</v>
      </c>
    </row>
    <row r="19" spans="1:6">
      <c r="A19" s="61" t="s">
        <v>133</v>
      </c>
      <c r="B19" s="54">
        <v>2494304</v>
      </c>
      <c r="C19" s="54">
        <v>1651757</v>
      </c>
      <c r="D19" s="54">
        <v>698849</v>
      </c>
      <c r="E19" s="54">
        <v>350945</v>
      </c>
      <c r="F19" s="54">
        <v>236693</v>
      </c>
    </row>
    <row r="20" spans="1:6">
      <c r="A20" s="55" t="s">
        <v>65</v>
      </c>
      <c r="B20" s="55"/>
      <c r="C20" s="55"/>
      <c r="D20" s="55"/>
      <c r="E20" s="55"/>
      <c r="F20" s="5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EE8BB-9771-E642-9E54-C6CF523A0ED7}">
  <dimension ref="A1:F12"/>
  <sheetViews>
    <sheetView zoomScale="150" workbookViewId="0">
      <selection activeCell="B7" sqref="B7"/>
    </sheetView>
  </sheetViews>
  <sheetFormatPr baseColWidth="10" defaultColWidth="25.83203125" defaultRowHeight="16"/>
  <cols>
    <col min="1" max="1" width="35.83203125" customWidth="1"/>
  </cols>
  <sheetData>
    <row r="1" spans="1:6" ht="29">
      <c r="A1" s="42" t="s">
        <v>0</v>
      </c>
    </row>
    <row r="2" spans="1:6" ht="23">
      <c r="A2" s="49" t="s">
        <v>134</v>
      </c>
    </row>
    <row r="4" spans="1:6">
      <c r="A4" t="s">
        <v>99</v>
      </c>
    </row>
    <row r="5" spans="1:6" ht="17" thickBot="1">
      <c r="A5" s="43" t="s">
        <v>113</v>
      </c>
      <c r="B5" s="51">
        <v>43830</v>
      </c>
      <c r="C5" s="51">
        <v>43465</v>
      </c>
      <c r="D5" s="51">
        <v>43100</v>
      </c>
      <c r="E5" s="51">
        <v>42735</v>
      </c>
      <c r="F5" s="51">
        <v>42369</v>
      </c>
    </row>
    <row r="6" spans="1:6" ht="34">
      <c r="A6" s="4" t="s">
        <v>133</v>
      </c>
      <c r="B6" s="27">
        <v>2494304</v>
      </c>
      <c r="C6" s="27">
        <v>1651757</v>
      </c>
      <c r="D6" s="27">
        <v>698849</v>
      </c>
      <c r="E6" s="27">
        <v>350945</v>
      </c>
      <c r="F6" s="27">
        <v>236693</v>
      </c>
    </row>
    <row r="7" spans="1:6" ht="17">
      <c r="A7" s="4" t="s">
        <v>24</v>
      </c>
      <c r="B7" s="5">
        <v>0.14849999999999999</v>
      </c>
      <c r="C7" s="5">
        <v>0.15240000000000001</v>
      </c>
      <c r="D7" s="5">
        <v>0.15409999999999999</v>
      </c>
      <c r="E7" s="5">
        <v>0.15340000000000001</v>
      </c>
      <c r="F7" s="5">
        <v>0.15310000000000001</v>
      </c>
    </row>
    <row r="8" spans="1:6" ht="17">
      <c r="A8" s="4" t="s">
        <v>67</v>
      </c>
      <c r="B8" s="27">
        <v>24144190</v>
      </c>
      <c r="C8" s="27">
        <v>17072770</v>
      </c>
      <c r="D8" s="27">
        <v>10832398</v>
      </c>
      <c r="E8" s="27">
        <v>6418756</v>
      </c>
      <c r="F8" s="27">
        <v>4681790</v>
      </c>
    </row>
    <row r="10" spans="1:6">
      <c r="A10" s="61" t="s">
        <v>59</v>
      </c>
      <c r="B10" s="54">
        <v>-1091231</v>
      </c>
      <c r="C10" s="54">
        <v>-950210</v>
      </c>
      <c r="D10" s="54">
        <v>-970150</v>
      </c>
      <c r="E10" s="54">
        <v>-633942</v>
      </c>
      <c r="F10" s="54">
        <v>-479904</v>
      </c>
    </row>
    <row r="11" spans="1:6">
      <c r="A11" s="55" t="s">
        <v>65</v>
      </c>
      <c r="B11" s="55"/>
      <c r="C11" s="55"/>
      <c r="D11" s="55"/>
      <c r="E11" s="55"/>
      <c r="F11" s="55"/>
    </row>
    <row r="12" spans="1:6">
      <c r="A12" s="31"/>
      <c r="B12" s="31"/>
      <c r="C12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</vt:lpstr>
      <vt:lpstr>Systematic Risk (β) Estimation</vt:lpstr>
      <vt:lpstr>CAPM</vt:lpstr>
      <vt:lpstr>WACC</vt:lpstr>
      <vt:lpstr>Growth rate</vt:lpstr>
      <vt:lpstr>DCFE Model</vt:lpstr>
      <vt:lpstr>Mutiple</vt:lpstr>
      <vt:lpstr>Profit Margin</vt:lpstr>
      <vt:lpstr>Spread Ratio</vt:lpstr>
      <vt:lpstr>Invested Capital</vt:lpstr>
      <vt:lpstr>Cash operating taxes</vt:lpstr>
      <vt:lpstr>NOPAT</vt:lpstr>
      <vt:lpstr>Econ Profit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Haolin Chi</dc:creator>
  <cp:lastModifiedBy>Haolin Chi</cp:lastModifiedBy>
  <dcterms:created xsi:type="dcterms:W3CDTF">2020-03-10T22:02:34Z</dcterms:created>
  <dcterms:modified xsi:type="dcterms:W3CDTF">2020-03-11T04:01:08Z</dcterms:modified>
</cp:coreProperties>
</file>