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user\Desktop\速速製衣\財務系統\"/>
    </mc:Choice>
  </mc:AlternateContent>
  <xr:revisionPtr revIDLastSave="0" documentId="13_ncr:1_{BB7385FE-1594-4052-A0A6-26C5A96917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1" l="1"/>
  <c r="B52" i="1"/>
  <c r="B50" i="1"/>
  <c r="B48" i="1"/>
  <c r="B46" i="1"/>
  <c r="J36" i="1"/>
  <c r="K36" i="1"/>
  <c r="K35" i="1"/>
  <c r="J35" i="1"/>
  <c r="J34" i="1"/>
  <c r="K34" i="1"/>
  <c r="J33" i="1"/>
  <c r="K33" i="1"/>
  <c r="J32" i="1"/>
  <c r="K32" i="1"/>
  <c r="J26" i="1"/>
  <c r="K26" i="1"/>
  <c r="J24" i="1"/>
  <c r="K24" i="1"/>
  <c r="J22" i="1"/>
  <c r="K22" i="1"/>
  <c r="J20" i="1"/>
  <c r="K20" i="1"/>
  <c r="K7" i="1"/>
  <c r="K11" i="1" s="1"/>
  <c r="K6" i="1"/>
  <c r="J17" i="1"/>
  <c r="J16" i="1"/>
  <c r="J15" i="1"/>
  <c r="J14" i="1"/>
  <c r="J13" i="1"/>
  <c r="J12" i="1"/>
  <c r="K12" i="1"/>
  <c r="J11" i="1"/>
  <c r="J7" i="1"/>
  <c r="G7" i="1"/>
  <c r="G11" i="1" s="1"/>
  <c r="G13" i="1" s="1"/>
  <c r="H7" i="1"/>
  <c r="H11" i="1" s="1"/>
  <c r="H13" i="1" s="1"/>
  <c r="J6" i="1"/>
  <c r="F7" i="1"/>
  <c r="F35" i="1" s="1"/>
  <c r="B44" i="1"/>
  <c r="B38" i="1"/>
  <c r="F36" i="1"/>
  <c r="G36" i="1"/>
  <c r="H36" i="1"/>
  <c r="I36" i="1"/>
  <c r="I35" i="1"/>
  <c r="F34" i="1"/>
  <c r="G34" i="1"/>
  <c r="H34" i="1"/>
  <c r="I34" i="1"/>
  <c r="I33" i="1"/>
  <c r="F32" i="1"/>
  <c r="G32" i="1"/>
  <c r="H32" i="1"/>
  <c r="I32" i="1"/>
  <c r="I26" i="1"/>
  <c r="I6" i="1"/>
  <c r="I11" i="1" s="1"/>
  <c r="G22" i="1"/>
  <c r="H22" i="1"/>
  <c r="I22" i="1"/>
  <c r="G20" i="1"/>
  <c r="H20" i="1"/>
  <c r="I20" i="1"/>
  <c r="I12" i="1"/>
  <c r="H12" i="1"/>
  <c r="H6" i="1"/>
  <c r="G12" i="1"/>
  <c r="G6" i="1"/>
  <c r="F22" i="1"/>
  <c r="F20" i="1"/>
  <c r="F12" i="1"/>
  <c r="F6" i="1"/>
  <c r="E16" i="1"/>
  <c r="E15" i="1"/>
  <c r="E14" i="1"/>
  <c r="D15" i="1"/>
  <c r="D16" i="1"/>
  <c r="D17" i="1"/>
  <c r="E7" i="1"/>
  <c r="E6" i="1"/>
  <c r="D14" i="1"/>
  <c r="D13" i="1"/>
  <c r="D12" i="1"/>
  <c r="D11" i="1"/>
  <c r="D7" i="1"/>
  <c r="D6" i="1"/>
  <c r="C16" i="1"/>
  <c r="C15" i="1"/>
  <c r="C14" i="1"/>
  <c r="C12" i="1"/>
  <c r="C7" i="1"/>
  <c r="C6" i="1"/>
  <c r="K13" i="1" l="1"/>
  <c r="K16" i="1" s="1"/>
  <c r="G35" i="1"/>
  <c r="H35" i="1"/>
  <c r="F11" i="1"/>
  <c r="F13" i="1" s="1"/>
  <c r="I13" i="1"/>
  <c r="I15" i="1" s="1"/>
  <c r="G15" i="1"/>
  <c r="G26" i="1" s="1"/>
  <c r="G16" i="1"/>
  <c r="G14" i="1"/>
  <c r="G24" i="1" s="1"/>
  <c r="H16" i="1"/>
  <c r="H15" i="1"/>
  <c r="H26" i="1" s="1"/>
  <c r="H14" i="1"/>
  <c r="C34" i="1"/>
  <c r="D36" i="1"/>
  <c r="E36" i="1"/>
  <c r="C36" i="1"/>
  <c r="D35" i="1"/>
  <c r="C35" i="1"/>
  <c r="C32" i="1"/>
  <c r="D32" i="1"/>
  <c r="E12" i="1"/>
  <c r="E35" i="1"/>
  <c r="E11" i="1"/>
  <c r="K14" i="1" l="1"/>
  <c r="K17" i="1" s="1"/>
  <c r="K15" i="1"/>
  <c r="G33" i="1"/>
  <c r="F16" i="1"/>
  <c r="C46" i="1" s="1"/>
  <c r="F15" i="1"/>
  <c r="F26" i="1" s="1"/>
  <c r="F14" i="1"/>
  <c r="F24" i="1" s="1"/>
  <c r="H17" i="1"/>
  <c r="H24" i="1"/>
  <c r="H33" i="1" s="1"/>
  <c r="I14" i="1"/>
  <c r="I24" i="1" s="1"/>
  <c r="I16" i="1"/>
  <c r="G17" i="1"/>
  <c r="D34" i="1"/>
  <c r="E34" i="1"/>
  <c r="E13" i="1"/>
  <c r="F33" i="1" l="1"/>
  <c r="F17" i="1"/>
  <c r="A54" i="1" s="1"/>
  <c r="I17" i="1"/>
  <c r="E26" i="1"/>
  <c r="E24" i="1"/>
  <c r="D26" i="1"/>
  <c r="C11" i="1"/>
  <c r="C13" i="1" l="1"/>
  <c r="E33" i="1"/>
  <c r="E17" i="1"/>
  <c r="C24" i="1"/>
  <c r="C26" i="1"/>
  <c r="D24" i="1"/>
  <c r="D33" i="1" l="1"/>
  <c r="C17" i="1"/>
  <c r="C33" i="1"/>
  <c r="B33" i="1" l="1"/>
  <c r="E32" i="1"/>
  <c r="B32" i="1" s="1"/>
  <c r="B35" i="1"/>
  <c r="B34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B36" i="1" l="1"/>
</calcChain>
</file>

<file path=xl/sharedStrings.xml><?xml version="1.0" encoding="utf-8"?>
<sst xmlns="http://schemas.openxmlformats.org/spreadsheetml/2006/main" count="107" uniqueCount="55">
  <si>
    <t xml:space="preserve">2021 xx月份 </t>
    <phoneticPr fontId="1" type="noConversion"/>
  </si>
  <si>
    <t>訂單編號</t>
    <phoneticPr fontId="1" type="noConversion"/>
  </si>
  <si>
    <t>訂單名稱</t>
    <phoneticPr fontId="1" type="noConversion"/>
  </si>
  <si>
    <t>統編</t>
    <phoneticPr fontId="1" type="noConversion"/>
  </si>
  <si>
    <t>銷貨收入</t>
    <phoneticPr fontId="1" type="noConversion"/>
  </si>
  <si>
    <t>銷貨成本</t>
    <phoneticPr fontId="1" type="noConversion"/>
  </si>
  <si>
    <t>物流費用</t>
    <phoneticPr fontId="1" type="noConversion"/>
  </si>
  <si>
    <t>其他收入</t>
    <phoneticPr fontId="1" type="noConversion"/>
  </si>
  <si>
    <t>其他支出</t>
    <phoneticPr fontId="1" type="noConversion"/>
  </si>
  <si>
    <t>美編薪水</t>
    <phoneticPr fontId="1" type="noConversion"/>
  </si>
  <si>
    <t>控貨薪水</t>
    <phoneticPr fontId="1" type="noConversion"/>
  </si>
  <si>
    <t>營業稅</t>
    <phoneticPr fontId="1" type="noConversion"/>
  </si>
  <si>
    <t>稅後淨利</t>
    <phoneticPr fontId="1" type="noConversion"/>
  </si>
  <si>
    <t>薪水計算</t>
    <phoneticPr fontId="1" type="noConversion"/>
  </si>
  <si>
    <t>業務薪水</t>
    <phoneticPr fontId="1" type="noConversion"/>
  </si>
  <si>
    <t>總經理薪水</t>
    <phoneticPr fontId="1" type="noConversion"/>
  </si>
  <si>
    <t>利潤</t>
    <phoneticPr fontId="1" type="noConversion"/>
  </si>
  <si>
    <t>美編</t>
    <phoneticPr fontId="1" type="noConversion"/>
  </si>
  <si>
    <t>控貨</t>
    <phoneticPr fontId="1" type="noConversion"/>
  </si>
  <si>
    <t>業務</t>
    <phoneticPr fontId="1" type="noConversion"/>
  </si>
  <si>
    <t>總經理</t>
    <phoneticPr fontId="1" type="noConversion"/>
  </si>
  <si>
    <t>貨物明細</t>
    <phoneticPr fontId="1" type="noConversion"/>
  </si>
  <si>
    <t>訂單建立時間</t>
    <phoneticPr fontId="1" type="noConversion"/>
  </si>
  <si>
    <t>訂單結案時間</t>
    <phoneticPr fontId="1" type="noConversion"/>
  </si>
  <si>
    <t>花費天數</t>
    <phoneticPr fontId="1" type="noConversion"/>
  </si>
  <si>
    <t>營運銷售概況</t>
    <phoneticPr fontId="1" type="noConversion"/>
  </si>
  <si>
    <t>營業額</t>
    <phoneticPr fontId="1" type="noConversion"/>
  </si>
  <si>
    <t>人事費用</t>
    <phoneticPr fontId="1" type="noConversion"/>
  </si>
  <si>
    <t>製作費用</t>
    <phoneticPr fontId="1" type="noConversion"/>
  </si>
  <si>
    <t>其他費用</t>
    <phoneticPr fontId="1" type="noConversion"/>
  </si>
  <si>
    <t>業務業績</t>
    <phoneticPr fontId="1" type="noConversion"/>
  </si>
  <si>
    <t>田任鈞</t>
    <phoneticPr fontId="1" type="noConversion"/>
  </si>
  <si>
    <t>謝子生</t>
    <phoneticPr fontId="1" type="noConversion"/>
  </si>
  <si>
    <t>劉承軒</t>
    <phoneticPr fontId="1" type="noConversion"/>
  </si>
  <si>
    <t>楊登傑</t>
    <phoneticPr fontId="1" type="noConversion"/>
  </si>
  <si>
    <t>員工當月薪水</t>
    <phoneticPr fontId="1" type="noConversion"/>
  </si>
  <si>
    <t>吳妤賢</t>
    <phoneticPr fontId="1" type="noConversion"/>
  </si>
  <si>
    <t>鄧宇庭</t>
    <phoneticPr fontId="1" type="noConversion"/>
  </si>
  <si>
    <t>總稅後盈餘</t>
    <phoneticPr fontId="1" type="noConversion"/>
  </si>
  <si>
    <t>董事長薪水</t>
    <phoneticPr fontId="1" type="noConversion"/>
  </si>
  <si>
    <t>呂庭羽</t>
    <phoneticPr fontId="1" type="noConversion"/>
  </si>
  <si>
    <t>沈俊宇</t>
    <phoneticPr fontId="1" type="noConversion"/>
  </si>
  <si>
    <t>公司淨利潤</t>
    <phoneticPr fontId="1" type="noConversion"/>
  </si>
  <si>
    <t>中山仁斑斑排</t>
    <phoneticPr fontId="1" type="noConversion"/>
  </si>
  <si>
    <t>aiesec社服</t>
    <phoneticPr fontId="1" type="noConversion"/>
  </si>
  <si>
    <t>否</t>
    <phoneticPr fontId="1" type="noConversion"/>
  </si>
  <si>
    <t>東海法律系學會</t>
    <phoneticPr fontId="1" type="noConversion"/>
  </si>
  <si>
    <t>-</t>
    <phoneticPr fontId="1" type="noConversion"/>
  </si>
  <si>
    <t>附中1563班</t>
    <phoneticPr fontId="1" type="noConversion"/>
  </si>
  <si>
    <t>厚德無名家家服</t>
    <phoneticPr fontId="1" type="noConversion"/>
  </si>
  <si>
    <t>04124664</t>
    <phoneticPr fontId="1" type="noConversion"/>
  </si>
  <si>
    <t>錦屏國小世界展望會</t>
    <phoneticPr fontId="1" type="noConversion"/>
  </si>
  <si>
    <t>關西高中園二班服</t>
    <phoneticPr fontId="1" type="noConversion"/>
  </si>
  <si>
    <t>東興國中17班</t>
    <phoneticPr fontId="1" type="noConversion"/>
  </si>
  <si>
    <t>東興國中數學老師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</si>
</sst>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Microsoft JhengHei Light"/>
      <family val="2"/>
      <charset val="136"/>
    </font>
    <font>
      <sz val="11"/>
      <color theme="0"/>
      <name val="Microsoft JhengHei Light"/>
      <family val="2"/>
      <charset val="136"/>
    </font>
    <font>
      <b/>
      <sz val="11"/>
      <color theme="0"/>
      <name val="Microsoft JhengHei Light"/>
      <family val="2"/>
      <charset val="136"/>
    </font>
    <font>
      <sz val="11"/>
      <color theme="1"/>
      <name val="Microsoft JhengHei UI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0" borderId="0" xfId="0" quotePrefix="1" applyFont="1" applyAlignment="1">
      <alignment horizontal="center"/>
    </xf>
    <xf numFmtId="0" fontId="2" fillId="6" borderId="0" xfId="0" applyFont="1" applyFill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暖調藍色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abSelected="1" topLeftCell="A17" workbookViewId="0">
      <selection activeCell="B52" sqref="B52"/>
    </sheetView>
  </sheetViews>
  <sheetFormatPr defaultRowHeight="14.4" x14ac:dyDescent="0.3"/>
  <cols>
    <col min="1" max="2" width="15.5" style="1" bestFit="1" customWidth="1"/>
    <col min="3" max="3" width="21.375" style="1" bestFit="1" customWidth="1"/>
    <col min="4" max="4" width="23.375" style="1" bestFit="1" customWidth="1"/>
    <col min="5" max="5" width="26.375" style="1" bestFit="1" customWidth="1"/>
    <col min="6" max="6" width="15.875" style="1" bestFit="1" customWidth="1"/>
    <col min="7" max="8" width="23.25" style="1" bestFit="1" customWidth="1"/>
    <col min="9" max="9" width="20.75" style="1" bestFit="1" customWidth="1"/>
    <col min="10" max="10" width="15.625" style="1" bestFit="1" customWidth="1"/>
    <col min="11" max="11" width="20.75" style="1" bestFit="1" customWidth="1"/>
    <col min="12" max="12" width="11.875" style="1" bestFit="1" customWidth="1"/>
    <col min="13" max="16384" width="9" style="1"/>
  </cols>
  <sheetData>
    <row r="1" spans="1:15" s="2" customFormat="1" x14ac:dyDescent="0.3">
      <c r="A1" s="2" t="s">
        <v>0</v>
      </c>
      <c r="B1" s="2" t="s">
        <v>1</v>
      </c>
      <c r="C1" s="2">
        <v>1</v>
      </c>
      <c r="D1" s="2">
        <f>C1+1</f>
        <v>2</v>
      </c>
      <c r="E1" s="2">
        <f t="shared" ref="E1:O1" si="0">D1+1</f>
        <v>3</v>
      </c>
      <c r="F1" s="2">
        <f t="shared" si="0"/>
        <v>4</v>
      </c>
      <c r="G1" s="2">
        <f t="shared" si="0"/>
        <v>5</v>
      </c>
      <c r="H1" s="2">
        <f t="shared" si="0"/>
        <v>6</v>
      </c>
      <c r="I1" s="2">
        <f t="shared" si="0"/>
        <v>7</v>
      </c>
      <c r="J1" s="2">
        <f t="shared" si="0"/>
        <v>8</v>
      </c>
      <c r="K1" s="2">
        <f t="shared" si="0"/>
        <v>9</v>
      </c>
      <c r="L1" s="2">
        <f t="shared" si="0"/>
        <v>10</v>
      </c>
      <c r="M1" s="2">
        <f t="shared" si="0"/>
        <v>11</v>
      </c>
      <c r="N1" s="2">
        <f t="shared" si="0"/>
        <v>12</v>
      </c>
      <c r="O1" s="2">
        <f t="shared" si="0"/>
        <v>13</v>
      </c>
    </row>
    <row r="2" spans="1:15" x14ac:dyDescent="0.3">
      <c r="B2" s="4" t="s">
        <v>2</v>
      </c>
      <c r="C2" s="1" t="s">
        <v>44</v>
      </c>
      <c r="D2" s="1" t="s">
        <v>43</v>
      </c>
      <c r="E2" s="8" t="s">
        <v>46</v>
      </c>
      <c r="F2" s="1" t="s">
        <v>48</v>
      </c>
      <c r="G2" s="8" t="s">
        <v>49</v>
      </c>
      <c r="H2" s="1" t="s">
        <v>51</v>
      </c>
      <c r="I2" s="1" t="s">
        <v>52</v>
      </c>
      <c r="J2" s="1" t="s">
        <v>53</v>
      </c>
      <c r="K2" s="1" t="s">
        <v>54</v>
      </c>
    </row>
    <row r="3" spans="1:15" x14ac:dyDescent="0.3">
      <c r="B3" s="4" t="s">
        <v>3</v>
      </c>
      <c r="C3" s="1">
        <v>99042880</v>
      </c>
      <c r="D3" s="1" t="s">
        <v>45</v>
      </c>
      <c r="E3" s="1" t="s">
        <v>45</v>
      </c>
      <c r="F3" s="1" t="s">
        <v>45</v>
      </c>
      <c r="G3" s="1" t="s">
        <v>45</v>
      </c>
      <c r="H3" s="12" t="s">
        <v>50</v>
      </c>
      <c r="I3" s="1" t="s">
        <v>45</v>
      </c>
      <c r="J3" s="1" t="s">
        <v>45</v>
      </c>
      <c r="K3" s="1" t="s">
        <v>45</v>
      </c>
    </row>
    <row r="4" spans="1:15" x14ac:dyDescent="0.3">
      <c r="B4" s="4" t="s">
        <v>4</v>
      </c>
      <c r="C4" s="1">
        <v>7350</v>
      </c>
      <c r="D4" s="1">
        <v>5000</v>
      </c>
      <c r="E4" s="1">
        <v>6750</v>
      </c>
      <c r="F4" s="1">
        <v>13850</v>
      </c>
      <c r="G4" s="1">
        <v>3752</v>
      </c>
      <c r="H4" s="1">
        <v>8400</v>
      </c>
      <c r="I4" s="1">
        <v>9200</v>
      </c>
      <c r="J4" s="1">
        <v>5874</v>
      </c>
      <c r="K4" s="1">
        <v>6450</v>
      </c>
    </row>
    <row r="5" spans="1:15" x14ac:dyDescent="0.3">
      <c r="B5" s="4" t="s">
        <v>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5" x14ac:dyDescent="0.3">
      <c r="B6" s="4" t="s">
        <v>5</v>
      </c>
      <c r="C6" s="1">
        <f>702*4.5</f>
        <v>3159</v>
      </c>
      <c r="D6" s="1">
        <f>4.5*736</f>
        <v>3312</v>
      </c>
      <c r="E6" s="1">
        <f>ROUNDUP(4.5*661,0)</f>
        <v>2975</v>
      </c>
      <c r="F6" s="1">
        <f>4.5*2124</f>
        <v>9558</v>
      </c>
      <c r="G6" s="1">
        <f>4.5*392</f>
        <v>1764</v>
      </c>
      <c r="H6" s="1">
        <f>ROUNDUP(1235*4.5,0)</f>
        <v>5558</v>
      </c>
      <c r="I6" s="1">
        <f>4.5*792</f>
        <v>3564</v>
      </c>
      <c r="J6" s="1">
        <f>4.5*550</f>
        <v>2475</v>
      </c>
      <c r="K6" s="1">
        <f>4.5*772</f>
        <v>3474</v>
      </c>
    </row>
    <row r="7" spans="1:15" x14ac:dyDescent="0.3">
      <c r="B7" s="4" t="s">
        <v>6</v>
      </c>
      <c r="C7" s="1">
        <f>ROUNDUP(4.5*(5.59/12)*138,0)</f>
        <v>290</v>
      </c>
      <c r="D7" s="1">
        <f>ROUNDUP(4.5*(3.4/9)*117,0)+110</f>
        <v>309</v>
      </c>
      <c r="E7" s="1">
        <f>ROUNDUP(4.5*(4.04/9)*117,0)+110</f>
        <v>347</v>
      </c>
      <c r="F7" s="1">
        <f>ROUNDUP(4.5*(13.42/16)*176,0)+120</f>
        <v>785</v>
      </c>
      <c r="G7" s="1">
        <f>ROUNDUP(4.5*(2/8)*104,0)</f>
        <v>117</v>
      </c>
      <c r="H7" s="1">
        <f>ROUNDUP(4.5*(3/8)*104,0)+247</f>
        <v>423</v>
      </c>
      <c r="I7" s="1">
        <v>0</v>
      </c>
      <c r="J7" s="1">
        <f>ROUNDUP(4.5*(3/8)*104,0)+110</f>
        <v>286</v>
      </c>
      <c r="K7" s="1">
        <f>ROUNDUP(4.5*(5/8)*104,0)+180</f>
        <v>473</v>
      </c>
    </row>
    <row r="8" spans="1:15" x14ac:dyDescent="0.3">
      <c r="B8" s="4" t="s">
        <v>8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5" x14ac:dyDescent="0.3">
      <c r="B9" s="4" t="s">
        <v>9</v>
      </c>
      <c r="C9" s="1">
        <v>500</v>
      </c>
      <c r="D9" s="1">
        <v>500</v>
      </c>
      <c r="E9" s="1">
        <v>0</v>
      </c>
      <c r="F9" s="1">
        <v>500</v>
      </c>
      <c r="G9" s="1">
        <v>500</v>
      </c>
      <c r="H9" s="1">
        <v>1000</v>
      </c>
      <c r="I9" s="1">
        <v>500</v>
      </c>
      <c r="J9" s="1">
        <v>500</v>
      </c>
      <c r="K9" s="1">
        <v>500</v>
      </c>
    </row>
    <row r="10" spans="1:15" x14ac:dyDescent="0.3">
      <c r="B10" s="4" t="s">
        <v>10</v>
      </c>
      <c r="C10" s="1">
        <v>500</v>
      </c>
      <c r="D10" s="1">
        <v>500</v>
      </c>
      <c r="E10" s="1">
        <v>500</v>
      </c>
      <c r="F10" s="1">
        <v>500</v>
      </c>
      <c r="G10" s="1">
        <v>500</v>
      </c>
      <c r="H10" s="1">
        <v>500</v>
      </c>
      <c r="I10" s="1">
        <v>500</v>
      </c>
      <c r="J10" s="1">
        <v>500</v>
      </c>
      <c r="K10" s="1">
        <v>500</v>
      </c>
    </row>
    <row r="11" spans="1:15" x14ac:dyDescent="0.3">
      <c r="B11" s="4" t="s">
        <v>16</v>
      </c>
      <c r="C11" s="1">
        <f t="shared" ref="C11:H11" si="1">C4+C5-C6-C7-C8-C9-C10</f>
        <v>2901</v>
      </c>
      <c r="D11" s="1">
        <f t="shared" si="1"/>
        <v>379</v>
      </c>
      <c r="E11" s="1">
        <f t="shared" si="1"/>
        <v>2928</v>
      </c>
      <c r="F11" s="1">
        <f>F4+F5-F6-F7-F8-F9-F10</f>
        <v>2507</v>
      </c>
      <c r="G11" s="1">
        <f t="shared" si="1"/>
        <v>871</v>
      </c>
      <c r="H11" s="1">
        <f t="shared" si="1"/>
        <v>919</v>
      </c>
      <c r="I11" s="1">
        <f t="shared" ref="I11:K11" si="2">I4+I5-I6-I7-I8-I9-I10</f>
        <v>4636</v>
      </c>
      <c r="J11" s="1">
        <f t="shared" si="2"/>
        <v>2113</v>
      </c>
      <c r="K11" s="1">
        <f t="shared" si="2"/>
        <v>1503</v>
      </c>
    </row>
    <row r="12" spans="1:15" x14ac:dyDescent="0.3">
      <c r="B12" s="4" t="s">
        <v>11</v>
      </c>
      <c r="C12" s="1">
        <f>ROUNDUP(IF(C3&lt;&gt;"否",C4*0.05,0),0)</f>
        <v>368</v>
      </c>
      <c r="D12" s="1">
        <f>ROUNDUP(IF(D3&lt;&gt;"否",D4*0.05,0),0)</f>
        <v>0</v>
      </c>
      <c r="E12" s="1">
        <f>IF(E3&lt;&gt;"否",E4*0.05,0)</f>
        <v>0</v>
      </c>
      <c r="F12" s="1">
        <f>IF(F3&lt;&gt;"否",F4*0.05,0)</f>
        <v>0</v>
      </c>
      <c r="G12" s="1">
        <f>IF(G3&lt;&gt;"否",G4*0.05,0)</f>
        <v>0</v>
      </c>
      <c r="H12" s="1">
        <f>IF(H3&lt;&gt;"否",H4*0.05,0)</f>
        <v>420</v>
      </c>
      <c r="I12" s="1">
        <f t="shared" ref="I12:K12" si="3">IF(I3&lt;&gt;"否",I4*0.05,0)</f>
        <v>0</v>
      </c>
      <c r="J12" s="1">
        <f t="shared" si="3"/>
        <v>0</v>
      </c>
      <c r="K12" s="1">
        <f t="shared" si="3"/>
        <v>0</v>
      </c>
    </row>
    <row r="13" spans="1:15" x14ac:dyDescent="0.3">
      <c r="B13" s="4" t="s">
        <v>12</v>
      </c>
      <c r="C13" s="1">
        <f t="shared" ref="C13:H13" si="4">C11-C12</f>
        <v>2533</v>
      </c>
      <c r="D13" s="1">
        <f t="shared" si="4"/>
        <v>379</v>
      </c>
      <c r="E13" s="1">
        <f t="shared" si="4"/>
        <v>2928</v>
      </c>
      <c r="F13" s="1">
        <f t="shared" si="4"/>
        <v>2507</v>
      </c>
      <c r="G13" s="1">
        <f t="shared" si="4"/>
        <v>871</v>
      </c>
      <c r="H13" s="1">
        <f t="shared" si="4"/>
        <v>499</v>
      </c>
      <c r="I13" s="1">
        <f t="shared" ref="I13:K13" si="5">I11-I12</f>
        <v>4636</v>
      </c>
      <c r="J13" s="1">
        <f t="shared" si="5"/>
        <v>2113</v>
      </c>
      <c r="K13" s="1">
        <f t="shared" si="5"/>
        <v>1503</v>
      </c>
    </row>
    <row r="14" spans="1:15" x14ac:dyDescent="0.3">
      <c r="B14" s="4" t="s">
        <v>14</v>
      </c>
      <c r="C14" s="1">
        <f t="shared" ref="C14:H14" si="6">ROUNDUP(C13*0.5,0)</f>
        <v>1267</v>
      </c>
      <c r="D14" s="1">
        <f t="shared" si="6"/>
        <v>190</v>
      </c>
      <c r="E14" s="1">
        <f t="shared" si="6"/>
        <v>1464</v>
      </c>
      <c r="F14" s="1">
        <f t="shared" si="6"/>
        <v>1254</v>
      </c>
      <c r="G14" s="1">
        <f t="shared" si="6"/>
        <v>436</v>
      </c>
      <c r="H14" s="1">
        <f t="shared" si="6"/>
        <v>250</v>
      </c>
      <c r="I14" s="1">
        <f t="shared" ref="I14:K14" si="7">ROUNDUP(I13*0.5,0)</f>
        <v>2318</v>
      </c>
      <c r="J14" s="1">
        <f t="shared" si="7"/>
        <v>1057</v>
      </c>
      <c r="K14" s="1">
        <f t="shared" si="7"/>
        <v>752</v>
      </c>
    </row>
    <row r="15" spans="1:15" x14ac:dyDescent="0.3">
      <c r="B15" s="4" t="s">
        <v>15</v>
      </c>
      <c r="C15" s="1">
        <f t="shared" ref="C15:H15" si="8">ROUNDUP(C13*0.2,0)</f>
        <v>507</v>
      </c>
      <c r="D15" s="1">
        <f t="shared" si="8"/>
        <v>76</v>
      </c>
      <c r="E15" s="1">
        <f t="shared" si="8"/>
        <v>586</v>
      </c>
      <c r="F15" s="1">
        <f t="shared" si="8"/>
        <v>502</v>
      </c>
      <c r="G15" s="1">
        <f t="shared" si="8"/>
        <v>175</v>
      </c>
      <c r="H15" s="1">
        <f t="shared" si="8"/>
        <v>100</v>
      </c>
      <c r="I15" s="1">
        <f t="shared" ref="I15:K15" si="9">ROUNDUP(I13*0.2,0)</f>
        <v>928</v>
      </c>
      <c r="J15" s="1">
        <f t="shared" si="9"/>
        <v>423</v>
      </c>
      <c r="K15" s="1">
        <f t="shared" si="9"/>
        <v>301</v>
      </c>
    </row>
    <row r="16" spans="1:15" x14ac:dyDescent="0.3">
      <c r="B16" s="4" t="s">
        <v>39</v>
      </c>
      <c r="C16" s="1">
        <f t="shared" ref="C16:H16" si="10">ROUNDUP(C13*0.2,0)</f>
        <v>507</v>
      </c>
      <c r="D16" s="1">
        <f t="shared" si="10"/>
        <v>76</v>
      </c>
      <c r="E16" s="1">
        <f t="shared" si="10"/>
        <v>586</v>
      </c>
      <c r="F16" s="1">
        <f t="shared" si="10"/>
        <v>502</v>
      </c>
      <c r="G16" s="1">
        <f t="shared" si="10"/>
        <v>175</v>
      </c>
      <c r="H16" s="1">
        <f t="shared" si="10"/>
        <v>100</v>
      </c>
      <c r="I16" s="1">
        <f t="shared" ref="I16:K16" si="11">ROUNDUP(I13*0.2,0)</f>
        <v>928</v>
      </c>
      <c r="J16" s="1">
        <f t="shared" si="11"/>
        <v>423</v>
      </c>
      <c r="K16" s="1">
        <f t="shared" si="11"/>
        <v>301</v>
      </c>
    </row>
    <row r="17" spans="1:12" x14ac:dyDescent="0.3">
      <c r="B17" s="4" t="s">
        <v>42</v>
      </c>
      <c r="C17" s="1">
        <f>C13-C14-C15-C16</f>
        <v>252</v>
      </c>
      <c r="D17" s="1">
        <f>D13-D14-D15-D16</f>
        <v>37</v>
      </c>
      <c r="E17" s="1">
        <f t="shared" ref="E17:K17" si="12">E13-E14-E15-E16</f>
        <v>292</v>
      </c>
      <c r="F17" s="1">
        <f t="shared" si="12"/>
        <v>249</v>
      </c>
      <c r="G17" s="1">
        <f t="shared" si="12"/>
        <v>85</v>
      </c>
      <c r="H17" s="1">
        <f t="shared" si="12"/>
        <v>49</v>
      </c>
      <c r="I17" s="1">
        <f t="shared" si="12"/>
        <v>462</v>
      </c>
      <c r="J17" s="1">
        <f t="shared" si="12"/>
        <v>210</v>
      </c>
      <c r="K17" s="1">
        <f t="shared" si="12"/>
        <v>149</v>
      </c>
    </row>
    <row r="18" spans="1:12" s="3" customFormat="1" x14ac:dyDescent="0.3">
      <c r="B18" s="3" t="s">
        <v>13</v>
      </c>
    </row>
    <row r="19" spans="1:12" x14ac:dyDescent="0.3">
      <c r="B19" s="5" t="s">
        <v>17</v>
      </c>
      <c r="C19" s="8" t="s">
        <v>37</v>
      </c>
      <c r="D19" s="1" t="s">
        <v>36</v>
      </c>
      <c r="E19" s="1" t="s">
        <v>47</v>
      </c>
      <c r="F19" s="1" t="s">
        <v>36</v>
      </c>
      <c r="G19" s="8" t="s">
        <v>37</v>
      </c>
      <c r="H19" s="8" t="s">
        <v>37</v>
      </c>
      <c r="I19" s="1" t="s">
        <v>36</v>
      </c>
      <c r="J19" s="8"/>
      <c r="K19" s="8" t="s">
        <v>37</v>
      </c>
      <c r="L19" s="8"/>
    </row>
    <row r="20" spans="1:12" x14ac:dyDescent="0.3">
      <c r="B20" s="5" t="s">
        <v>9</v>
      </c>
      <c r="C20" s="1">
        <v>500</v>
      </c>
      <c r="D20" s="1">
        <v>500</v>
      </c>
      <c r="E20" s="1">
        <v>0</v>
      </c>
      <c r="F20" s="1">
        <f>F9</f>
        <v>500</v>
      </c>
      <c r="G20" s="1">
        <f t="shared" ref="G20:K20" si="13">G9</f>
        <v>500</v>
      </c>
      <c r="H20" s="1">
        <f t="shared" si="13"/>
        <v>1000</v>
      </c>
      <c r="I20" s="1">
        <f t="shared" si="13"/>
        <v>500</v>
      </c>
      <c r="J20" s="1">
        <f t="shared" si="13"/>
        <v>500</v>
      </c>
      <c r="K20" s="1">
        <f t="shared" si="13"/>
        <v>500</v>
      </c>
    </row>
    <row r="21" spans="1:12" x14ac:dyDescent="0.3">
      <c r="B21" s="5" t="s">
        <v>18</v>
      </c>
      <c r="C21" s="1" t="s">
        <v>31</v>
      </c>
      <c r="D21" s="1" t="s">
        <v>31</v>
      </c>
      <c r="E21" s="1" t="s">
        <v>31</v>
      </c>
      <c r="F21" s="1" t="s">
        <v>31</v>
      </c>
      <c r="G21" s="1" t="s">
        <v>31</v>
      </c>
      <c r="H21" s="1" t="s">
        <v>31</v>
      </c>
      <c r="I21" s="1" t="s">
        <v>31</v>
      </c>
      <c r="J21" s="1" t="s">
        <v>31</v>
      </c>
      <c r="K21" s="1" t="s">
        <v>31</v>
      </c>
    </row>
    <row r="22" spans="1:12" x14ac:dyDescent="0.3">
      <c r="B22" s="5" t="s">
        <v>10</v>
      </c>
      <c r="C22" s="1">
        <v>500</v>
      </c>
      <c r="D22" s="1">
        <v>500</v>
      </c>
      <c r="E22" s="1">
        <v>500</v>
      </c>
      <c r="F22" s="1">
        <f>F10</f>
        <v>500</v>
      </c>
      <c r="G22" s="1">
        <f t="shared" ref="G22:K22" si="14">G10</f>
        <v>500</v>
      </c>
      <c r="H22" s="1">
        <f t="shared" si="14"/>
        <v>500</v>
      </c>
      <c r="I22" s="1">
        <f t="shared" si="14"/>
        <v>500</v>
      </c>
      <c r="J22" s="1">
        <f t="shared" si="14"/>
        <v>500</v>
      </c>
      <c r="K22" s="1">
        <f t="shared" si="14"/>
        <v>500</v>
      </c>
    </row>
    <row r="23" spans="1:12" x14ac:dyDescent="0.3">
      <c r="B23" s="5" t="s">
        <v>19</v>
      </c>
      <c r="C23" s="1" t="s">
        <v>31</v>
      </c>
      <c r="D23" s="1" t="s">
        <v>31</v>
      </c>
      <c r="E23" s="1" t="s">
        <v>31</v>
      </c>
      <c r="F23" s="1" t="s">
        <v>31</v>
      </c>
      <c r="G23" s="1" t="s">
        <v>40</v>
      </c>
      <c r="H23" s="1" t="s">
        <v>31</v>
      </c>
      <c r="I23" s="1" t="s">
        <v>31</v>
      </c>
      <c r="J23" s="1" t="s">
        <v>33</v>
      </c>
      <c r="K23" s="1" t="s">
        <v>31</v>
      </c>
    </row>
    <row r="24" spans="1:12" x14ac:dyDescent="0.3">
      <c r="B24" s="5" t="s">
        <v>14</v>
      </c>
      <c r="C24" s="1">
        <f>C14</f>
        <v>1267</v>
      </c>
      <c r="D24" s="1">
        <f>D14</f>
        <v>190</v>
      </c>
      <c r="E24" s="1">
        <f>E14</f>
        <v>1464</v>
      </c>
      <c r="F24" s="1">
        <f>F14</f>
        <v>1254</v>
      </c>
      <c r="G24" s="1">
        <f t="shared" ref="G24:K24" si="15">G14</f>
        <v>436</v>
      </c>
      <c r="H24" s="1">
        <f t="shared" si="15"/>
        <v>250</v>
      </c>
      <c r="I24" s="1">
        <f t="shared" si="15"/>
        <v>2318</v>
      </c>
      <c r="J24" s="1">
        <f t="shared" si="15"/>
        <v>1057</v>
      </c>
      <c r="K24" s="1">
        <f t="shared" si="15"/>
        <v>752</v>
      </c>
    </row>
    <row r="25" spans="1:12" x14ac:dyDescent="0.3">
      <c r="B25" s="5" t="s">
        <v>20</v>
      </c>
      <c r="C25" s="1" t="s">
        <v>31</v>
      </c>
      <c r="D25" s="1" t="s">
        <v>31</v>
      </c>
      <c r="E25" s="1" t="s">
        <v>31</v>
      </c>
      <c r="F25" s="1" t="s">
        <v>31</v>
      </c>
      <c r="G25" s="1" t="s">
        <v>31</v>
      </c>
      <c r="H25" s="1" t="s">
        <v>31</v>
      </c>
      <c r="I25" s="1" t="s">
        <v>31</v>
      </c>
      <c r="J25" s="1" t="s">
        <v>31</v>
      </c>
      <c r="K25" s="1" t="s">
        <v>31</v>
      </c>
    </row>
    <row r="26" spans="1:12" x14ac:dyDescent="0.3">
      <c r="B26" s="5" t="s">
        <v>15</v>
      </c>
      <c r="C26" s="1">
        <f>C15</f>
        <v>507</v>
      </c>
      <c r="D26" s="1">
        <f t="shared" ref="D26:E26" si="16">D15</f>
        <v>76</v>
      </c>
      <c r="E26" s="1">
        <f t="shared" si="16"/>
        <v>586</v>
      </c>
      <c r="F26" s="1">
        <f>F15</f>
        <v>502</v>
      </c>
      <c r="G26" s="1">
        <f t="shared" ref="G26:K26" si="17">G15</f>
        <v>175</v>
      </c>
      <c r="H26" s="1">
        <f t="shared" si="17"/>
        <v>100</v>
      </c>
      <c r="I26" s="1">
        <f t="shared" si="17"/>
        <v>928</v>
      </c>
      <c r="J26" s="1">
        <f t="shared" si="17"/>
        <v>423</v>
      </c>
      <c r="K26" s="1">
        <f t="shared" si="17"/>
        <v>301</v>
      </c>
    </row>
    <row r="27" spans="1:12" s="3" customFormat="1" x14ac:dyDescent="0.3">
      <c r="B27" s="3" t="s">
        <v>21</v>
      </c>
    </row>
    <row r="28" spans="1:12" x14ac:dyDescent="0.3">
      <c r="B28" s="6" t="s">
        <v>22</v>
      </c>
    </row>
    <row r="29" spans="1:12" x14ac:dyDescent="0.3">
      <c r="B29" s="6" t="s">
        <v>23</v>
      </c>
    </row>
    <row r="30" spans="1:12" x14ac:dyDescent="0.3">
      <c r="B30" s="6" t="s">
        <v>24</v>
      </c>
    </row>
    <row r="31" spans="1:12" s="3" customFormat="1" x14ac:dyDescent="0.3">
      <c r="A31" s="3" t="s">
        <v>25</v>
      </c>
    </row>
    <row r="32" spans="1:12" x14ac:dyDescent="0.3">
      <c r="A32" s="7" t="s">
        <v>26</v>
      </c>
      <c r="B32" s="7">
        <f>SUM(C32:L32)</f>
        <v>66626</v>
      </c>
      <c r="C32" s="1">
        <f>C4</f>
        <v>7350</v>
      </c>
      <c r="D32" s="1">
        <f>D4</f>
        <v>5000</v>
      </c>
      <c r="E32" s="1">
        <f>E4</f>
        <v>6750</v>
      </c>
      <c r="F32" s="1">
        <f t="shared" ref="F32:K32" si="18">F4</f>
        <v>13850</v>
      </c>
      <c r="G32" s="1">
        <f t="shared" si="18"/>
        <v>3752</v>
      </c>
      <c r="H32" s="1">
        <f t="shared" si="18"/>
        <v>8400</v>
      </c>
      <c r="I32" s="1">
        <f t="shared" si="18"/>
        <v>9200</v>
      </c>
      <c r="J32" s="1">
        <f t="shared" si="18"/>
        <v>5874</v>
      </c>
      <c r="K32" s="1">
        <f t="shared" si="18"/>
        <v>6450</v>
      </c>
    </row>
    <row r="33" spans="1:11" x14ac:dyDescent="0.3">
      <c r="A33" s="7" t="s">
        <v>27</v>
      </c>
      <c r="B33" s="10">
        <f>SUM(C33:L33)</f>
        <v>21586</v>
      </c>
      <c r="C33" s="1">
        <f>C20+C22+C24+C26</f>
        <v>2774</v>
      </c>
      <c r="D33" s="1">
        <f t="shared" ref="D33:K33" si="19">D20+D22+D24+D26</f>
        <v>1266</v>
      </c>
      <c r="E33" s="1">
        <f t="shared" si="19"/>
        <v>2550</v>
      </c>
      <c r="F33" s="1">
        <f t="shared" si="19"/>
        <v>2756</v>
      </c>
      <c r="G33" s="1">
        <f t="shared" si="19"/>
        <v>1611</v>
      </c>
      <c r="H33" s="1">
        <f t="shared" si="19"/>
        <v>1850</v>
      </c>
      <c r="I33" s="1">
        <f t="shared" si="19"/>
        <v>4246</v>
      </c>
      <c r="J33" s="1">
        <f t="shared" si="19"/>
        <v>2480</v>
      </c>
      <c r="K33" s="1">
        <f t="shared" si="19"/>
        <v>2053</v>
      </c>
    </row>
    <row r="34" spans="1:11" x14ac:dyDescent="0.3">
      <c r="A34" s="7" t="s">
        <v>28</v>
      </c>
      <c r="B34" s="10">
        <f t="shared" ref="B34:B36" si="20">SUM(C34:L34)</f>
        <v>35839</v>
      </c>
      <c r="C34" s="1">
        <f>C6</f>
        <v>3159</v>
      </c>
      <c r="D34" s="1">
        <f t="shared" ref="D34:K34" si="21">D6</f>
        <v>3312</v>
      </c>
      <c r="E34" s="1">
        <f t="shared" si="21"/>
        <v>2975</v>
      </c>
      <c r="F34" s="1">
        <f t="shared" si="21"/>
        <v>9558</v>
      </c>
      <c r="G34" s="1">
        <f t="shared" si="21"/>
        <v>1764</v>
      </c>
      <c r="H34" s="1">
        <f t="shared" si="21"/>
        <v>5558</v>
      </c>
      <c r="I34" s="1">
        <f t="shared" si="21"/>
        <v>3564</v>
      </c>
      <c r="J34" s="1">
        <f t="shared" si="21"/>
        <v>2475</v>
      </c>
      <c r="K34" s="1">
        <f t="shared" si="21"/>
        <v>3474</v>
      </c>
    </row>
    <row r="35" spans="1:11" x14ac:dyDescent="0.3">
      <c r="A35" s="7" t="s">
        <v>6</v>
      </c>
      <c r="B35" s="10">
        <f t="shared" si="20"/>
        <v>3030</v>
      </c>
      <c r="C35" s="1">
        <f>C7</f>
        <v>290</v>
      </c>
      <c r="D35" s="1">
        <f t="shared" ref="D35:K35" si="22">D7</f>
        <v>309</v>
      </c>
      <c r="E35" s="1">
        <f t="shared" si="22"/>
        <v>347</v>
      </c>
      <c r="F35" s="1">
        <f t="shared" si="22"/>
        <v>785</v>
      </c>
      <c r="G35" s="1">
        <f t="shared" si="22"/>
        <v>117</v>
      </c>
      <c r="H35" s="1">
        <f t="shared" si="22"/>
        <v>423</v>
      </c>
      <c r="I35" s="1">
        <f t="shared" si="22"/>
        <v>0</v>
      </c>
      <c r="J35" s="1">
        <f t="shared" si="22"/>
        <v>286</v>
      </c>
      <c r="K35" s="1">
        <f t="shared" si="22"/>
        <v>473</v>
      </c>
    </row>
    <row r="36" spans="1:11" x14ac:dyDescent="0.3">
      <c r="A36" s="7" t="s">
        <v>29</v>
      </c>
      <c r="B36" s="10">
        <f t="shared" si="20"/>
        <v>0</v>
      </c>
      <c r="C36" s="1">
        <f>C8</f>
        <v>0</v>
      </c>
      <c r="D36" s="1">
        <f t="shared" ref="D36:K36" si="23">D8</f>
        <v>0</v>
      </c>
      <c r="E36" s="1">
        <f t="shared" si="23"/>
        <v>0</v>
      </c>
      <c r="F36" s="1">
        <f t="shared" si="23"/>
        <v>0</v>
      </c>
      <c r="G36" s="1">
        <f t="shared" si="23"/>
        <v>0</v>
      </c>
      <c r="H36" s="1">
        <f t="shared" si="23"/>
        <v>0</v>
      </c>
      <c r="I36" s="1">
        <f t="shared" si="23"/>
        <v>0</v>
      </c>
      <c r="J36" s="1">
        <f t="shared" si="23"/>
        <v>0</v>
      </c>
      <c r="K36" s="1">
        <f t="shared" si="23"/>
        <v>0</v>
      </c>
    </row>
    <row r="37" spans="1:11" s="3" customFormat="1" x14ac:dyDescent="0.3">
      <c r="A37" s="3" t="s">
        <v>30</v>
      </c>
    </row>
    <row r="38" spans="1:11" x14ac:dyDescent="0.3">
      <c r="A38" s="7" t="s">
        <v>31</v>
      </c>
      <c r="B38" s="11">
        <f>C4+E4+D4+F4+H4+I4</f>
        <v>50550</v>
      </c>
    </row>
    <row r="39" spans="1:11" x14ac:dyDescent="0.3">
      <c r="A39" s="7" t="s">
        <v>32</v>
      </c>
      <c r="B39" s="7">
        <v>0</v>
      </c>
    </row>
    <row r="40" spans="1:11" x14ac:dyDescent="0.3">
      <c r="A40" s="7" t="s">
        <v>33</v>
      </c>
      <c r="B40" s="7">
        <v>0</v>
      </c>
    </row>
    <row r="41" spans="1:11" x14ac:dyDescent="0.3">
      <c r="A41" s="11" t="s">
        <v>34</v>
      </c>
      <c r="B41" s="11">
        <v>0</v>
      </c>
    </row>
    <row r="42" spans="1:11" x14ac:dyDescent="0.3">
      <c r="A42" s="7" t="s">
        <v>34</v>
      </c>
      <c r="B42" s="7">
        <v>0</v>
      </c>
    </row>
    <row r="43" spans="1:11" x14ac:dyDescent="0.3">
      <c r="A43" s="10" t="s">
        <v>41</v>
      </c>
      <c r="B43" s="10">
        <v>0</v>
      </c>
    </row>
    <row r="44" spans="1:11" x14ac:dyDescent="0.3">
      <c r="A44" s="9" t="s">
        <v>40</v>
      </c>
      <c r="B44" s="7">
        <f>G4</f>
        <v>3752</v>
      </c>
    </row>
    <row r="45" spans="1:11" s="3" customFormat="1" x14ac:dyDescent="0.3">
      <c r="A45" s="3" t="s">
        <v>35</v>
      </c>
      <c r="C45" s="3" t="s">
        <v>39</v>
      </c>
    </row>
    <row r="46" spans="1:11" x14ac:dyDescent="0.3">
      <c r="A46" s="7" t="s">
        <v>31</v>
      </c>
      <c r="B46" s="7">
        <f>SUM(C26:I26)+C24+D24+E24+F24+H24+I24+SUM(C22:I22)+J26+K26+K24+J22+K22</f>
        <v>15593</v>
      </c>
      <c r="C46" s="9">
        <f>SUM(C16:I16)</f>
        <v>2874</v>
      </c>
    </row>
    <row r="47" spans="1:11" x14ac:dyDescent="0.3">
      <c r="A47" s="7" t="s">
        <v>32</v>
      </c>
      <c r="B47" s="7">
        <v>0</v>
      </c>
    </row>
    <row r="48" spans="1:11" x14ac:dyDescent="0.3">
      <c r="A48" s="7" t="s">
        <v>33</v>
      </c>
      <c r="B48" s="7">
        <f>J24</f>
        <v>1057</v>
      </c>
    </row>
    <row r="49" spans="1:2" x14ac:dyDescent="0.3">
      <c r="A49" s="7" t="s">
        <v>34</v>
      </c>
      <c r="B49" s="7">
        <v>0</v>
      </c>
    </row>
    <row r="50" spans="1:2" x14ac:dyDescent="0.3">
      <c r="A50" s="7" t="s">
        <v>40</v>
      </c>
      <c r="B50" s="7">
        <f>G24</f>
        <v>436</v>
      </c>
    </row>
    <row r="51" spans="1:2" x14ac:dyDescent="0.3">
      <c r="A51" s="7" t="s">
        <v>36</v>
      </c>
      <c r="B51" s="7">
        <f>D20+F20+I20</f>
        <v>1500</v>
      </c>
    </row>
    <row r="52" spans="1:2" x14ac:dyDescent="0.3">
      <c r="A52" s="7" t="s">
        <v>37</v>
      </c>
      <c r="B52" s="7">
        <f>C20+G20+H20+K20</f>
        <v>2500</v>
      </c>
    </row>
    <row r="53" spans="1:2" s="3" customFormat="1" x14ac:dyDescent="0.3">
      <c r="A53" s="3" t="s">
        <v>38</v>
      </c>
    </row>
    <row r="54" spans="1:2" x14ac:dyDescent="0.3">
      <c r="A54" s="13">
        <f>SUM(C17:I17)</f>
        <v>1426</v>
      </c>
      <c r="B54" s="13"/>
    </row>
  </sheetData>
  <mergeCells count="1">
    <mergeCell ref="A54:B5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2022-04-02T08:29:52Z</dcterms:modified>
</cp:coreProperties>
</file>