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Downloads\"/>
    </mc:Choice>
  </mc:AlternateContent>
  <bookViews>
    <workbookView xWindow="0" yWindow="1200" windowWidth="5370" windowHeight="4860"/>
  </bookViews>
  <sheets>
    <sheet name="Comparable Properties" sheetId="5" r:id="rId1"/>
    <sheet name="Model Assumptions" sheetId="4" r:id="rId2"/>
    <sheet name="Income and Expenses" sheetId="1" r:id="rId3"/>
    <sheet name="Yearly Projections" sheetId="3" r:id="rId4"/>
  </sheets>
  <definedNames>
    <definedName name="_xlnm._FilterDatabase" localSheetId="0" hidden="1">'Comparable Properties'!#REF!</definedName>
    <definedName name="_xlnm._FilterDatabase" localSheetId="2" hidden="1">'Income and Expenses'!$D$8:$E$9</definedName>
    <definedName name="BalanceRange2">#REF!:OFFSET(#REF!,#REF!*#REF!,0)</definedName>
    <definedName name="Neg">'Income and Expenses'!$E$38</definedName>
    <definedName name="PName">'Comparable Properties'!$A$7</definedName>
    <definedName name="Title">'Comparable Properties'!$A$4</definedName>
  </definedNames>
  <calcPr calcId="152511"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1" l="1"/>
  <c r="B16" i="1"/>
  <c r="E4" i="1"/>
  <c r="E16" i="1"/>
  <c r="D5" i="4"/>
  <c r="A26" i="3"/>
  <c r="B26" i="3"/>
  <c r="A27" i="3"/>
  <c r="A28" i="3"/>
  <c r="B28" i="3"/>
  <c r="C28" i="3"/>
  <c r="D28" i="3"/>
  <c r="E28" i="3"/>
  <c r="F28" i="3"/>
  <c r="G28" i="3"/>
  <c r="H28" i="3"/>
  <c r="I28" i="3"/>
  <c r="J28" i="3"/>
  <c r="K28" i="3"/>
  <c r="A29" i="3"/>
  <c r="A30" i="3"/>
  <c r="C30" i="3"/>
  <c r="D30" i="3"/>
  <c r="E30" i="3"/>
  <c r="F30" i="3"/>
  <c r="G30" i="3"/>
  <c r="H30" i="3"/>
  <c r="I30" i="3"/>
  <c r="J30" i="3"/>
  <c r="K30" i="3"/>
  <c r="A31" i="3"/>
  <c r="A32" i="3"/>
  <c r="A33" i="3"/>
  <c r="A35" i="3"/>
  <c r="B36" i="3"/>
  <c r="C36" i="3"/>
  <c r="D36" i="3"/>
  <c r="E36" i="3"/>
  <c r="F36" i="3"/>
  <c r="G36" i="3"/>
  <c r="H36" i="3"/>
  <c r="I36" i="3"/>
  <c r="J36" i="3"/>
  <c r="K36" i="3"/>
  <c r="A37" i="3"/>
  <c r="A38" i="3"/>
  <c r="C38" i="3"/>
  <c r="D38" i="3"/>
  <c r="E38" i="3"/>
  <c r="F38" i="3"/>
  <c r="G38" i="3"/>
  <c r="H38" i="3"/>
  <c r="I38" i="3"/>
  <c r="J38" i="3"/>
  <c r="K38" i="3"/>
  <c r="A39" i="3"/>
  <c r="A40" i="3"/>
  <c r="A41" i="3"/>
  <c r="A43" i="3"/>
  <c r="A44" i="3"/>
  <c r="E30" i="1"/>
  <c r="B6" i="3"/>
  <c r="B29" i="3"/>
  <c r="E22" i="1"/>
  <c r="D10" i="4"/>
  <c r="B15" i="3"/>
  <c r="B38" i="3"/>
  <c r="E24" i="1"/>
  <c r="E12" i="1"/>
  <c r="E6" i="1"/>
  <c r="E13" i="1"/>
  <c r="E23" i="1"/>
  <c r="E27" i="1"/>
  <c r="E28" i="1"/>
  <c r="E29" i="1"/>
  <c r="B7" i="3"/>
  <c r="B30" i="3"/>
  <c r="C6" i="3"/>
  <c r="B14" i="3"/>
  <c r="E18" i="1"/>
  <c r="C14" i="3"/>
  <c r="B37" i="3"/>
  <c r="D6" i="3"/>
  <c r="C29" i="3"/>
  <c r="E32" i="1"/>
  <c r="E38" i="1"/>
  <c r="B8" i="3"/>
  <c r="B31" i="3"/>
  <c r="B32" i="3"/>
  <c r="B33" i="3"/>
  <c r="E36" i="1"/>
  <c r="E6" i="3"/>
  <c r="D29" i="3"/>
  <c r="D14" i="3"/>
  <c r="C37" i="3"/>
  <c r="C8" i="3"/>
  <c r="B9" i="3"/>
  <c r="B16" i="3"/>
  <c r="B39" i="3"/>
  <c r="C31" i="3"/>
  <c r="C32" i="3"/>
  <c r="C33" i="3"/>
  <c r="B40" i="3"/>
  <c r="E14" i="3"/>
  <c r="D37" i="3"/>
  <c r="B10" i="3"/>
  <c r="F6" i="3"/>
  <c r="E29" i="3"/>
  <c r="C16" i="3"/>
  <c r="B17" i="3"/>
  <c r="B21" i="3"/>
  <c r="D8" i="3"/>
  <c r="C9" i="3"/>
  <c r="B44" i="3"/>
  <c r="B41" i="3"/>
  <c r="C39" i="3"/>
  <c r="C10" i="3"/>
  <c r="D31" i="3"/>
  <c r="D32" i="3"/>
  <c r="G6" i="3"/>
  <c r="F29" i="3"/>
  <c r="F14" i="3"/>
  <c r="E37" i="3"/>
  <c r="E8" i="3"/>
  <c r="D9" i="3"/>
  <c r="D16" i="3"/>
  <c r="C17" i="3"/>
  <c r="B18" i="3"/>
  <c r="D33" i="3"/>
  <c r="C40" i="3"/>
  <c r="D39" i="3"/>
  <c r="G14" i="3"/>
  <c r="F37" i="3"/>
  <c r="D10" i="3"/>
  <c r="E31" i="3"/>
  <c r="E32" i="3"/>
  <c r="H6" i="3"/>
  <c r="G29" i="3"/>
  <c r="E16" i="3"/>
  <c r="D17" i="3"/>
  <c r="F8" i="3"/>
  <c r="E9" i="3"/>
  <c r="C18" i="3"/>
  <c r="C21" i="3"/>
  <c r="C41" i="3"/>
  <c r="C44" i="3"/>
  <c r="E33" i="3"/>
  <c r="D40" i="3"/>
  <c r="E39" i="3"/>
  <c r="E10" i="3"/>
  <c r="F31" i="3"/>
  <c r="F32" i="3"/>
  <c r="I6" i="3"/>
  <c r="H29" i="3"/>
  <c r="H14" i="3"/>
  <c r="G37" i="3"/>
  <c r="G8" i="3"/>
  <c r="F9" i="3"/>
  <c r="F16" i="3"/>
  <c r="E17" i="3"/>
  <c r="D18" i="3"/>
  <c r="D21" i="3"/>
  <c r="D41" i="3"/>
  <c r="D44" i="3"/>
  <c r="F33" i="3"/>
  <c r="E40" i="3"/>
  <c r="E44" i="3"/>
  <c r="J6" i="3"/>
  <c r="I29" i="3"/>
  <c r="F10" i="3"/>
  <c r="G31" i="3"/>
  <c r="G32" i="3"/>
  <c r="I14" i="3"/>
  <c r="H37" i="3"/>
  <c r="G16" i="3"/>
  <c r="F17" i="3"/>
  <c r="H8" i="3"/>
  <c r="G9" i="3"/>
  <c r="E18" i="3"/>
  <c r="E21" i="3"/>
  <c r="F39" i="3"/>
  <c r="F40" i="3"/>
  <c r="F44" i="3"/>
  <c r="G33" i="3"/>
  <c r="E41" i="3"/>
  <c r="G10" i="3"/>
  <c r="H31" i="3"/>
  <c r="H32" i="3"/>
  <c r="J14" i="3"/>
  <c r="I37" i="3"/>
  <c r="K6" i="3"/>
  <c r="K29" i="3"/>
  <c r="J29" i="3"/>
  <c r="I8" i="3"/>
  <c r="H9" i="3"/>
  <c r="H16" i="3"/>
  <c r="G17" i="3"/>
  <c r="F18" i="3"/>
  <c r="F21" i="3"/>
  <c r="H33" i="3"/>
  <c r="F41" i="3"/>
  <c r="G39" i="3"/>
  <c r="K14" i="3"/>
  <c r="K37" i="3"/>
  <c r="J37" i="3"/>
  <c r="H10" i="3"/>
  <c r="I31" i="3"/>
  <c r="I32" i="3"/>
  <c r="I16" i="3"/>
  <c r="H17" i="3"/>
  <c r="J8" i="3"/>
  <c r="I9" i="3"/>
  <c r="G18" i="3"/>
  <c r="G21" i="3"/>
  <c r="I33" i="3"/>
  <c r="G40" i="3"/>
  <c r="G44" i="3"/>
  <c r="I10" i="3"/>
  <c r="J31" i="3"/>
  <c r="J32" i="3"/>
  <c r="K8" i="3"/>
  <c r="J9" i="3"/>
  <c r="J16" i="3"/>
  <c r="I17" i="3"/>
  <c r="H18" i="3"/>
  <c r="H21" i="3"/>
  <c r="H39" i="3"/>
  <c r="H40" i="3"/>
  <c r="H41" i="3"/>
  <c r="J33" i="3"/>
  <c r="G41" i="3"/>
  <c r="J10" i="3"/>
  <c r="K31" i="3"/>
  <c r="K32" i="3"/>
  <c r="K9" i="3"/>
  <c r="K16" i="3"/>
  <c r="J17" i="3"/>
  <c r="I18" i="3"/>
  <c r="I21" i="3"/>
  <c r="H44" i="3"/>
  <c r="I39" i="3"/>
  <c r="I40" i="3"/>
  <c r="I44" i="3"/>
  <c r="K33" i="3"/>
  <c r="K17" i="3"/>
  <c r="K10" i="3"/>
  <c r="J18" i="3"/>
  <c r="J21" i="3"/>
  <c r="I41" i="3"/>
  <c r="J39" i="3"/>
  <c r="J40" i="3"/>
  <c r="J44" i="3"/>
  <c r="K18" i="3"/>
  <c r="K21" i="3"/>
  <c r="J41" i="3"/>
  <c r="K39" i="3"/>
  <c r="K40" i="3"/>
  <c r="K41" i="3"/>
  <c r="K44" i="3"/>
</calcChain>
</file>

<file path=xl/sharedStrings.xml><?xml version="1.0" encoding="utf-8"?>
<sst xmlns="http://schemas.openxmlformats.org/spreadsheetml/2006/main" count="104" uniqueCount="77">
  <si>
    <t>Income</t>
  </si>
  <si>
    <t>Expenses</t>
  </si>
  <si>
    <t>Occupancy</t>
  </si>
  <si>
    <t>Guests/month</t>
  </si>
  <si>
    <t>3% Airbnb fee</t>
  </si>
  <si>
    <t>Management</t>
  </si>
  <si>
    <t>Percentage of revenue</t>
  </si>
  <si>
    <t>Annual management fee</t>
  </si>
  <si>
    <t>Fixed long term costs</t>
  </si>
  <si>
    <t>Council Rates/year</t>
  </si>
  <si>
    <t>Bank Interest or rental/year</t>
  </si>
  <si>
    <t>Electricity/year</t>
  </si>
  <si>
    <t>Water/year</t>
  </si>
  <si>
    <t>Gas/year</t>
  </si>
  <si>
    <t>Internet/year</t>
  </si>
  <si>
    <t>Body corporate/year</t>
  </si>
  <si>
    <t>Water usage/year</t>
  </si>
  <si>
    <t>LT</t>
  </si>
  <si>
    <t>ST</t>
  </si>
  <si>
    <t>Annual Expenses</t>
  </si>
  <si>
    <t>Upfront</t>
  </si>
  <si>
    <t>Ongoing</t>
  </si>
  <si>
    <t>Average nightly rate (weekdays)</t>
  </si>
  <si>
    <t>Average nightly rate (weekends)</t>
  </si>
  <si>
    <t>Year 1</t>
  </si>
  <si>
    <t>Year 2</t>
  </si>
  <si>
    <t>Year 3</t>
  </si>
  <si>
    <t>Year 4</t>
  </si>
  <si>
    <t>Year 5</t>
  </si>
  <si>
    <t>Year 6</t>
  </si>
  <si>
    <t>Year 7</t>
  </si>
  <si>
    <t>Year 8</t>
  </si>
  <si>
    <t>Year 9</t>
  </si>
  <si>
    <t>Year 10</t>
  </si>
  <si>
    <t>CPI</t>
  </si>
  <si>
    <t>Net Profit</t>
  </si>
  <si>
    <t>Upfront Expenses</t>
  </si>
  <si>
    <t>On-Going Expenses</t>
  </si>
  <si>
    <t>Short term rental</t>
  </si>
  <si>
    <t>Net Year 1</t>
  </si>
  <si>
    <t>Net Subsequent Years</t>
  </si>
  <si>
    <t>Comparison</t>
  </si>
  <si>
    <t>Interest Rate</t>
  </si>
  <si>
    <t>Loan to Value</t>
  </si>
  <si>
    <t>Capital Amount</t>
  </si>
  <si>
    <t>Additional profit ($)</t>
  </si>
  <si>
    <t>Long term costs</t>
  </si>
  <si>
    <t>Landlord Insurance/year</t>
  </si>
  <si>
    <t>Reviews</t>
  </si>
  <si>
    <t>Listing Fee</t>
  </si>
  <si>
    <t>Step 3: Short-Term Rental Assumptions</t>
  </si>
  <si>
    <t>Step 1: Property costs</t>
  </si>
  <si>
    <t>Step 2: Capital and financing</t>
  </si>
  <si>
    <t>Cleaning fee/stay</t>
  </si>
  <si>
    <t>Long-term rental</t>
  </si>
  <si>
    <t>Short-term rental</t>
  </si>
  <si>
    <t>Net Yield</t>
  </si>
  <si>
    <t>Scenario 2: Yearly Projections (reinvestment of Net Profit)</t>
  </si>
  <si>
    <t>Scenario 1: Yearly Projections (no reinvestment of Net Profit)</t>
  </si>
  <si>
    <t>Disclaimer</t>
  </si>
  <si>
    <t>Any numbers, figures, models or scenarios provided are indicative and are not guaranteed. Neither By Concierge, nor any of its directors, authorised representatives, employees, or agents, makes any representation or warranty as to the reliability, accuracy, or completeness, of this document or any advice. Nor do they accept any liability or responsibility arising in any way (including negligence) for errors in, or omissions from, this document or advice.</t>
  </si>
  <si>
    <t>Distance (km)</t>
  </si>
  <si>
    <t>Annual Revenue Potential</t>
  </si>
  <si>
    <t>Occupancy Rate</t>
  </si>
  <si>
    <t>Suburb</t>
  </si>
  <si>
    <t>Listing URL</t>
  </si>
  <si>
    <t>Average Daily Rate</t>
  </si>
  <si>
    <t>Listing Title</t>
  </si>
  <si>
    <t>Cleaning &amp; Linen expense/stay</t>
  </si>
  <si>
    <t>Annual cleaning &amp; Linen expenses</t>
  </si>
  <si>
    <t>Amenities</t>
  </si>
  <si>
    <t>Annual Revenue Excluding Cleaning</t>
  </si>
  <si>
    <t>Annual Revenue Including Cleaning</t>
  </si>
  <si>
    <t>Photography (if required)</t>
  </si>
  <si>
    <t>NO</t>
  </si>
  <si>
    <t>My favourite pony</t>
  </si>
  <si>
    <t>Property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</si>
</sst>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quot;$&quot;* #,##0_-;_-&quot;$&quot;* &quot;-&quot;_-;_-@_-"/>
    <numFmt numFmtId="44" formatCode="_-&quot;$&quot;* #,##0.00_-;\-&quot;$&quot;* #,##0.00_-;_-&quot;$&quot;* &quot;-&quot;??_-;_-@_-"/>
    <numFmt numFmtId="165" formatCode="_(&quot;$&quot;* #,##0.00_);_(&quot;$&quot;* \(#,##0.00\);_(&quot;$&quot;* &quot;-&quot;??_);_(@_)"/>
    <numFmt numFmtId="166" formatCode="_(* #,##0.00_);_(* \(#,##0.00\);_(* &quot;-&quot;??_);_(@_)"/>
    <numFmt numFmtId="167"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u val="singleAccounting"/>
      <sz val="11"/>
      <color theme="1"/>
      <name val="Calibri"/>
      <family val="2"/>
      <scheme val="minor"/>
    </font>
    <font>
      <u/>
      <sz val="11"/>
      <color theme="1"/>
      <name val="Calibri"/>
      <family val="2"/>
      <scheme val="minor"/>
    </font>
    <font>
      <sz val="11"/>
      <name val="Times New Roman"/>
      <family val="1"/>
    </font>
    <font>
      <b/>
      <u val="singleAccounting"/>
      <sz val="11"/>
      <color theme="1"/>
      <name val="Calibri"/>
      <family val="2"/>
      <scheme val="minor"/>
    </font>
    <font>
      <b/>
      <u/>
      <sz val="11"/>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4" tint="0.79998168889431442"/>
        <bgColor theme="4" tint="0.79998168889431442"/>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cellStyleXfs>
  <cellXfs count="117">
    <xf numFmtId="0" fontId="0" fillId="0" borderId="0" xfId="0"/>
    <xf numFmtId="44" fontId="0" fillId="0" borderId="0" xfId="1" applyFont="1"/>
    <xf numFmtId="9" fontId="0" fillId="0" borderId="0" xfId="2" applyFont="1"/>
    <xf numFmtId="44" fontId="0" fillId="0" borderId="0" xfId="0" applyNumberFormat="1"/>
    <xf numFmtId="0" fontId="0" fillId="2" borderId="0" xfId="0" applyFill="1" applyBorder="1"/>
    <xf numFmtId="44" fontId="0" fillId="3" borderId="0" xfId="1" applyFont="1" applyFill="1" applyBorder="1"/>
    <xf numFmtId="0" fontId="0" fillId="3" borderId="0" xfId="0" applyFill="1" applyBorder="1"/>
    <xf numFmtId="44" fontId="0" fillId="4" borderId="2" xfId="1" applyFont="1" applyFill="1" applyBorder="1"/>
    <xf numFmtId="0" fontId="0" fillId="4" borderId="2" xfId="0" applyFill="1" applyBorder="1"/>
    <xf numFmtId="44" fontId="0" fillId="4" borderId="0" xfId="1" applyFont="1" applyFill="1" applyBorder="1"/>
    <xf numFmtId="0" fontId="0" fillId="4" borderId="0" xfId="0" applyFill="1" applyBorder="1"/>
    <xf numFmtId="0" fontId="0" fillId="4" borderId="3" xfId="0" applyFill="1" applyBorder="1"/>
    <xf numFmtId="44" fontId="3" fillId="4" borderId="3" xfId="1" applyFont="1" applyFill="1" applyBorder="1"/>
    <xf numFmtId="44" fontId="0" fillId="5" borderId="2" xfId="1" applyFont="1" applyFill="1" applyBorder="1"/>
    <xf numFmtId="0" fontId="0" fillId="5" borderId="2" xfId="0" applyFill="1" applyBorder="1"/>
    <xf numFmtId="44" fontId="0" fillId="5" borderId="0" xfId="1" applyFont="1" applyFill="1" applyBorder="1"/>
    <xf numFmtId="0" fontId="0" fillId="5" borderId="0" xfId="0" applyFill="1" applyBorder="1"/>
    <xf numFmtId="44" fontId="3" fillId="5" borderId="3" xfId="1" applyFont="1" applyFill="1" applyBorder="1"/>
    <xf numFmtId="44" fontId="0" fillId="4" borderId="3" xfId="1" applyFont="1" applyFill="1" applyBorder="1"/>
    <xf numFmtId="44" fontId="0" fillId="6" borderId="2" xfId="1" applyFont="1" applyFill="1" applyBorder="1"/>
    <xf numFmtId="0" fontId="0" fillId="6" borderId="2" xfId="0" applyFill="1" applyBorder="1"/>
    <xf numFmtId="44" fontId="0" fillId="6" borderId="0" xfId="1" applyFont="1" applyFill="1" applyBorder="1"/>
    <xf numFmtId="0" fontId="0" fillId="6" borderId="0" xfId="0" applyFill="1" applyBorder="1"/>
    <xf numFmtId="44" fontId="0" fillId="6" borderId="3" xfId="1" applyFont="1" applyFill="1" applyBorder="1"/>
    <xf numFmtId="0" fontId="0" fillId="6" borderId="3" xfId="0" applyFill="1" applyBorder="1"/>
    <xf numFmtId="0" fontId="0" fillId="4" borderId="1" xfId="0" applyFill="1" applyBorder="1"/>
    <xf numFmtId="44" fontId="0" fillId="4" borderId="1" xfId="1" applyFont="1" applyFill="1" applyBorder="1"/>
    <xf numFmtId="0" fontId="2" fillId="4" borderId="1" xfId="0" applyFont="1" applyFill="1" applyBorder="1"/>
    <xf numFmtId="0" fontId="2" fillId="4" borderId="2" xfId="0" applyFont="1" applyFill="1" applyBorder="1"/>
    <xf numFmtId="0" fontId="0" fillId="2" borderId="1" xfId="0" applyFill="1" applyBorder="1"/>
    <xf numFmtId="44" fontId="0" fillId="2" borderId="1" xfId="1" applyFont="1" applyFill="1" applyBorder="1"/>
    <xf numFmtId="44" fontId="0" fillId="2" borderId="1" xfId="0" applyNumberFormat="1" applyFill="1" applyBorder="1"/>
    <xf numFmtId="44" fontId="3" fillId="2" borderId="1" xfId="1" applyFont="1" applyFill="1" applyBorder="1"/>
    <xf numFmtId="0" fontId="0" fillId="2" borderId="4" xfId="0" applyFill="1" applyBorder="1"/>
    <xf numFmtId="9" fontId="0" fillId="2" borderId="1" xfId="2" applyFont="1" applyFill="1" applyBorder="1" applyAlignment="1">
      <alignment horizontal="center"/>
    </xf>
    <xf numFmtId="9" fontId="0" fillId="4" borderId="1" xfId="2" applyFont="1" applyFill="1" applyBorder="1"/>
    <xf numFmtId="10" fontId="0" fillId="4" borderId="1" xfId="2" applyNumberFormat="1" applyFont="1" applyFill="1" applyBorder="1"/>
    <xf numFmtId="10" fontId="3" fillId="2" borderId="0" xfId="2" applyNumberFormat="1" applyFont="1" applyFill="1" applyBorder="1"/>
    <xf numFmtId="10" fontId="3" fillId="2" borderId="1" xfId="2" applyNumberFormat="1" applyFont="1" applyFill="1" applyBorder="1"/>
    <xf numFmtId="44" fontId="0" fillId="8" borderId="1" xfId="1" applyFont="1" applyFill="1" applyBorder="1"/>
    <xf numFmtId="0" fontId="0" fillId="8" borderId="1" xfId="0" applyFill="1" applyBorder="1"/>
    <xf numFmtId="44" fontId="0" fillId="8" borderId="0" xfId="1" applyFont="1" applyFill="1" applyBorder="1"/>
    <xf numFmtId="42" fontId="0" fillId="0" borderId="0" xfId="1" applyNumberFormat="1" applyFont="1"/>
    <xf numFmtId="44" fontId="6" fillId="5" borderId="3" xfId="1" applyFont="1" applyFill="1" applyBorder="1"/>
    <xf numFmtId="0" fontId="0" fillId="2" borderId="9" xfId="0" applyFill="1" applyBorder="1"/>
    <xf numFmtId="0" fontId="0" fillId="2" borderId="10" xfId="0" applyFill="1" applyBorder="1"/>
    <xf numFmtId="0" fontId="0" fillId="2" borderId="11" xfId="0" applyFill="1" applyBorder="1" applyAlignment="1">
      <alignment horizontal="center"/>
    </xf>
    <xf numFmtId="0" fontId="0" fillId="2" borderId="12" xfId="0" applyFill="1" applyBorder="1"/>
    <xf numFmtId="0" fontId="0" fillId="2" borderId="11" xfId="0" applyFill="1" applyBorder="1"/>
    <xf numFmtId="0" fontId="0" fillId="2" borderId="14" xfId="0" applyFill="1" applyBorder="1"/>
    <xf numFmtId="44" fontId="0" fillId="2" borderId="14" xfId="0" applyNumberFormat="1" applyFill="1" applyBorder="1"/>
    <xf numFmtId="44" fontId="3" fillId="2" borderId="14" xfId="1" applyFont="1" applyFill="1" applyBorder="1"/>
    <xf numFmtId="10" fontId="3" fillId="2" borderId="14" xfId="2" applyNumberFormat="1" applyFont="1" applyFill="1" applyBorder="1"/>
    <xf numFmtId="10" fontId="3" fillId="2" borderId="10" xfId="2" applyNumberFormat="1" applyFont="1" applyFill="1" applyBorder="1"/>
    <xf numFmtId="0" fontId="0" fillId="2" borderId="15" xfId="0" applyFill="1" applyBorder="1"/>
    <xf numFmtId="44" fontId="0" fillId="2" borderId="16" xfId="2" applyNumberFormat="1" applyFont="1" applyFill="1" applyBorder="1"/>
    <xf numFmtId="44" fontId="0" fillId="2" borderId="17" xfId="2" applyNumberFormat="1" applyFont="1" applyFill="1" applyBorder="1"/>
    <xf numFmtId="0" fontId="2" fillId="6" borderId="21" xfId="0" applyFont="1" applyFill="1" applyBorder="1"/>
    <xf numFmtId="0" fontId="0" fillId="6" borderId="22" xfId="0" applyFill="1" applyBorder="1"/>
    <xf numFmtId="0" fontId="0" fillId="6" borderId="9" xfId="0" applyFill="1" applyBorder="1"/>
    <xf numFmtId="0" fontId="0" fillId="6" borderId="10" xfId="0" applyFill="1" applyBorder="1"/>
    <xf numFmtId="0" fontId="0" fillId="6" borderId="23" xfId="0" applyFill="1" applyBorder="1"/>
    <xf numFmtId="44" fontId="3" fillId="6" borderId="24" xfId="1" applyFont="1" applyFill="1" applyBorder="1"/>
    <xf numFmtId="0" fontId="2" fillId="4" borderId="21" xfId="0" applyFont="1" applyFill="1" applyBorder="1"/>
    <xf numFmtId="0" fontId="0" fillId="4" borderId="22" xfId="0" applyFill="1" applyBorder="1"/>
    <xf numFmtId="0" fontId="2" fillId="3" borderId="9" xfId="0" applyFont="1" applyFill="1" applyBorder="1"/>
    <xf numFmtId="44" fontId="0" fillId="3" borderId="10" xfId="1" applyFont="1" applyFill="1" applyBorder="1"/>
    <xf numFmtId="0" fontId="2" fillId="4" borderId="9" xfId="0" applyFont="1" applyFill="1" applyBorder="1"/>
    <xf numFmtId="0" fontId="0" fillId="4" borderId="10" xfId="0" applyFill="1" applyBorder="1"/>
    <xf numFmtId="0" fontId="0" fillId="4" borderId="9" xfId="0" applyFill="1" applyBorder="1"/>
    <xf numFmtId="44" fontId="0" fillId="4" borderId="10" xfId="1" applyFont="1" applyFill="1" applyBorder="1"/>
    <xf numFmtId="0" fontId="0" fillId="4" borderId="21" xfId="0" applyFill="1" applyBorder="1"/>
    <xf numFmtId="44" fontId="0" fillId="4" borderId="22" xfId="1" applyFont="1" applyFill="1" applyBorder="1"/>
    <xf numFmtId="0" fontId="0" fillId="4" borderId="23" xfId="0" applyFill="1" applyBorder="1"/>
    <xf numFmtId="44" fontId="0" fillId="4" borderId="24" xfId="0" applyNumberFormat="1" applyFill="1" applyBorder="1"/>
    <xf numFmtId="0" fontId="0" fillId="5" borderId="21" xfId="0" applyFill="1" applyBorder="1"/>
    <xf numFmtId="0" fontId="0" fillId="5" borderId="22" xfId="0" applyFill="1" applyBorder="1"/>
    <xf numFmtId="0" fontId="0" fillId="5" borderId="9" xfId="0" applyFill="1" applyBorder="1"/>
    <xf numFmtId="0" fontId="0" fillId="5" borderId="10" xfId="0" applyFill="1" applyBorder="1"/>
    <xf numFmtId="44" fontId="0" fillId="5" borderId="24" xfId="0" applyNumberFormat="1" applyFill="1" applyBorder="1"/>
    <xf numFmtId="44" fontId="2" fillId="5" borderId="24" xfId="0" applyNumberFormat="1" applyFont="1" applyFill="1" applyBorder="1"/>
    <xf numFmtId="0" fontId="0" fillId="5" borderId="25" xfId="0" applyFill="1" applyBorder="1"/>
    <xf numFmtId="44" fontId="0" fillId="5" borderId="5" xfId="1" applyFont="1" applyFill="1" applyBorder="1"/>
    <xf numFmtId="0" fontId="0" fillId="5" borderId="5" xfId="0" applyFill="1" applyBorder="1"/>
    <xf numFmtId="0" fontId="0" fillId="5" borderId="26" xfId="0" applyFill="1" applyBorder="1"/>
    <xf numFmtId="0" fontId="0" fillId="0" borderId="0" xfId="0" applyAlignment="1">
      <alignment wrapText="1"/>
    </xf>
    <xf numFmtId="0" fontId="7" fillId="0" borderId="0" xfId="0" applyFont="1" applyAlignment="1"/>
    <xf numFmtId="42" fontId="2" fillId="9" borderId="27" xfId="0" applyNumberFormat="1" applyFont="1" applyFill="1" applyBorder="1"/>
    <xf numFmtId="0" fontId="2" fillId="9" borderId="27" xfId="0" applyFont="1" applyFill="1" applyBorder="1"/>
    <xf numFmtId="0" fontId="2" fillId="0" borderId="0" xfId="0" applyFont="1"/>
    <xf numFmtId="2" fontId="0" fillId="0" borderId="0" xfId="0" applyNumberFormat="1"/>
    <xf numFmtId="2" fontId="2" fillId="9" borderId="27" xfId="0" applyNumberFormat="1" applyFont="1" applyFill="1" applyBorder="1"/>
    <xf numFmtId="2" fontId="2" fillId="0" borderId="27" xfId="0" applyNumberFormat="1" applyFont="1" applyBorder="1"/>
    <xf numFmtId="42" fontId="0" fillId="0" borderId="0" xfId="0" applyNumberFormat="1"/>
    <xf numFmtId="42" fontId="2" fillId="0" borderId="0" xfId="0" applyNumberFormat="1" applyFont="1"/>
    <xf numFmtId="9" fontId="2" fillId="9" borderId="27" xfId="2" applyFont="1" applyFill="1" applyBorder="1"/>
    <xf numFmtId="44" fontId="2" fillId="9" borderId="27" xfId="1" applyFont="1" applyFill="1" applyBorder="1"/>
    <xf numFmtId="44" fontId="2" fillId="0" borderId="0" xfId="1" applyFont="1"/>
    <xf numFmtId="167" fontId="0" fillId="4" borderId="0" xfId="2" applyNumberFormat="1" applyFont="1" applyFill="1" applyBorder="1"/>
    <xf numFmtId="44" fontId="0" fillId="6" borderId="10" xfId="0" applyNumberFormat="1" applyFill="1" applyBorder="1"/>
    <xf numFmtId="44" fontId="0" fillId="6" borderId="0" xfId="1" applyFont="1" applyFill="1" applyBorder="1" applyAlignment="1">
      <alignment horizontal="left" vertical="top"/>
    </xf>
    <xf numFmtId="0" fontId="0" fillId="0" borderId="0" xfId="2" applyNumberFormat="1" applyFont="1"/>
    <xf numFmtId="0" fontId="0" fillId="0" borderId="0" xfId="0" applyAlignment="1">
      <alignment horizontal="center" wrapText="1"/>
    </xf>
    <xf numFmtId="0" fontId="7" fillId="0" borderId="0" xfId="0" applyFont="1" applyAlignment="1">
      <alignment horizontal="center"/>
    </xf>
    <xf numFmtId="0" fontId="4" fillId="7" borderId="1" xfId="0" applyFont="1" applyFill="1" applyBorder="1" applyAlignment="1">
      <alignment horizontal="center"/>
    </xf>
    <xf numFmtId="0" fontId="0" fillId="7" borderId="18" xfId="0" applyFill="1" applyBorder="1" applyAlignment="1">
      <alignment horizontal="center"/>
    </xf>
    <xf numFmtId="0" fontId="0" fillId="7" borderId="19" xfId="0" applyFill="1" applyBorder="1" applyAlignment="1">
      <alignment horizontal="center"/>
    </xf>
    <xf numFmtId="0" fontId="0" fillId="7" borderId="20" xfId="0" applyFill="1" applyBorder="1" applyAlignment="1">
      <alignment horizontal="center"/>
    </xf>
    <xf numFmtId="0" fontId="2" fillId="7" borderId="13" xfId="0" applyFont="1" applyFill="1" applyBorder="1" applyAlignment="1">
      <alignment horizontal="center"/>
    </xf>
    <xf numFmtId="0" fontId="2" fillId="7" borderId="4" xfId="0" applyFont="1" applyFill="1" applyBorder="1" applyAlignment="1">
      <alignment horizontal="center"/>
    </xf>
    <xf numFmtId="0" fontId="2" fillId="7" borderId="12" xfId="0" applyFont="1" applyFill="1" applyBorder="1" applyAlignment="1">
      <alignment horizontal="center"/>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11" xfId="0" applyFont="1" applyFill="1" applyBorder="1" applyAlignment="1">
      <alignment horizontal="center"/>
    </xf>
    <xf numFmtId="0" fontId="2" fillId="7" borderId="1" xfId="0" applyFont="1" applyFill="1" applyBorder="1" applyAlignment="1">
      <alignment horizontal="center"/>
    </xf>
    <xf numFmtId="0" fontId="2" fillId="7" borderId="14" xfId="0" applyFont="1" applyFill="1" applyBorder="1" applyAlignment="1">
      <alignment horizontal="center"/>
    </xf>
  </cellXfs>
  <cellStyles count="6">
    <cellStyle name="Comma 2" xfId="5"/>
    <cellStyle name="Currency" xfId="1" builtinId="4"/>
    <cellStyle name="Currency 2" xfId="4"/>
    <cellStyle name="Normal" xfId="0" builtinId="0"/>
    <cellStyle name="Normal 2" xfId="3"/>
    <cellStyle name="Percent" xfId="2" builtinId="5"/>
  </cellStyles>
  <dxfs count="0"/>
  <tableStyles count="0" defaultTableStyle="TableStyleMedium2" defaultPivotStyle="PivotStyleLight16"/>
  <colors>
    <mruColors>
      <color rgb="FFD4F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2:H7"/>
  <sheetViews>
    <sheetView tabSelected="1" workbookViewId="0">
      <selection activeCell="G8" sqref="G8"/>
    </sheetView>
  </sheetViews>
  <sheetFormatPr defaultRowHeight="15" x14ac:dyDescent="0.25"/>
  <cols>
    <col min="1" max="1" width="11.140625" style="2" bestFit="1" customWidth="1"/>
    <col min="2" max="2" width="13.28515625" style="90" bestFit="1" customWidth="1"/>
    <col min="3" max="3" width="10.28515625" style="93" bestFit="1" customWidth="1"/>
    <col min="4" max="4" width="8.7109375" style="2" bestFit="1" customWidth="1"/>
    <col min="5" max="5" width="11.42578125" style="42" bestFit="1" customWidth="1"/>
    <col min="6" max="6" width="8.42578125" style="1" bestFit="1" customWidth="1"/>
    <col min="7" max="7" width="11.28515625" style="1" customWidth="1"/>
    <col min="8" max="8" width="36.5703125" customWidth="1"/>
  </cols>
  <sheetData>
    <row r="2" spans="1:8" x14ac:dyDescent="0.25">
      <c r="A2" s="88" t="s">
        <v>65</v>
      </c>
      <c r="B2" s="91" t="s">
        <v>61</v>
      </c>
      <c r="C2" s="87" t="s">
        <v>62</v>
      </c>
      <c r="D2" s="95" t="s">
        <v>63</v>
      </c>
      <c r="E2" s="88" t="s">
        <v>64</v>
      </c>
      <c r="F2" s="88" t="s">
        <v>48</v>
      </c>
      <c r="G2" s="96" t="s">
        <v>66</v>
      </c>
      <c r="H2" s="88" t="s">
        <v>67</v>
      </c>
    </row>
    <row r="3" spans="1:8" x14ac:dyDescent="0.25">
      <c r="A3"/>
      <c r="B3" s="92"/>
      <c r="C3" s="94"/>
      <c r="E3" s="89"/>
      <c r="F3" s="89"/>
      <c r="G3" s="97"/>
      <c r="H3" s="89"/>
    </row>
    <row r="4" spans="1:8" x14ac:dyDescent="0.25">
      <c r="A4" t="s">
        <v>75</v>
      </c>
      <c r="B4" s="92"/>
      <c r="C4" s="94"/>
      <c r="E4" s="89"/>
      <c r="F4" s="89"/>
      <c r="G4" s="97"/>
      <c r="H4" s="89"/>
    </row>
    <row r="5" spans="1:8" x14ac:dyDescent="0.25">
      <c r="A5"/>
      <c r="B5" s="92"/>
      <c r="C5" s="94"/>
      <c r="E5" s="89"/>
      <c r="F5" s="89"/>
      <c r="G5" s="97"/>
      <c r="H5" s="89"/>
    </row>
    <row r="6" spans="1:8" x14ac:dyDescent="0.25">
      <c r="A6"/>
      <c r="B6" s="92"/>
      <c r="C6" s="94"/>
      <c r="E6" s="89"/>
      <c r="F6" s="89"/>
      <c r="G6" s="97"/>
      <c r="H6" s="89"/>
    </row>
    <row r="7" spans="1:8" x14ac:dyDescent="0.25">
      <c r="A7" t="s">
        <v>76</v>
      </c>
      <c r="B7" s="92"/>
      <c r="C7" s="94"/>
      <c r="E7" s="89"/>
      <c r="F7" s="89"/>
      <c r="G7" s="97"/>
      <c r="H7" s="89"/>
    </row>
  </sheetData>
  <pageMargins left="0.7" right="0.7" top="0.75" bottom="0.75" header="0.3" footer="0.3"/>
  <pageSetup paperSize="9" scale="9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G30"/>
  <sheetViews>
    <sheetView topLeftCell="A2" workbookViewId="0">
      <selection activeCell="C47" sqref="C47"/>
    </sheetView>
  </sheetViews>
  <sheetFormatPr defaultRowHeight="15" x14ac:dyDescent="0.25"/>
  <cols>
    <col min="1" max="1" width="4.42578125" bestFit="1" customWidth="1"/>
    <col min="2" max="2" width="2.85546875" bestFit="1" customWidth="1"/>
    <col min="3" max="3" width="26" bestFit="1" customWidth="1"/>
    <col min="4" max="4" width="13.7109375" bestFit="1" customWidth="1"/>
  </cols>
  <sheetData>
    <row r="1" spans="1:5" x14ac:dyDescent="0.25">
      <c r="A1" s="104" t="s">
        <v>51</v>
      </c>
      <c r="B1" s="104"/>
      <c r="C1" s="104"/>
      <c r="D1" s="104"/>
    </row>
    <row r="2" spans="1:5" x14ac:dyDescent="0.25">
      <c r="A2" s="26" t="s">
        <v>18</v>
      </c>
      <c r="B2" s="25" t="s">
        <v>17</v>
      </c>
      <c r="C2" s="27" t="s">
        <v>8</v>
      </c>
      <c r="D2" s="26"/>
    </row>
    <row r="3" spans="1:5" x14ac:dyDescent="0.25">
      <c r="A3" s="39"/>
      <c r="B3" s="40"/>
      <c r="C3" s="25" t="s">
        <v>9</v>
      </c>
      <c r="D3" s="26">
        <v>0</v>
      </c>
    </row>
    <row r="4" spans="1:5" x14ac:dyDescent="0.25">
      <c r="A4" s="39"/>
      <c r="B4" s="40"/>
      <c r="C4" s="25" t="s">
        <v>15</v>
      </c>
      <c r="D4" s="26">
        <v>0</v>
      </c>
    </row>
    <row r="5" spans="1:5" x14ac:dyDescent="0.25">
      <c r="A5" s="39"/>
      <c r="B5" s="40"/>
      <c r="C5" s="25" t="s">
        <v>10</v>
      </c>
      <c r="D5" s="26">
        <f>IF(E5="YES",D15*D14*D16,0)</f>
        <v>0</v>
      </c>
      <c r="E5" t="s">
        <v>74</v>
      </c>
    </row>
    <row r="6" spans="1:5" x14ac:dyDescent="0.25">
      <c r="A6" s="39"/>
      <c r="B6" s="25"/>
      <c r="C6" s="25" t="s">
        <v>11</v>
      </c>
      <c r="D6" s="26">
        <v>1000</v>
      </c>
    </row>
    <row r="7" spans="1:5" x14ac:dyDescent="0.25">
      <c r="A7" s="39"/>
      <c r="B7" s="40"/>
      <c r="C7" s="25" t="s">
        <v>12</v>
      </c>
      <c r="D7" s="26">
        <v>0</v>
      </c>
    </row>
    <row r="8" spans="1:5" x14ac:dyDescent="0.25">
      <c r="A8" s="39"/>
      <c r="B8" s="25"/>
      <c r="C8" s="25" t="s">
        <v>16</v>
      </c>
      <c r="D8" s="26">
        <v>300</v>
      </c>
    </row>
    <row r="9" spans="1:5" x14ac:dyDescent="0.25">
      <c r="A9" s="39"/>
      <c r="B9" s="25"/>
      <c r="C9" s="25" t="s">
        <v>13</v>
      </c>
      <c r="D9" s="26">
        <v>500</v>
      </c>
    </row>
    <row r="10" spans="1:5" x14ac:dyDescent="0.25">
      <c r="A10" s="39"/>
      <c r="B10" s="25"/>
      <c r="C10" s="25" t="s">
        <v>14</v>
      </c>
      <c r="D10" s="26">
        <f>60*12</f>
        <v>720</v>
      </c>
    </row>
    <row r="11" spans="1:5" x14ac:dyDescent="0.25">
      <c r="A11" s="39"/>
      <c r="B11" s="25"/>
      <c r="C11" s="25" t="s">
        <v>47</v>
      </c>
      <c r="D11" s="26">
        <v>0</v>
      </c>
    </row>
    <row r="13" spans="1:5" x14ac:dyDescent="0.25">
      <c r="A13" s="104" t="s">
        <v>52</v>
      </c>
      <c r="B13" s="104"/>
      <c r="C13" s="104"/>
      <c r="D13" s="104"/>
    </row>
    <row r="14" spans="1:5" x14ac:dyDescent="0.25">
      <c r="A14" s="25"/>
      <c r="B14" s="25"/>
      <c r="C14" s="25" t="s">
        <v>44</v>
      </c>
      <c r="D14" s="26">
        <v>550000</v>
      </c>
    </row>
    <row r="15" spans="1:5" x14ac:dyDescent="0.25">
      <c r="A15" s="25"/>
      <c r="B15" s="25"/>
      <c r="C15" s="25" t="s">
        <v>43</v>
      </c>
      <c r="D15" s="35">
        <v>0.8</v>
      </c>
    </row>
    <row r="16" spans="1:5" x14ac:dyDescent="0.25">
      <c r="A16" s="25"/>
      <c r="B16" s="25"/>
      <c r="C16" s="25" t="s">
        <v>42</v>
      </c>
      <c r="D16" s="36">
        <v>0.05</v>
      </c>
    </row>
    <row r="18" spans="1:7" x14ac:dyDescent="0.25">
      <c r="A18" s="104" t="s">
        <v>50</v>
      </c>
      <c r="B18" s="104"/>
      <c r="C18" s="104"/>
      <c r="D18" s="104"/>
    </row>
    <row r="19" spans="1:7" x14ac:dyDescent="0.25">
      <c r="A19" s="25"/>
      <c r="B19" s="25"/>
      <c r="C19" s="25" t="s">
        <v>2</v>
      </c>
      <c r="D19" s="35">
        <v>0.8</v>
      </c>
    </row>
    <row r="20" spans="1:7" x14ac:dyDescent="0.25">
      <c r="A20" s="25"/>
      <c r="B20" s="25"/>
      <c r="C20" s="25" t="s">
        <v>3</v>
      </c>
      <c r="D20" s="25">
        <v>6</v>
      </c>
    </row>
    <row r="25" spans="1:7" x14ac:dyDescent="0.25">
      <c r="A25" s="103" t="s">
        <v>59</v>
      </c>
      <c r="B25" s="103"/>
      <c r="C25" s="103"/>
      <c r="D25" s="103"/>
      <c r="E25" s="86"/>
      <c r="F25" s="86"/>
      <c r="G25" s="86"/>
    </row>
    <row r="27" spans="1:7" ht="163.5" customHeight="1" x14ac:dyDescent="0.25">
      <c r="A27" s="102" t="s">
        <v>60</v>
      </c>
      <c r="B27" s="102"/>
      <c r="C27" s="102"/>
      <c r="D27" s="102"/>
      <c r="E27" s="85"/>
      <c r="F27" s="85"/>
      <c r="G27" s="85"/>
    </row>
    <row r="29" spans="1:7" ht="12" customHeight="1" x14ac:dyDescent="0.25"/>
    <row r="30" spans="1:7" hidden="1" x14ac:dyDescent="0.25"/>
  </sheetData>
  <mergeCells count="5">
    <mergeCell ref="A27:D27"/>
    <mergeCell ref="A25:D25"/>
    <mergeCell ref="A1:D1"/>
    <mergeCell ref="A13:D13"/>
    <mergeCell ref="A18:D18"/>
  </mergeCells>
  <pageMargins left="0.7" right="0.7" top="0.75" bottom="0.75" header="0.3" footer="0.3"/>
  <pageSetup paperSize="9" scale="90"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43"/>
  <sheetViews>
    <sheetView zoomScale="86" workbookViewId="0">
      <selection activeCell="J19" sqref="J19"/>
    </sheetView>
  </sheetViews>
  <sheetFormatPr defaultRowHeight="15" x14ac:dyDescent="0.25"/>
  <cols>
    <col min="1" max="1" width="45.5703125" bestFit="1" customWidth="1"/>
    <col min="2" max="2" width="11.5703125" style="1" bestFit="1" customWidth="1"/>
    <col min="3" max="3" width="4.42578125" bestFit="1" customWidth="1"/>
    <col min="4" max="4" width="45.5703125" style="1" bestFit="1" customWidth="1"/>
    <col min="5" max="5" width="22.140625" customWidth="1"/>
    <col min="6" max="6" width="9.42578125" customWidth="1"/>
  </cols>
  <sheetData>
    <row r="1" spans="1:6" x14ac:dyDescent="0.25">
      <c r="A1" s="105" t="s">
        <v>38</v>
      </c>
      <c r="B1" s="106"/>
      <c r="C1" s="106"/>
      <c r="D1" s="106"/>
      <c r="E1" s="107"/>
    </row>
    <row r="2" spans="1:6" x14ac:dyDescent="0.25">
      <c r="A2" s="57" t="s">
        <v>0</v>
      </c>
      <c r="B2" s="19"/>
      <c r="C2" s="20"/>
      <c r="D2" s="19"/>
      <c r="E2" s="58"/>
    </row>
    <row r="3" spans="1:6" x14ac:dyDescent="0.25">
      <c r="A3" s="59" t="s">
        <v>22</v>
      </c>
      <c r="B3" s="21">
        <v>545</v>
      </c>
      <c r="C3" s="22"/>
      <c r="D3" s="21"/>
      <c r="E3" s="60"/>
    </row>
    <row r="4" spans="1:6" x14ac:dyDescent="0.25">
      <c r="A4" s="59" t="s">
        <v>23</v>
      </c>
      <c r="B4" s="21">
        <v>43534</v>
      </c>
      <c r="C4" s="22"/>
      <c r="D4" s="100" t="s">
        <v>71</v>
      </c>
      <c r="E4" s="99">
        <f>'Model Assumptions'!D19*((52*5*B3)+(52*2*B4))</f>
        <v>3735388.8000000003</v>
      </c>
    </row>
    <row r="5" spans="1:6" x14ac:dyDescent="0.25">
      <c r="A5" s="59" t="s">
        <v>53</v>
      </c>
      <c r="B5" s="21">
        <v>345</v>
      </c>
      <c r="C5" s="22"/>
      <c r="D5" s="21"/>
      <c r="E5" s="60"/>
    </row>
    <row r="6" spans="1:6" ht="17.25" x14ac:dyDescent="0.4">
      <c r="A6" s="61"/>
      <c r="B6" s="23"/>
      <c r="C6" s="24"/>
      <c r="D6" s="24" t="s">
        <v>72</v>
      </c>
      <c r="E6" s="62">
        <f>'Model Assumptions'!D19*((52*5*B3)+(52*2*B4))+(B5*'Model Assumptions'!D20*12)</f>
        <v>3760228.8000000003</v>
      </c>
      <c r="F6" s="3"/>
    </row>
    <row r="7" spans="1:6" x14ac:dyDescent="0.25">
      <c r="A7" s="63" t="s">
        <v>1</v>
      </c>
      <c r="B7" s="7"/>
      <c r="C7" s="8"/>
      <c r="D7" s="7"/>
      <c r="E7" s="64"/>
    </row>
    <row r="8" spans="1:6" x14ac:dyDescent="0.25">
      <c r="A8" s="65" t="s">
        <v>20</v>
      </c>
      <c r="B8" s="5"/>
      <c r="C8" s="6"/>
      <c r="D8" s="5" t="s">
        <v>49</v>
      </c>
      <c r="E8" s="66">
        <v>500</v>
      </c>
    </row>
    <row r="9" spans="1:6" x14ac:dyDescent="0.25">
      <c r="A9" s="65"/>
      <c r="B9" s="5"/>
      <c r="C9" s="6"/>
      <c r="D9" s="5" t="s">
        <v>73</v>
      </c>
      <c r="E9" s="66">
        <v>300</v>
      </c>
    </row>
    <row r="10" spans="1:6" x14ac:dyDescent="0.25">
      <c r="A10" s="67"/>
      <c r="B10" s="9"/>
      <c r="C10" s="10"/>
      <c r="D10" s="9"/>
      <c r="E10" s="68"/>
      <c r="F10" s="3"/>
    </row>
    <row r="11" spans="1:6" x14ac:dyDescent="0.25">
      <c r="A11" s="63" t="s">
        <v>21</v>
      </c>
      <c r="B11" s="7"/>
      <c r="C11" s="8"/>
      <c r="D11" s="7"/>
      <c r="E11" s="64"/>
    </row>
    <row r="12" spans="1:6" x14ac:dyDescent="0.25">
      <c r="A12" s="69" t="s">
        <v>68</v>
      </c>
      <c r="B12" s="9">
        <v>175</v>
      </c>
      <c r="C12" s="10"/>
      <c r="D12" s="10" t="s">
        <v>69</v>
      </c>
      <c r="E12" s="70">
        <f>B12*'Model Assumptions'!D20*12</f>
        <v>12600</v>
      </c>
    </row>
    <row r="13" spans="1:6" x14ac:dyDescent="0.25">
      <c r="A13" s="69" t="s">
        <v>70</v>
      </c>
      <c r="B13" s="9">
        <v>20</v>
      </c>
      <c r="C13" s="10"/>
      <c r="D13" s="10" t="s">
        <v>70</v>
      </c>
      <c r="E13" s="70">
        <f>'Model Assumptions'!D20*12*B13</f>
        <v>1440</v>
      </c>
    </row>
    <row r="14" spans="1:6" x14ac:dyDescent="0.25">
      <c r="A14" s="69"/>
      <c r="B14" s="9"/>
      <c r="C14" s="10"/>
      <c r="D14" s="10"/>
      <c r="E14" s="70"/>
    </row>
    <row r="15" spans="1:6" x14ac:dyDescent="0.25">
      <c r="A15" s="69" t="s">
        <v>5</v>
      </c>
      <c r="B15" s="9"/>
      <c r="C15" s="10"/>
      <c r="D15" s="10"/>
      <c r="E15" s="70"/>
    </row>
    <row r="16" spans="1:6" x14ac:dyDescent="0.25">
      <c r="A16" s="69" t="s">
        <v>6</v>
      </c>
      <c r="B16" s="98">
        <f>0.16*1.1</f>
        <v>0.17600000000000002</v>
      </c>
      <c r="C16" s="10"/>
      <c r="D16" s="10" t="s">
        <v>7</v>
      </c>
      <c r="E16" s="70">
        <f>E4*0.2</f>
        <v>747077.76000000013</v>
      </c>
      <c r="F16" s="101"/>
    </row>
    <row r="17" spans="1:5" x14ac:dyDescent="0.25">
      <c r="A17" s="69"/>
      <c r="B17" s="9"/>
      <c r="C17" s="10"/>
      <c r="D17" s="10"/>
      <c r="E17" s="70"/>
    </row>
    <row r="18" spans="1:5" x14ac:dyDescent="0.25">
      <c r="A18" s="69"/>
      <c r="B18" s="9"/>
      <c r="C18" s="10"/>
      <c r="D18" s="10" t="s">
        <v>4</v>
      </c>
      <c r="E18" s="70">
        <f>0.03*E6</f>
        <v>112806.864</v>
      </c>
    </row>
    <row r="19" spans="1:5" x14ac:dyDescent="0.25">
      <c r="A19" s="69"/>
      <c r="B19" s="9"/>
      <c r="C19" s="10"/>
      <c r="D19" s="10"/>
      <c r="E19" s="70"/>
    </row>
    <row r="20" spans="1:5" x14ac:dyDescent="0.25">
      <c r="A20" s="69"/>
      <c r="B20" s="9"/>
      <c r="C20" s="10"/>
      <c r="D20" s="10"/>
      <c r="E20" s="70"/>
    </row>
    <row r="21" spans="1:5" x14ac:dyDescent="0.25">
      <c r="A21" s="71"/>
      <c r="B21" s="7"/>
      <c r="C21" s="7" t="s">
        <v>18</v>
      </c>
      <c r="D21" s="28" t="s">
        <v>46</v>
      </c>
      <c r="E21" s="72"/>
    </row>
    <row r="22" spans="1:5" x14ac:dyDescent="0.25">
      <c r="A22" s="69"/>
      <c r="B22" s="9"/>
      <c r="C22" s="41"/>
      <c r="D22" s="10" t="s">
        <v>9</v>
      </c>
      <c r="E22" s="70">
        <f>'Model Assumptions'!D3</f>
        <v>0</v>
      </c>
    </row>
    <row r="23" spans="1:5" x14ac:dyDescent="0.25">
      <c r="A23" s="69"/>
      <c r="B23" s="9"/>
      <c r="C23" s="41"/>
      <c r="D23" s="10" t="s">
        <v>15</v>
      </c>
      <c r="E23" s="70">
        <f>'Model Assumptions'!D4</f>
        <v>0</v>
      </c>
    </row>
    <row r="24" spans="1:5" x14ac:dyDescent="0.25">
      <c r="A24" s="69"/>
      <c r="B24" s="9"/>
      <c r="C24" s="41"/>
      <c r="D24" s="10" t="s">
        <v>10</v>
      </c>
      <c r="E24" s="70">
        <f>'Model Assumptions'!D5</f>
        <v>0</v>
      </c>
    </row>
    <row r="25" spans="1:5" x14ac:dyDescent="0.25">
      <c r="A25" s="69"/>
      <c r="B25" s="9"/>
      <c r="C25" s="41"/>
      <c r="D25" s="10" t="s">
        <v>11</v>
      </c>
      <c r="E25" s="70">
        <v>99999</v>
      </c>
    </row>
    <row r="26" spans="1:5" x14ac:dyDescent="0.25">
      <c r="A26" s="69"/>
      <c r="B26" s="9"/>
      <c r="C26" s="41"/>
      <c r="D26" s="10" t="s">
        <v>12</v>
      </c>
      <c r="E26" s="70">
        <f>'Model Assumptions'!D7</f>
        <v>0</v>
      </c>
    </row>
    <row r="27" spans="1:5" x14ac:dyDescent="0.25">
      <c r="A27" s="69"/>
      <c r="B27" s="9"/>
      <c r="C27" s="41"/>
      <c r="D27" s="10" t="s">
        <v>16</v>
      </c>
      <c r="E27" s="70">
        <f>'Model Assumptions'!D8</f>
        <v>300</v>
      </c>
    </row>
    <row r="28" spans="1:5" x14ac:dyDescent="0.25">
      <c r="A28" s="69"/>
      <c r="B28" s="9"/>
      <c r="C28" s="41"/>
      <c r="D28" s="10" t="s">
        <v>13</v>
      </c>
      <c r="E28" s="70">
        <f>'Model Assumptions'!D9</f>
        <v>500</v>
      </c>
    </row>
    <row r="29" spans="1:5" x14ac:dyDescent="0.25">
      <c r="A29" s="69"/>
      <c r="B29" s="9"/>
      <c r="C29" s="41"/>
      <c r="D29" s="10" t="s">
        <v>14</v>
      </c>
      <c r="E29" s="70">
        <f>'Model Assumptions'!D10</f>
        <v>720</v>
      </c>
    </row>
    <row r="30" spans="1:5" x14ac:dyDescent="0.25">
      <c r="A30" s="69"/>
      <c r="B30" s="9"/>
      <c r="C30" s="41"/>
      <c r="D30" s="10" t="s">
        <v>47</v>
      </c>
      <c r="E30" s="70">
        <f>'Model Assumptions'!D11</f>
        <v>0</v>
      </c>
    </row>
    <row r="31" spans="1:5" x14ac:dyDescent="0.25">
      <c r="A31" s="69"/>
      <c r="B31" s="9"/>
      <c r="C31" s="10"/>
      <c r="D31" s="9"/>
      <c r="E31" s="68"/>
    </row>
    <row r="32" spans="1:5" ht="17.25" x14ac:dyDescent="0.4">
      <c r="A32" s="73"/>
      <c r="B32" s="18"/>
      <c r="C32" s="11"/>
      <c r="D32" s="12" t="s">
        <v>19</v>
      </c>
      <c r="E32" s="74">
        <f>SUM(E11:E30)</f>
        <v>975443.62400000007</v>
      </c>
    </row>
    <row r="33" spans="1:5" x14ac:dyDescent="0.25">
      <c r="A33" s="75"/>
      <c r="B33" s="13"/>
      <c r="C33" s="14"/>
      <c r="D33" s="13"/>
      <c r="E33" s="76"/>
    </row>
    <row r="34" spans="1:5" x14ac:dyDescent="0.25">
      <c r="A34" s="77"/>
      <c r="B34" s="15"/>
      <c r="C34" s="16"/>
      <c r="D34" s="15"/>
      <c r="E34" s="78"/>
    </row>
    <row r="35" spans="1:5" x14ac:dyDescent="0.25">
      <c r="A35" s="77"/>
      <c r="B35" s="15"/>
      <c r="C35" s="16"/>
      <c r="D35" s="15"/>
      <c r="E35" s="78"/>
    </row>
    <row r="36" spans="1:5" ht="17.25" x14ac:dyDescent="0.4">
      <c r="A36" s="77"/>
      <c r="B36" s="15"/>
      <c r="C36" s="16"/>
      <c r="D36" s="17" t="s">
        <v>39</v>
      </c>
      <c r="E36" s="79">
        <f>E38-SUM(E7:E10)</f>
        <v>2783985.176</v>
      </c>
    </row>
    <row r="37" spans="1:5" ht="17.25" x14ac:dyDescent="0.4">
      <c r="A37" s="77"/>
      <c r="B37" s="15"/>
      <c r="C37" s="16"/>
      <c r="D37" s="17"/>
      <c r="E37" s="79"/>
    </row>
    <row r="38" spans="1:5" ht="17.25" x14ac:dyDescent="0.4">
      <c r="A38" s="77"/>
      <c r="B38" s="15"/>
      <c r="C38" s="16"/>
      <c r="D38" s="43" t="s">
        <v>40</v>
      </c>
      <c r="E38" s="80">
        <f>E6-E32</f>
        <v>2784785.176</v>
      </c>
    </row>
    <row r="39" spans="1:5" ht="15.75" thickBot="1" x14ac:dyDescent="0.3">
      <c r="A39" s="81"/>
      <c r="B39" s="82"/>
      <c r="C39" s="83"/>
      <c r="D39" s="82"/>
      <c r="E39" s="84"/>
    </row>
    <row r="42" spans="1:5" x14ac:dyDescent="0.25">
      <c r="E42" s="3"/>
    </row>
    <row r="43" spans="1:5" x14ac:dyDescent="0.25">
      <c r="E43" s="2"/>
    </row>
  </sheetData>
  <autoFilter ref="D8:E9"/>
  <mergeCells count="1">
    <mergeCell ref="A1:E1"/>
  </mergeCells>
  <pageMargins left="0.7" right="0.7" top="0.75" bottom="0.75" header="0.3" footer="0.3"/>
  <pageSetup paperSize="9" scale="52" fitToHeight="0" orientation="landscape"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52"/>
  <sheetViews>
    <sheetView workbookViewId="0">
      <selection activeCell="D54" sqref="D54"/>
    </sheetView>
  </sheetViews>
  <sheetFormatPr defaultRowHeight="15" x14ac:dyDescent="0.25"/>
  <cols>
    <col min="1" max="1" width="32.5703125" bestFit="1" customWidth="1"/>
    <col min="2" max="2" width="16.28515625" bestFit="1" customWidth="1"/>
    <col min="3" max="3" width="14.28515625" bestFit="1" customWidth="1"/>
    <col min="4" max="8" width="11.5703125" bestFit="1" customWidth="1"/>
    <col min="9" max="11" width="12.5703125" bestFit="1" customWidth="1"/>
  </cols>
  <sheetData>
    <row r="1" spans="1:11" x14ac:dyDescent="0.25">
      <c r="A1" s="111" t="s">
        <v>58</v>
      </c>
      <c r="B1" s="112"/>
      <c r="C1" s="112"/>
      <c r="D1" s="112"/>
      <c r="E1" s="112"/>
      <c r="F1" s="112"/>
      <c r="G1" s="112"/>
      <c r="H1" s="112"/>
      <c r="I1" s="112"/>
      <c r="J1" s="112"/>
      <c r="K1" s="113"/>
    </row>
    <row r="2" spans="1:11" x14ac:dyDescent="0.25">
      <c r="A2" s="44"/>
      <c r="B2" s="4"/>
      <c r="C2" s="4"/>
      <c r="D2" s="4"/>
      <c r="E2" s="4"/>
      <c r="F2" s="4"/>
      <c r="G2" s="4"/>
      <c r="H2" s="4"/>
      <c r="I2" s="4"/>
      <c r="J2" s="4"/>
      <c r="K2" s="45"/>
    </row>
    <row r="3" spans="1:11" x14ac:dyDescent="0.25">
      <c r="A3" s="46" t="s">
        <v>34</v>
      </c>
      <c r="B3" s="34">
        <v>0.02</v>
      </c>
      <c r="C3" s="33"/>
      <c r="D3" s="33"/>
      <c r="E3" s="33"/>
      <c r="F3" s="33"/>
      <c r="G3" s="33"/>
      <c r="H3" s="33"/>
      <c r="I3" s="33"/>
      <c r="J3" s="33"/>
      <c r="K3" s="47"/>
    </row>
    <row r="4" spans="1:11" x14ac:dyDescent="0.25">
      <c r="A4" s="108" t="s">
        <v>54</v>
      </c>
      <c r="B4" s="109"/>
      <c r="C4" s="109"/>
      <c r="D4" s="109"/>
      <c r="E4" s="109"/>
      <c r="F4" s="109"/>
      <c r="G4" s="109"/>
      <c r="H4" s="109"/>
      <c r="I4" s="109"/>
      <c r="J4" s="109"/>
      <c r="K4" s="110"/>
    </row>
    <row r="5" spans="1:11" x14ac:dyDescent="0.25">
      <c r="A5" s="48"/>
      <c r="B5" s="29" t="s">
        <v>24</v>
      </c>
      <c r="C5" s="29" t="s">
        <v>25</v>
      </c>
      <c r="D5" s="29" t="s">
        <v>26</v>
      </c>
      <c r="E5" s="29" t="s">
        <v>27</v>
      </c>
      <c r="F5" s="29" t="s">
        <v>28</v>
      </c>
      <c r="G5" s="29" t="s">
        <v>29</v>
      </c>
      <c r="H5" s="29" t="s">
        <v>30</v>
      </c>
      <c r="I5" s="29" t="s">
        <v>31</v>
      </c>
      <c r="J5" s="29" t="s">
        <v>32</v>
      </c>
      <c r="K5" s="49" t="s">
        <v>33</v>
      </c>
    </row>
    <row r="6" spans="1:11" x14ac:dyDescent="0.25">
      <c r="A6" s="48" t="s">
        <v>0</v>
      </c>
      <c r="B6" s="30" t="e">
        <f>'Income and Expenses'!#REF!</f>
        <v>#REF!</v>
      </c>
      <c r="C6" s="31" t="e">
        <f t="shared" ref="C6:K6" si="0">(1+$B$3)*B6</f>
        <v>#REF!</v>
      </c>
      <c r="D6" s="31" t="e">
        <f t="shared" si="0"/>
        <v>#REF!</v>
      </c>
      <c r="E6" s="31" t="e">
        <f t="shared" si="0"/>
        <v>#REF!</v>
      </c>
      <c r="F6" s="31" t="e">
        <f t="shared" si="0"/>
        <v>#REF!</v>
      </c>
      <c r="G6" s="31" t="e">
        <f t="shared" si="0"/>
        <v>#REF!</v>
      </c>
      <c r="H6" s="31" t="e">
        <f t="shared" si="0"/>
        <v>#REF!</v>
      </c>
      <c r="I6" s="31" t="e">
        <f t="shared" si="0"/>
        <v>#REF!</v>
      </c>
      <c r="J6" s="31" t="e">
        <f t="shared" si="0"/>
        <v>#REF!</v>
      </c>
      <c r="K6" s="50" t="e">
        <f t="shared" si="0"/>
        <v>#REF!</v>
      </c>
    </row>
    <row r="7" spans="1:11" x14ac:dyDescent="0.25">
      <c r="A7" s="48" t="s">
        <v>36</v>
      </c>
      <c r="B7" s="30" t="e">
        <f>SUM('Income and Expenses'!#REF!)</f>
        <v>#REF!</v>
      </c>
      <c r="C7" s="31">
        <v>0</v>
      </c>
      <c r="D7" s="31">
        <v>0</v>
      </c>
      <c r="E7" s="31">
        <v>0</v>
      </c>
      <c r="F7" s="31">
        <v>0</v>
      </c>
      <c r="G7" s="31">
        <v>0</v>
      </c>
      <c r="H7" s="31">
        <v>0</v>
      </c>
      <c r="I7" s="31">
        <v>0</v>
      </c>
      <c r="J7" s="31">
        <v>0</v>
      </c>
      <c r="K7" s="50">
        <v>0</v>
      </c>
    </row>
    <row r="8" spans="1:11" x14ac:dyDescent="0.25">
      <c r="A8" s="48" t="s">
        <v>37</v>
      </c>
      <c r="B8" s="30" t="e">
        <f>'Income and Expenses'!#REF!</f>
        <v>#REF!</v>
      </c>
      <c r="C8" s="31" t="e">
        <f t="shared" ref="C8:K8" si="1">(1+$B$3)*B8</f>
        <v>#REF!</v>
      </c>
      <c r="D8" s="31" t="e">
        <f t="shared" si="1"/>
        <v>#REF!</v>
      </c>
      <c r="E8" s="31" t="e">
        <f t="shared" si="1"/>
        <v>#REF!</v>
      </c>
      <c r="F8" s="31" t="e">
        <f t="shared" si="1"/>
        <v>#REF!</v>
      </c>
      <c r="G8" s="31" t="e">
        <f t="shared" si="1"/>
        <v>#REF!</v>
      </c>
      <c r="H8" s="31" t="e">
        <f t="shared" si="1"/>
        <v>#REF!</v>
      </c>
      <c r="I8" s="31" t="e">
        <f t="shared" si="1"/>
        <v>#REF!</v>
      </c>
      <c r="J8" s="31" t="e">
        <f t="shared" si="1"/>
        <v>#REF!</v>
      </c>
      <c r="K8" s="50" t="e">
        <f t="shared" si="1"/>
        <v>#REF!</v>
      </c>
    </row>
    <row r="9" spans="1:11" ht="17.25" x14ac:dyDescent="0.4">
      <c r="A9" s="48" t="s">
        <v>35</v>
      </c>
      <c r="B9" s="32" t="e">
        <f t="shared" ref="B9:K9" si="2">B6-B7-B8</f>
        <v>#REF!</v>
      </c>
      <c r="C9" s="32" t="e">
        <f t="shared" si="2"/>
        <v>#REF!</v>
      </c>
      <c r="D9" s="32" t="e">
        <f t="shared" si="2"/>
        <v>#REF!</v>
      </c>
      <c r="E9" s="32" t="e">
        <f t="shared" si="2"/>
        <v>#REF!</v>
      </c>
      <c r="F9" s="32" t="e">
        <f t="shared" si="2"/>
        <v>#REF!</v>
      </c>
      <c r="G9" s="32" t="e">
        <f t="shared" si="2"/>
        <v>#REF!</v>
      </c>
      <c r="H9" s="32" t="e">
        <f t="shared" si="2"/>
        <v>#REF!</v>
      </c>
      <c r="I9" s="32" t="e">
        <f t="shared" si="2"/>
        <v>#REF!</v>
      </c>
      <c r="J9" s="32" t="e">
        <f t="shared" si="2"/>
        <v>#REF!</v>
      </c>
      <c r="K9" s="51" t="e">
        <f t="shared" si="2"/>
        <v>#REF!</v>
      </c>
    </row>
    <row r="10" spans="1:11" ht="17.25" x14ac:dyDescent="0.4">
      <c r="A10" s="48" t="s">
        <v>56</v>
      </c>
      <c r="B10" s="38" t="e">
        <f>B9/'Model Assumptions'!$D$14</f>
        <v>#REF!</v>
      </c>
      <c r="C10" s="38" t="e">
        <f>C9/'Model Assumptions'!$D$14</f>
        <v>#REF!</v>
      </c>
      <c r="D10" s="38" t="e">
        <f>D9/'Model Assumptions'!$D$14</f>
        <v>#REF!</v>
      </c>
      <c r="E10" s="38" t="e">
        <f>E9/'Model Assumptions'!$D$14</f>
        <v>#REF!</v>
      </c>
      <c r="F10" s="38" t="e">
        <f>F9/'Model Assumptions'!$D$14</f>
        <v>#REF!</v>
      </c>
      <c r="G10" s="38" t="e">
        <f>G9/'Model Assumptions'!$D$14</f>
        <v>#REF!</v>
      </c>
      <c r="H10" s="38" t="e">
        <f>H9/'Model Assumptions'!$D$14</f>
        <v>#REF!</v>
      </c>
      <c r="I10" s="38" t="e">
        <f>I9/'Model Assumptions'!$D$14</f>
        <v>#REF!</v>
      </c>
      <c r="J10" s="38" t="e">
        <f>J9/'Model Assumptions'!$D$14</f>
        <v>#REF!</v>
      </c>
      <c r="K10" s="52" t="e">
        <f>K9/'Model Assumptions'!$D$14</f>
        <v>#REF!</v>
      </c>
    </row>
    <row r="11" spans="1:11" ht="17.25" x14ac:dyDescent="0.4">
      <c r="A11" s="44"/>
      <c r="B11" s="37"/>
      <c r="C11" s="37"/>
      <c r="D11" s="37"/>
      <c r="E11" s="37"/>
      <c r="F11" s="37"/>
      <c r="G11" s="37"/>
      <c r="H11" s="37"/>
      <c r="I11" s="37"/>
      <c r="J11" s="37"/>
      <c r="K11" s="53"/>
    </row>
    <row r="12" spans="1:11" x14ac:dyDescent="0.25">
      <c r="A12" s="114" t="s">
        <v>55</v>
      </c>
      <c r="B12" s="115"/>
      <c r="C12" s="115"/>
      <c r="D12" s="115"/>
      <c r="E12" s="115"/>
      <c r="F12" s="115"/>
      <c r="G12" s="115"/>
      <c r="H12" s="115"/>
      <c r="I12" s="115"/>
      <c r="J12" s="115"/>
      <c r="K12" s="116"/>
    </row>
    <row r="13" spans="1:11" x14ac:dyDescent="0.25">
      <c r="A13" s="48"/>
      <c r="B13" s="29" t="s">
        <v>24</v>
      </c>
      <c r="C13" s="29" t="s">
        <v>25</v>
      </c>
      <c r="D13" s="29" t="s">
        <v>26</v>
      </c>
      <c r="E13" s="29" t="s">
        <v>27</v>
      </c>
      <c r="F13" s="29" t="s">
        <v>28</v>
      </c>
      <c r="G13" s="29" t="s">
        <v>29</v>
      </c>
      <c r="H13" s="29" t="s">
        <v>30</v>
      </c>
      <c r="I13" s="29" t="s">
        <v>31</v>
      </c>
      <c r="J13" s="29" t="s">
        <v>32</v>
      </c>
      <c r="K13" s="49" t="s">
        <v>33</v>
      </c>
    </row>
    <row r="14" spans="1:11" x14ac:dyDescent="0.25">
      <c r="A14" s="48" t="s">
        <v>0</v>
      </c>
      <c r="B14" s="30">
        <f>'Income and Expenses'!E6</f>
        <v>3760228.8000000003</v>
      </c>
      <c r="C14" s="31">
        <f t="shared" ref="C14:K14" si="3">(1+$B$3)*B14</f>
        <v>3835433.3760000002</v>
      </c>
      <c r="D14" s="31">
        <f t="shared" si="3"/>
        <v>3912142.0435200003</v>
      </c>
      <c r="E14" s="31">
        <f t="shared" si="3"/>
        <v>3990384.8843904003</v>
      </c>
      <c r="F14" s="31">
        <f t="shared" si="3"/>
        <v>4070192.5820782082</v>
      </c>
      <c r="G14" s="31">
        <f t="shared" si="3"/>
        <v>4151596.4337197724</v>
      </c>
      <c r="H14" s="31">
        <f t="shared" si="3"/>
        <v>4234628.362394168</v>
      </c>
      <c r="I14" s="31">
        <f t="shared" si="3"/>
        <v>4319320.9296420515</v>
      </c>
      <c r="J14" s="31">
        <f t="shared" si="3"/>
        <v>4405707.3482348928</v>
      </c>
      <c r="K14" s="50">
        <f t="shared" si="3"/>
        <v>4493821.4951995909</v>
      </c>
    </row>
    <row r="15" spans="1:11" x14ac:dyDescent="0.25">
      <c r="A15" s="48" t="s">
        <v>36</v>
      </c>
      <c r="B15" s="30">
        <f>SUM('Income and Expenses'!E7:E10)</f>
        <v>800</v>
      </c>
      <c r="C15" s="31">
        <v>0</v>
      </c>
      <c r="D15" s="31">
        <v>0</v>
      </c>
      <c r="E15" s="31">
        <v>0</v>
      </c>
      <c r="F15" s="31">
        <v>0</v>
      </c>
      <c r="G15" s="31">
        <v>0</v>
      </c>
      <c r="H15" s="31">
        <v>0</v>
      </c>
      <c r="I15" s="31">
        <v>0</v>
      </c>
      <c r="J15" s="31">
        <v>0</v>
      </c>
      <c r="K15" s="50">
        <v>0</v>
      </c>
    </row>
    <row r="16" spans="1:11" x14ac:dyDescent="0.25">
      <c r="A16" s="48" t="s">
        <v>37</v>
      </c>
      <c r="B16" s="30">
        <f>'Income and Expenses'!E32</f>
        <v>975443.62400000007</v>
      </c>
      <c r="C16" s="31">
        <f t="shared" ref="C16:K16" si="4">(1+$B$3)*B16</f>
        <v>994952.49648000009</v>
      </c>
      <c r="D16" s="31">
        <f t="shared" si="4"/>
        <v>1014851.5464096001</v>
      </c>
      <c r="E16" s="31">
        <f t="shared" si="4"/>
        <v>1035148.577337792</v>
      </c>
      <c r="F16" s="31">
        <f t="shared" si="4"/>
        <v>1055851.5488845478</v>
      </c>
      <c r="G16" s="31">
        <f t="shared" si="4"/>
        <v>1076968.5798622388</v>
      </c>
      <c r="H16" s="31">
        <f t="shared" si="4"/>
        <v>1098507.9514594837</v>
      </c>
      <c r="I16" s="31">
        <f t="shared" si="4"/>
        <v>1120478.1104886734</v>
      </c>
      <c r="J16" s="31">
        <f t="shared" si="4"/>
        <v>1142887.672698447</v>
      </c>
      <c r="K16" s="50">
        <f t="shared" si="4"/>
        <v>1165745.426152416</v>
      </c>
    </row>
    <row r="17" spans="1:11" ht="17.25" x14ac:dyDescent="0.4">
      <c r="A17" s="48" t="s">
        <v>35</v>
      </c>
      <c r="B17" s="32">
        <f>B14-B15-B16</f>
        <v>2783985.176</v>
      </c>
      <c r="C17" s="32">
        <f t="shared" ref="C17:K17" si="5">C14-C15-C16</f>
        <v>2840480.87952</v>
      </c>
      <c r="D17" s="32">
        <f t="shared" si="5"/>
        <v>2897290.4971104003</v>
      </c>
      <c r="E17" s="32">
        <f t="shared" si="5"/>
        <v>2955236.3070526081</v>
      </c>
      <c r="F17" s="32">
        <f t="shared" si="5"/>
        <v>3014341.0331936604</v>
      </c>
      <c r="G17" s="32">
        <f t="shared" si="5"/>
        <v>3074627.8538575335</v>
      </c>
      <c r="H17" s="32">
        <f t="shared" si="5"/>
        <v>3136120.4109346843</v>
      </c>
      <c r="I17" s="32">
        <f t="shared" si="5"/>
        <v>3198842.8191533778</v>
      </c>
      <c r="J17" s="32">
        <f t="shared" si="5"/>
        <v>3262819.6755364458</v>
      </c>
      <c r="K17" s="51">
        <f t="shared" si="5"/>
        <v>3328076.0690471749</v>
      </c>
    </row>
    <row r="18" spans="1:11" ht="17.25" x14ac:dyDescent="0.4">
      <c r="A18" s="48" t="s">
        <v>56</v>
      </c>
      <c r="B18" s="38">
        <f>B17/'Model Assumptions'!$D$14</f>
        <v>5.0617912290909093</v>
      </c>
      <c r="C18" s="38">
        <f>C17/'Model Assumptions'!$D$14</f>
        <v>5.164510690036364</v>
      </c>
      <c r="D18" s="38">
        <f>D17/'Model Assumptions'!$D$14</f>
        <v>5.2678009038370917</v>
      </c>
      <c r="E18" s="38">
        <f>E17/'Model Assumptions'!$D$14</f>
        <v>5.3731569219138331</v>
      </c>
      <c r="F18" s="38">
        <f>F17/'Model Assumptions'!$D$14</f>
        <v>5.48062006035211</v>
      </c>
      <c r="G18" s="38">
        <f>G17/'Model Assumptions'!$D$14</f>
        <v>5.5902324615591521</v>
      </c>
      <c r="H18" s="38">
        <f>H17/'Model Assumptions'!$D$14</f>
        <v>5.7020371107903349</v>
      </c>
      <c r="I18" s="38">
        <f>I17/'Model Assumptions'!$D$14</f>
        <v>5.8160778530061412</v>
      </c>
      <c r="J18" s="38">
        <f>J17/'Model Assumptions'!$D$14</f>
        <v>5.9323994100662647</v>
      </c>
      <c r="K18" s="52">
        <f>K17/'Model Assumptions'!$D$14</f>
        <v>6.051047398267591</v>
      </c>
    </row>
    <row r="19" spans="1:11" x14ac:dyDescent="0.25">
      <c r="A19" s="44"/>
      <c r="B19" s="4"/>
      <c r="C19" s="4"/>
      <c r="D19" s="4"/>
      <c r="E19" s="4"/>
      <c r="F19" s="4"/>
      <c r="G19" s="4"/>
      <c r="H19" s="4"/>
      <c r="I19" s="4"/>
      <c r="J19" s="4"/>
      <c r="K19" s="45"/>
    </row>
    <row r="20" spans="1:11" x14ac:dyDescent="0.25">
      <c r="A20" s="108" t="s">
        <v>41</v>
      </c>
      <c r="B20" s="109"/>
      <c r="C20" s="109"/>
      <c r="D20" s="109"/>
      <c r="E20" s="109"/>
      <c r="F20" s="109"/>
      <c r="G20" s="109"/>
      <c r="H20" s="109"/>
      <c r="I20" s="109"/>
      <c r="J20" s="109"/>
      <c r="K20" s="110"/>
    </row>
    <row r="21" spans="1:11" ht="15.75" thickBot="1" x14ac:dyDescent="0.3">
      <c r="A21" s="54" t="s">
        <v>45</v>
      </c>
      <c r="B21" s="55" t="e">
        <f>B17-B9</f>
        <v>#REF!</v>
      </c>
      <c r="C21" s="55" t="e">
        <f t="shared" ref="C21:K21" si="6">C17-C9</f>
        <v>#REF!</v>
      </c>
      <c r="D21" s="55" t="e">
        <f t="shared" si="6"/>
        <v>#REF!</v>
      </c>
      <c r="E21" s="55" t="e">
        <f t="shared" si="6"/>
        <v>#REF!</v>
      </c>
      <c r="F21" s="55" t="e">
        <f t="shared" si="6"/>
        <v>#REF!</v>
      </c>
      <c r="G21" s="55" t="e">
        <f t="shared" si="6"/>
        <v>#REF!</v>
      </c>
      <c r="H21" s="55" t="e">
        <f t="shared" si="6"/>
        <v>#REF!</v>
      </c>
      <c r="I21" s="55" t="e">
        <f t="shared" si="6"/>
        <v>#REF!</v>
      </c>
      <c r="J21" s="55" t="e">
        <f t="shared" si="6"/>
        <v>#REF!</v>
      </c>
      <c r="K21" s="56" t="e">
        <f t="shared" si="6"/>
        <v>#REF!</v>
      </c>
    </row>
    <row r="23" spans="1:11" ht="15.75" thickBot="1" x14ac:dyDescent="0.3">
      <c r="C23" s="2"/>
    </row>
    <row r="24" spans="1:11" x14ac:dyDescent="0.25">
      <c r="A24" s="111" t="s">
        <v>57</v>
      </c>
      <c r="B24" s="112"/>
      <c r="C24" s="112"/>
      <c r="D24" s="112"/>
      <c r="E24" s="112"/>
      <c r="F24" s="112"/>
      <c r="G24" s="112"/>
      <c r="H24" s="112"/>
      <c r="I24" s="112"/>
      <c r="J24" s="112"/>
      <c r="K24" s="113"/>
    </row>
    <row r="25" spans="1:11" x14ac:dyDescent="0.25">
      <c r="A25" s="44"/>
      <c r="B25" s="4"/>
      <c r="C25" s="4"/>
      <c r="D25" s="4"/>
      <c r="E25" s="4"/>
      <c r="F25" s="4"/>
      <c r="G25" s="4"/>
      <c r="H25" s="4"/>
      <c r="I25" s="4"/>
      <c r="J25" s="4"/>
      <c r="K25" s="45"/>
    </row>
    <row r="26" spans="1:11" x14ac:dyDescent="0.25">
      <c r="A26" s="46" t="str">
        <f t="shared" ref="A26:B26" si="7">A3</f>
        <v>CPI</v>
      </c>
      <c r="B26" s="34">
        <f t="shared" si="7"/>
        <v>0.02</v>
      </c>
      <c r="C26" s="33"/>
      <c r="D26" s="33"/>
      <c r="E26" s="33"/>
      <c r="F26" s="33"/>
      <c r="G26" s="33"/>
      <c r="H26" s="33"/>
      <c r="I26" s="33"/>
      <c r="J26" s="33"/>
      <c r="K26" s="47"/>
    </row>
    <row r="27" spans="1:11" x14ac:dyDescent="0.25">
      <c r="A27" s="108" t="str">
        <f t="shared" ref="A27" si="8">A4</f>
        <v>Long-term rental</v>
      </c>
      <c r="B27" s="109"/>
      <c r="C27" s="109"/>
      <c r="D27" s="109"/>
      <c r="E27" s="109"/>
      <c r="F27" s="109"/>
      <c r="G27" s="109"/>
      <c r="H27" s="109"/>
      <c r="I27" s="109"/>
      <c r="J27" s="109"/>
      <c r="K27" s="110"/>
    </row>
    <row r="28" spans="1:11" x14ac:dyDescent="0.25">
      <c r="A28" s="48">
        <f t="shared" ref="A28:K28" si="9">A5</f>
        <v>0</v>
      </c>
      <c r="B28" s="29" t="str">
        <f t="shared" si="9"/>
        <v>Year 1</v>
      </c>
      <c r="C28" s="29" t="str">
        <f t="shared" si="9"/>
        <v>Year 2</v>
      </c>
      <c r="D28" s="29" t="str">
        <f t="shared" si="9"/>
        <v>Year 3</v>
      </c>
      <c r="E28" s="29" t="str">
        <f t="shared" si="9"/>
        <v>Year 4</v>
      </c>
      <c r="F28" s="29" t="str">
        <f t="shared" si="9"/>
        <v>Year 5</v>
      </c>
      <c r="G28" s="29" t="str">
        <f t="shared" si="9"/>
        <v>Year 6</v>
      </c>
      <c r="H28" s="29" t="str">
        <f t="shared" si="9"/>
        <v>Year 7</v>
      </c>
      <c r="I28" s="29" t="str">
        <f t="shared" si="9"/>
        <v>Year 8</v>
      </c>
      <c r="J28" s="29" t="str">
        <f t="shared" si="9"/>
        <v>Year 9</v>
      </c>
      <c r="K28" s="49" t="str">
        <f t="shared" si="9"/>
        <v>Year 10</v>
      </c>
    </row>
    <row r="29" spans="1:11" x14ac:dyDescent="0.25">
      <c r="A29" s="48" t="str">
        <f t="shared" ref="A29:K29" si="10">A6</f>
        <v>Income</v>
      </c>
      <c r="B29" s="30" t="e">
        <f>B6</f>
        <v>#REF!</v>
      </c>
      <c r="C29" s="31" t="e">
        <f t="shared" si="10"/>
        <v>#REF!</v>
      </c>
      <c r="D29" s="31" t="e">
        <f t="shared" si="10"/>
        <v>#REF!</v>
      </c>
      <c r="E29" s="31" t="e">
        <f t="shared" si="10"/>
        <v>#REF!</v>
      </c>
      <c r="F29" s="31" t="e">
        <f t="shared" si="10"/>
        <v>#REF!</v>
      </c>
      <c r="G29" s="31" t="e">
        <f t="shared" si="10"/>
        <v>#REF!</v>
      </c>
      <c r="H29" s="31" t="e">
        <f t="shared" si="10"/>
        <v>#REF!</v>
      </c>
      <c r="I29" s="31" t="e">
        <f t="shared" si="10"/>
        <v>#REF!</v>
      </c>
      <c r="J29" s="31" t="e">
        <f t="shared" si="10"/>
        <v>#REF!</v>
      </c>
      <c r="K29" s="50" t="e">
        <f t="shared" si="10"/>
        <v>#REF!</v>
      </c>
    </row>
    <row r="30" spans="1:11" x14ac:dyDescent="0.25">
      <c r="A30" s="48" t="str">
        <f t="shared" ref="A30:K30" si="11">A7</f>
        <v>Upfront Expenses</v>
      </c>
      <c r="B30" s="30" t="e">
        <f t="shared" si="11"/>
        <v>#REF!</v>
      </c>
      <c r="C30" s="31">
        <f t="shared" si="11"/>
        <v>0</v>
      </c>
      <c r="D30" s="31">
        <f t="shared" si="11"/>
        <v>0</v>
      </c>
      <c r="E30" s="31">
        <f t="shared" si="11"/>
        <v>0</v>
      </c>
      <c r="F30" s="31">
        <f t="shared" si="11"/>
        <v>0</v>
      </c>
      <c r="G30" s="31">
        <f t="shared" si="11"/>
        <v>0</v>
      </c>
      <c r="H30" s="31">
        <f t="shared" si="11"/>
        <v>0</v>
      </c>
      <c r="I30" s="31">
        <f t="shared" si="11"/>
        <v>0</v>
      </c>
      <c r="J30" s="31">
        <f t="shared" si="11"/>
        <v>0</v>
      </c>
      <c r="K30" s="50">
        <f t="shared" si="11"/>
        <v>0</v>
      </c>
    </row>
    <row r="31" spans="1:11" x14ac:dyDescent="0.25">
      <c r="A31" s="48" t="str">
        <f t="shared" ref="A31:B31" si="12">A8</f>
        <v>On-Going Expenses</v>
      </c>
      <c r="B31" s="30" t="e">
        <f t="shared" si="12"/>
        <v>#REF!</v>
      </c>
      <c r="C31" s="31" t="e">
        <f>(1+$B$3)*(B31-('Model Assumptions'!$D$16*'Yearly Projections'!B32))</f>
        <v>#REF!</v>
      </c>
      <c r="D31" s="31" t="e">
        <f>(1+$B$3)*(C31-('Model Assumptions'!$D$16*'Yearly Projections'!C32))</f>
        <v>#REF!</v>
      </c>
      <c r="E31" s="31" t="e">
        <f>(1+$B$3)*(D31-('Model Assumptions'!$D$16*'Yearly Projections'!D32))</f>
        <v>#REF!</v>
      </c>
      <c r="F31" s="31" t="e">
        <f>(1+$B$3)*(E31-('Model Assumptions'!$D$16*'Yearly Projections'!E32))</f>
        <v>#REF!</v>
      </c>
      <c r="G31" s="31" t="e">
        <f>(1+$B$3)*(F31-('Model Assumptions'!$D$16*'Yearly Projections'!F32))</f>
        <v>#REF!</v>
      </c>
      <c r="H31" s="31" t="e">
        <f>(1+$B$3)*(G31-('Model Assumptions'!$D$16*'Yearly Projections'!G32))</f>
        <v>#REF!</v>
      </c>
      <c r="I31" s="31" t="e">
        <f>(1+$B$3)*(H31-('Model Assumptions'!$D$16*'Yearly Projections'!H32))</f>
        <v>#REF!</v>
      </c>
      <c r="J31" s="31" t="e">
        <f>(1+$B$3)*(I31-('Model Assumptions'!$D$16*'Yearly Projections'!I32))</f>
        <v>#REF!</v>
      </c>
      <c r="K31" s="50" t="e">
        <f>(1+$B$3)*(J31-('Model Assumptions'!$D$16*'Yearly Projections'!J32))</f>
        <v>#REF!</v>
      </c>
    </row>
    <row r="32" spans="1:11" ht="17.25" x14ac:dyDescent="0.4">
      <c r="A32" s="48" t="str">
        <f t="shared" ref="A32" si="13">A9</f>
        <v>Net Profit</v>
      </c>
      <c r="B32" s="32" t="e">
        <f t="shared" ref="B32:K32" si="14">B29-B30-B31</f>
        <v>#REF!</v>
      </c>
      <c r="C32" s="32" t="e">
        <f t="shared" si="14"/>
        <v>#REF!</v>
      </c>
      <c r="D32" s="32" t="e">
        <f t="shared" si="14"/>
        <v>#REF!</v>
      </c>
      <c r="E32" s="32" t="e">
        <f t="shared" si="14"/>
        <v>#REF!</v>
      </c>
      <c r="F32" s="32" t="e">
        <f t="shared" si="14"/>
        <v>#REF!</v>
      </c>
      <c r="G32" s="32" t="e">
        <f t="shared" si="14"/>
        <v>#REF!</v>
      </c>
      <c r="H32" s="32" t="e">
        <f t="shared" si="14"/>
        <v>#REF!</v>
      </c>
      <c r="I32" s="32" t="e">
        <f t="shared" si="14"/>
        <v>#REF!</v>
      </c>
      <c r="J32" s="32" t="e">
        <f t="shared" si="14"/>
        <v>#REF!</v>
      </c>
      <c r="K32" s="51" t="e">
        <f t="shared" si="14"/>
        <v>#REF!</v>
      </c>
    </row>
    <row r="33" spans="1:12" ht="17.25" x14ac:dyDescent="0.4">
      <c r="A33" s="48" t="str">
        <f t="shared" ref="A33" si="15">A10</f>
        <v>Net Yield</v>
      </c>
      <c r="B33" s="38" t="e">
        <f>B32/'Model Assumptions'!$D$14</f>
        <v>#REF!</v>
      </c>
      <c r="C33" s="38" t="e">
        <f>C32/'Model Assumptions'!$D$14</f>
        <v>#REF!</v>
      </c>
      <c r="D33" s="38" t="e">
        <f>D32/'Model Assumptions'!$D$14</f>
        <v>#REF!</v>
      </c>
      <c r="E33" s="38" t="e">
        <f>E32/'Model Assumptions'!$D$14</f>
        <v>#REF!</v>
      </c>
      <c r="F33" s="38" t="e">
        <f>F32/'Model Assumptions'!$D$14</f>
        <v>#REF!</v>
      </c>
      <c r="G33" s="38" t="e">
        <f>G32/'Model Assumptions'!$D$14</f>
        <v>#REF!</v>
      </c>
      <c r="H33" s="38" t="e">
        <f>H32/'Model Assumptions'!$D$14</f>
        <v>#REF!</v>
      </c>
      <c r="I33" s="38" t="e">
        <f>I32/'Model Assumptions'!$D$14</f>
        <v>#REF!</v>
      </c>
      <c r="J33" s="38" t="e">
        <f>J32/'Model Assumptions'!$D$14</f>
        <v>#REF!</v>
      </c>
      <c r="K33" s="52" t="e">
        <f>K32/'Model Assumptions'!$D$14</f>
        <v>#REF!</v>
      </c>
    </row>
    <row r="34" spans="1:12" ht="17.25" x14ac:dyDescent="0.4">
      <c r="A34" s="44"/>
      <c r="B34" s="37"/>
      <c r="C34" s="37"/>
      <c r="D34" s="37"/>
      <c r="E34" s="37"/>
      <c r="F34" s="37"/>
      <c r="G34" s="37"/>
      <c r="H34" s="37"/>
      <c r="I34" s="37"/>
      <c r="J34" s="37"/>
      <c r="K34" s="53"/>
    </row>
    <row r="35" spans="1:12" x14ac:dyDescent="0.25">
      <c r="A35" s="108" t="str">
        <f t="shared" ref="A35" si="16">A12</f>
        <v>Short-term rental</v>
      </c>
      <c r="B35" s="109"/>
      <c r="C35" s="109"/>
      <c r="D35" s="109"/>
      <c r="E35" s="109"/>
      <c r="F35" s="109"/>
      <c r="G35" s="109"/>
      <c r="H35" s="109"/>
      <c r="I35" s="109"/>
      <c r="J35" s="109"/>
      <c r="K35" s="110"/>
    </row>
    <row r="36" spans="1:12" x14ac:dyDescent="0.25">
      <c r="A36" s="48"/>
      <c r="B36" s="29" t="str">
        <f t="shared" ref="B36:K36" si="17">B13</f>
        <v>Year 1</v>
      </c>
      <c r="C36" s="29" t="str">
        <f t="shared" si="17"/>
        <v>Year 2</v>
      </c>
      <c r="D36" s="29" t="str">
        <f t="shared" si="17"/>
        <v>Year 3</v>
      </c>
      <c r="E36" s="29" t="str">
        <f t="shared" si="17"/>
        <v>Year 4</v>
      </c>
      <c r="F36" s="29" t="str">
        <f t="shared" si="17"/>
        <v>Year 5</v>
      </c>
      <c r="G36" s="29" t="str">
        <f t="shared" si="17"/>
        <v>Year 6</v>
      </c>
      <c r="H36" s="29" t="str">
        <f t="shared" si="17"/>
        <v>Year 7</v>
      </c>
      <c r="I36" s="29" t="str">
        <f t="shared" si="17"/>
        <v>Year 8</v>
      </c>
      <c r="J36" s="29" t="str">
        <f t="shared" si="17"/>
        <v>Year 9</v>
      </c>
      <c r="K36" s="49" t="str">
        <f t="shared" si="17"/>
        <v>Year 10</v>
      </c>
    </row>
    <row r="37" spans="1:12" x14ac:dyDescent="0.25">
      <c r="A37" s="48" t="str">
        <f t="shared" ref="A37:K37" si="18">A14</f>
        <v>Income</v>
      </c>
      <c r="B37" s="30">
        <f t="shared" si="18"/>
        <v>3760228.8000000003</v>
      </c>
      <c r="C37" s="31">
        <f t="shared" si="18"/>
        <v>3835433.3760000002</v>
      </c>
      <c r="D37" s="31">
        <f t="shared" si="18"/>
        <v>3912142.0435200003</v>
      </c>
      <c r="E37" s="31">
        <f t="shared" si="18"/>
        <v>3990384.8843904003</v>
      </c>
      <c r="F37" s="31">
        <f t="shared" si="18"/>
        <v>4070192.5820782082</v>
      </c>
      <c r="G37" s="31">
        <f t="shared" si="18"/>
        <v>4151596.4337197724</v>
      </c>
      <c r="H37" s="31">
        <f t="shared" si="18"/>
        <v>4234628.362394168</v>
      </c>
      <c r="I37" s="31">
        <f t="shared" si="18"/>
        <v>4319320.9296420515</v>
      </c>
      <c r="J37" s="31">
        <f t="shared" si="18"/>
        <v>4405707.3482348928</v>
      </c>
      <c r="K37" s="50">
        <f t="shared" si="18"/>
        <v>4493821.4951995909</v>
      </c>
    </row>
    <row r="38" spans="1:12" x14ac:dyDescent="0.25">
      <c r="A38" s="48" t="str">
        <f t="shared" ref="A38:K38" si="19">A15</f>
        <v>Upfront Expenses</v>
      </c>
      <c r="B38" s="30">
        <f t="shared" si="19"/>
        <v>800</v>
      </c>
      <c r="C38" s="31">
        <f t="shared" si="19"/>
        <v>0</v>
      </c>
      <c r="D38" s="31">
        <f t="shared" si="19"/>
        <v>0</v>
      </c>
      <c r="E38" s="31">
        <f t="shared" si="19"/>
        <v>0</v>
      </c>
      <c r="F38" s="31">
        <f t="shared" si="19"/>
        <v>0</v>
      </c>
      <c r="G38" s="31">
        <f t="shared" si="19"/>
        <v>0</v>
      </c>
      <c r="H38" s="31">
        <f t="shared" si="19"/>
        <v>0</v>
      </c>
      <c r="I38" s="31">
        <f t="shared" si="19"/>
        <v>0</v>
      </c>
      <c r="J38" s="31">
        <f t="shared" si="19"/>
        <v>0</v>
      </c>
      <c r="K38" s="50">
        <f t="shared" si="19"/>
        <v>0</v>
      </c>
    </row>
    <row r="39" spans="1:12" x14ac:dyDescent="0.25">
      <c r="A39" s="48" t="str">
        <f t="shared" ref="A39:B39" si="20">A16</f>
        <v>On-Going Expenses</v>
      </c>
      <c r="B39" s="30">
        <f t="shared" si="20"/>
        <v>975443.62400000007</v>
      </c>
      <c r="C39" s="31">
        <f>((1+$B$3)*B39)-('Model Assumptions'!$D$16*'Yearly Projections'!B40)</f>
        <v>855753.23768000002</v>
      </c>
      <c r="D39" s="31">
        <f>((1+$B$3)*C39)-('Model Assumptions'!$D$16*'Yearly Projections'!C40)</f>
        <v>723884.29551760003</v>
      </c>
      <c r="E39" s="31">
        <f>((1+$B$3)*D39)-('Model Assumptions'!$D$16*'Yearly Projections'!D40)</f>
        <v>578949.09402783203</v>
      </c>
      <c r="F39" s="31">
        <f>((1+$B$3)*E39)-('Model Assumptions'!$D$16*'Yearly Projections'!E40)</f>
        <v>419956.28639026033</v>
      </c>
      <c r="G39" s="31">
        <f>((1+$B$3)*F39)-('Model Assumptions'!$D$16*'Yearly Projections'!F40)</f>
        <v>245843.59733366812</v>
      </c>
      <c r="H39" s="31">
        <f>((1+$B$3)*G39)-('Model Assumptions'!$D$16*'Yearly Projections'!G40)</f>
        <v>55472.827461036271</v>
      </c>
      <c r="I39" s="31">
        <f>((1+$B$3)*H39)-('Model Assumptions'!$D$16*'Yearly Projections'!H40)</f>
        <v>-152375.49273639961</v>
      </c>
      <c r="J39" s="31">
        <f>((1+$B$3)*I39)-('Model Assumptions'!$D$16*'Yearly Projections'!I40)</f>
        <v>-379007.8237100502</v>
      </c>
      <c r="K39" s="50">
        <f>((1+$B$3)*J39)-('Model Assumptions'!$D$16*'Yearly Projections'!J40)</f>
        <v>-625823.7387814984</v>
      </c>
      <c r="L39" s="3"/>
    </row>
    <row r="40" spans="1:12" ht="17.25" x14ac:dyDescent="0.4">
      <c r="A40" s="48" t="str">
        <f t="shared" ref="A40" si="21">A17</f>
        <v>Net Profit</v>
      </c>
      <c r="B40" s="32">
        <f t="shared" ref="B40:K40" si="22">B37-B38-B39</f>
        <v>2783985.176</v>
      </c>
      <c r="C40" s="32">
        <f t="shared" si="22"/>
        <v>2979680.1383199999</v>
      </c>
      <c r="D40" s="32">
        <f t="shared" si="22"/>
        <v>3188257.7480024002</v>
      </c>
      <c r="E40" s="32">
        <f t="shared" si="22"/>
        <v>3411435.7903625681</v>
      </c>
      <c r="F40" s="32">
        <f t="shared" si="22"/>
        <v>3650236.2956879479</v>
      </c>
      <c r="G40" s="32">
        <f t="shared" si="22"/>
        <v>3905752.8363861041</v>
      </c>
      <c r="H40" s="32">
        <f t="shared" si="22"/>
        <v>4179155.5349331317</v>
      </c>
      <c r="I40" s="32">
        <f t="shared" si="22"/>
        <v>4471696.4223784506</v>
      </c>
      <c r="J40" s="32">
        <f t="shared" si="22"/>
        <v>4784715.1719449433</v>
      </c>
      <c r="K40" s="51">
        <f t="shared" si="22"/>
        <v>5119645.2339810897</v>
      </c>
    </row>
    <row r="41" spans="1:12" ht="17.25" x14ac:dyDescent="0.4">
      <c r="A41" s="48" t="str">
        <f t="shared" ref="A41" si="23">A18</f>
        <v>Net Yield</v>
      </c>
      <c r="B41" s="38">
        <f>B40/'Model Assumptions'!$D$14</f>
        <v>5.0617912290909093</v>
      </c>
      <c r="C41" s="38">
        <f>C40/'Model Assumptions'!$D$14</f>
        <v>5.4176002514909092</v>
      </c>
      <c r="D41" s="38">
        <f>D40/'Model Assumptions'!$D$14</f>
        <v>5.7968322690952734</v>
      </c>
      <c r="E41" s="38">
        <f>E40/'Model Assumptions'!$D$14</f>
        <v>6.2026105279319417</v>
      </c>
      <c r="F41" s="38">
        <f>F40/'Model Assumptions'!$D$14</f>
        <v>6.6367932648871779</v>
      </c>
      <c r="G41" s="38">
        <f>G40/'Model Assumptions'!$D$14</f>
        <v>7.1013687934292804</v>
      </c>
      <c r="H41" s="38">
        <f>H40/'Model Assumptions'!$D$14</f>
        <v>7.59846460896933</v>
      </c>
      <c r="I41" s="38">
        <f>I40/'Model Assumptions'!$D$14</f>
        <v>8.130357131597183</v>
      </c>
      <c r="J41" s="38">
        <f>J40/'Model Assumptions'!$D$14</f>
        <v>8.6994821308089882</v>
      </c>
      <c r="K41" s="52">
        <f>K40/'Model Assumptions'!$D$14</f>
        <v>9.3084458799656176</v>
      </c>
    </row>
    <row r="42" spans="1:12" x14ac:dyDescent="0.25">
      <c r="A42" s="44"/>
      <c r="B42" s="4"/>
      <c r="C42" s="4"/>
      <c r="D42" s="4"/>
      <c r="E42" s="4"/>
      <c r="F42" s="4"/>
      <c r="G42" s="4"/>
      <c r="H42" s="4"/>
      <c r="I42" s="4"/>
      <c r="J42" s="4"/>
      <c r="K42" s="45"/>
    </row>
    <row r="43" spans="1:12" x14ac:dyDescent="0.25">
      <c r="A43" s="108" t="str">
        <f t="shared" ref="A43" si="24">A20</f>
        <v>Comparison</v>
      </c>
      <c r="B43" s="109"/>
      <c r="C43" s="109"/>
      <c r="D43" s="109"/>
      <c r="E43" s="109"/>
      <c r="F43" s="109"/>
      <c r="G43" s="109"/>
      <c r="H43" s="109"/>
      <c r="I43" s="109"/>
      <c r="J43" s="109"/>
      <c r="K43" s="110"/>
    </row>
    <row r="44" spans="1:12" ht="15.75" thickBot="1" x14ac:dyDescent="0.3">
      <c r="A44" s="54" t="str">
        <f t="shared" ref="A44" si="25">A21</f>
        <v>Additional profit ($)</v>
      </c>
      <c r="B44" s="55" t="e">
        <f t="shared" ref="B44:K44" si="26">B40-B32</f>
        <v>#REF!</v>
      </c>
      <c r="C44" s="55" t="e">
        <f t="shared" si="26"/>
        <v>#REF!</v>
      </c>
      <c r="D44" s="55" t="e">
        <f t="shared" si="26"/>
        <v>#REF!</v>
      </c>
      <c r="E44" s="55" t="e">
        <f t="shared" si="26"/>
        <v>#REF!</v>
      </c>
      <c r="F44" s="55" t="e">
        <f t="shared" si="26"/>
        <v>#REF!</v>
      </c>
      <c r="G44" s="55" t="e">
        <f t="shared" si="26"/>
        <v>#REF!</v>
      </c>
      <c r="H44" s="55" t="e">
        <f t="shared" si="26"/>
        <v>#REF!</v>
      </c>
      <c r="I44" s="55" t="e">
        <f t="shared" si="26"/>
        <v>#REF!</v>
      </c>
      <c r="J44" s="55" t="e">
        <f t="shared" si="26"/>
        <v>#REF!</v>
      </c>
      <c r="K44" s="56" t="e">
        <f t="shared" si="26"/>
        <v>#REF!</v>
      </c>
    </row>
    <row r="49" spans="3:3" x14ac:dyDescent="0.25">
      <c r="C49" s="3"/>
    </row>
    <row r="50" spans="3:3" x14ac:dyDescent="0.25">
      <c r="C50" s="3"/>
    </row>
    <row r="51" spans="3:3" x14ac:dyDescent="0.25">
      <c r="C51" s="3"/>
    </row>
    <row r="52" spans="3:3" x14ac:dyDescent="0.25">
      <c r="C52" s="3"/>
    </row>
  </sheetData>
  <mergeCells count="8">
    <mergeCell ref="A27:K27"/>
    <mergeCell ref="A35:K35"/>
    <mergeCell ref="A43:K43"/>
    <mergeCell ref="A1:K1"/>
    <mergeCell ref="A4:K4"/>
    <mergeCell ref="A12:K12"/>
    <mergeCell ref="A20:K20"/>
    <mergeCell ref="A24:K24"/>
  </mergeCells>
  <pageMargins left="0.7" right="0.7" top="0.75" bottom="0.75" header="0.3" footer="0.3"/>
  <pageSetup paperSize="9"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Comparable Properties</vt:lpstr>
      <vt:lpstr>Model Assumptions</vt:lpstr>
      <vt:lpstr>Income and Expenses</vt:lpstr>
      <vt:lpstr>Yearly Projections</vt:lpstr>
      <vt:lpstr>Neg</vt:lpstr>
      <vt:lpstr>PName</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gwizz</dc:creator>
  <cp:lastModifiedBy>Jacob Rothfield</cp:lastModifiedBy>
  <cp:lastPrinted>2017-07-20T22:34:40Z</cp:lastPrinted>
  <dcterms:created xsi:type="dcterms:W3CDTF">2016-09-12T06:41:02Z</dcterms:created>
  <dcterms:modified xsi:type="dcterms:W3CDTF">2017-08-02T23:47:06Z</dcterms:modified>
</cp:coreProperties>
</file>