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rodic-my.sharepoint.com/personal/rajesh_wagh_rodicconsultants_com/Documents/"/>
    </mc:Choice>
  </mc:AlternateContent>
  <xr:revisionPtr revIDLastSave="987" documentId="14_{5CC806AB-8DB3-4802-9210-F547645394C9}" xr6:coauthVersionLast="47" xr6:coauthVersionMax="47" xr10:uidLastSave="{725751D8-DADE-4FE8-974F-D59C2F072E02}"/>
  <bookViews>
    <workbookView xWindow="-110" yWindow="-110" windowWidth="19420" windowHeight="10420" xr2:uid="{7829F1CB-3211-4A3B-AC8D-F3DD9AC06CA8}"/>
  </bookViews>
  <sheets>
    <sheet name="Charts" sheetId="5" r:id="rId1"/>
    <sheet name="Summary" sheetId="3" r:id="rId2"/>
    <sheet name="Input" sheetId="1" r:id="rId3"/>
    <sheet name="ActualExpe_July" sheetId="11" r:id="rId4"/>
    <sheet name="Chart_data" sheetId="6" r:id="rId5"/>
    <sheet name="ActualExpe_Jun" sheetId="4" r:id="rId6"/>
    <sheet name="ActualExpe_MAy" sheetId="2" r:id="rId7"/>
    <sheet name="My financial Goal" sheetId="8" r:id="rId8"/>
    <sheet name="Daily goals Vs what I did" sheetId="9" r:id="rId9"/>
    <sheet name="Investment" sheetId="10" r:id="rId10"/>
  </sheet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5" l="1"/>
  <c r="V11" i="11" l="1"/>
  <c r="T10" i="11"/>
  <c r="P10" i="11"/>
  <c r="P19" i="11"/>
  <c r="K10" i="11"/>
  <c r="L10" i="11"/>
  <c r="J10" i="11"/>
  <c r="O13" i="6"/>
  <c r="D66" i="5"/>
  <c r="D64" i="5"/>
  <c r="D63" i="5"/>
  <c r="D62" i="5"/>
  <c r="D60" i="5"/>
  <c r="AC4" i="11"/>
  <c r="AC5" i="11"/>
  <c r="AC6" i="11"/>
  <c r="AL6" i="11" s="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3" i="11"/>
  <c r="AJ21" i="11"/>
  <c r="D35" i="6"/>
  <c r="D34" i="6"/>
  <c r="D33" i="6"/>
  <c r="D32" i="6"/>
  <c r="D31" i="6"/>
  <c r="D30" i="6"/>
  <c r="D29" i="6"/>
  <c r="D28" i="6"/>
  <c r="D27" i="6"/>
  <c r="D26" i="6"/>
  <c r="J21" i="11"/>
  <c r="D12" i="6" s="1"/>
  <c r="I21" i="11"/>
  <c r="D11" i="6"/>
  <c r="H21" i="11"/>
  <c r="D10" i="6"/>
  <c r="R5" i="6"/>
  <c r="L8" i="6"/>
  <c r="E42" i="1"/>
  <c r="E43" i="1"/>
  <c r="E37" i="1"/>
  <c r="E34" i="1"/>
  <c r="E24" i="1"/>
  <c r="E23" i="1"/>
  <c r="E17" i="1"/>
  <c r="E16" i="1"/>
  <c r="E11" i="1"/>
  <c r="E15" i="1"/>
  <c r="E9" i="1"/>
  <c r="E8" i="1"/>
  <c r="E6" i="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3" i="11"/>
  <c r="M4" i="11"/>
  <c r="M5" i="11"/>
  <c r="M6" i="11"/>
  <c r="M3" i="11"/>
  <c r="AL3" i="11" s="1"/>
  <c r="M10" i="11"/>
  <c r="M11" i="11"/>
  <c r="M7" i="11"/>
  <c r="M8" i="11"/>
  <c r="M9" i="11"/>
  <c r="M12" i="11"/>
  <c r="M13" i="11"/>
  <c r="M14" i="11"/>
  <c r="M15" i="11"/>
  <c r="M16" i="11"/>
  <c r="M17" i="11"/>
  <c r="M18" i="11"/>
  <c r="M19" i="11"/>
  <c r="M20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3" i="11"/>
  <c r="AI21" i="11"/>
  <c r="AH21" i="11"/>
  <c r="AG21" i="11"/>
  <c r="AE21" i="11"/>
  <c r="AB21" i="11"/>
  <c r="AA21" i="11"/>
  <c r="Y21" i="11"/>
  <c r="D25" i="6" s="1"/>
  <c r="X21" i="11"/>
  <c r="D24" i="6" s="1"/>
  <c r="V21" i="11"/>
  <c r="D22" i="6" s="1"/>
  <c r="T21" i="11"/>
  <c r="D21" i="6" s="1"/>
  <c r="S21" i="11"/>
  <c r="D20" i="6" s="1"/>
  <c r="R21" i="11"/>
  <c r="D19" i="6" s="1"/>
  <c r="Q21" i="11"/>
  <c r="D18" i="6" s="1"/>
  <c r="P21" i="11"/>
  <c r="D17" i="6" s="1"/>
  <c r="O21" i="11"/>
  <c r="D16" i="6" s="1"/>
  <c r="N21" i="11"/>
  <c r="D15" i="6" s="1"/>
  <c r="L21" i="11"/>
  <c r="D14" i="6" s="1"/>
  <c r="K21" i="11"/>
  <c r="D13" i="6" s="1"/>
  <c r="G21" i="11"/>
  <c r="D9" i="6"/>
  <c r="D21" i="11"/>
  <c r="D7" i="6"/>
  <c r="B21" i="11"/>
  <c r="D5" i="6"/>
  <c r="F21" i="11"/>
  <c r="D8" i="6"/>
  <c r="AD21" i="11"/>
  <c r="AF6" i="4"/>
  <c r="AJ6" i="4"/>
  <c r="AC19" i="4"/>
  <c r="AC10" i="4"/>
  <c r="AE10" i="4"/>
  <c r="Z16" i="4"/>
  <c r="AE16" i="4"/>
  <c r="AK16" i="4"/>
  <c r="Q8" i="6"/>
  <c r="V17" i="4"/>
  <c r="D6" i="1"/>
  <c r="D3" i="8"/>
  <c r="H10" i="4"/>
  <c r="H15" i="4"/>
  <c r="O15" i="4"/>
  <c r="D7" i="1"/>
  <c r="E19" i="4"/>
  <c r="G19" i="4"/>
  <c r="G21" i="4"/>
  <c r="G20" i="4"/>
  <c r="G17" i="4"/>
  <c r="C20" i="4"/>
  <c r="G10" i="4"/>
  <c r="O10" i="4"/>
  <c r="G11" i="4"/>
  <c r="AJ10" i="4"/>
  <c r="AJ11" i="4"/>
  <c r="AJ12" i="4"/>
  <c r="AE11" i="4"/>
  <c r="W10" i="4"/>
  <c r="W11" i="4"/>
  <c r="O11" i="4"/>
  <c r="K12" i="3"/>
  <c r="C10" i="8"/>
  <c r="D10" i="8"/>
  <c r="D4" i="8"/>
  <c r="D5" i="8"/>
  <c r="D6" i="8"/>
  <c r="D24" i="1"/>
  <c r="D25" i="1"/>
  <c r="C18" i="3"/>
  <c r="H15" i="6"/>
  <c r="U21" i="4"/>
  <c r="C22" i="6"/>
  <c r="D21" i="4"/>
  <c r="C7" i="6"/>
  <c r="AJ4" i="4"/>
  <c r="AK4" i="4"/>
  <c r="AJ5" i="4"/>
  <c r="AK5" i="4"/>
  <c r="AJ7" i="4"/>
  <c r="AJ8" i="4"/>
  <c r="AJ9" i="4"/>
  <c r="AJ13" i="4"/>
  <c r="AJ14" i="4"/>
  <c r="AJ15" i="4"/>
  <c r="AJ16" i="4"/>
  <c r="AJ17" i="4"/>
  <c r="AJ18" i="4"/>
  <c r="AJ19" i="4"/>
  <c r="AJ20" i="4"/>
  <c r="AJ3" i="4"/>
  <c r="AE4" i="4"/>
  <c r="AE5" i="4"/>
  <c r="AE6" i="4"/>
  <c r="AE7" i="4"/>
  <c r="AE8" i="4"/>
  <c r="AK8" i="4"/>
  <c r="AE9" i="4"/>
  <c r="AE12" i="4"/>
  <c r="AE13" i="4"/>
  <c r="AE14" i="4"/>
  <c r="AE15" i="4"/>
  <c r="AE17" i="4"/>
  <c r="AE18" i="4"/>
  <c r="AE19" i="4"/>
  <c r="AK19" i="4"/>
  <c r="AE20" i="4"/>
  <c r="AE3" i="4"/>
  <c r="AF21" i="4"/>
  <c r="C31" i="6"/>
  <c r="W4" i="4"/>
  <c r="W6" i="4"/>
  <c r="W3" i="4"/>
  <c r="W5" i="4"/>
  <c r="D38" i="1"/>
  <c r="D39" i="1"/>
  <c r="W7" i="4"/>
  <c r="W8" i="4"/>
  <c r="W9" i="4"/>
  <c r="W12" i="4"/>
  <c r="AK12" i="4"/>
  <c r="W13" i="4"/>
  <c r="AK13" i="4"/>
  <c r="W14" i="4"/>
  <c r="W15" i="4"/>
  <c r="W16" i="4"/>
  <c r="W17" i="4"/>
  <c r="AK17" i="4"/>
  <c r="W18" i="4"/>
  <c r="AK18" i="4"/>
  <c r="W19" i="4"/>
  <c r="W20" i="4"/>
  <c r="O4" i="4"/>
  <c r="O5" i="4"/>
  <c r="O6" i="4"/>
  <c r="O7" i="4"/>
  <c r="O8" i="4"/>
  <c r="O9" i="4"/>
  <c r="AK9" i="4"/>
  <c r="O12" i="4"/>
  <c r="O13" i="4"/>
  <c r="O14" i="4"/>
  <c r="O16" i="4"/>
  <c r="O17" i="4"/>
  <c r="O18" i="4"/>
  <c r="O19" i="4"/>
  <c r="O20" i="4"/>
  <c r="AK20" i="4"/>
  <c r="D29" i="1"/>
  <c r="O3" i="4"/>
  <c r="G4" i="4"/>
  <c r="G5" i="4"/>
  <c r="G6" i="4"/>
  <c r="G7" i="4"/>
  <c r="G8" i="4"/>
  <c r="G9" i="4"/>
  <c r="G12" i="4"/>
  <c r="G13" i="4"/>
  <c r="G14" i="4"/>
  <c r="G15" i="4"/>
  <c r="G16" i="4"/>
  <c r="G18" i="4"/>
  <c r="G3" i="4"/>
  <c r="K5" i="6"/>
  <c r="AI4" i="2"/>
  <c r="AH18" i="2"/>
  <c r="AL18" i="2"/>
  <c r="C29" i="1"/>
  <c r="AE17" i="2"/>
  <c r="AE19" i="2"/>
  <c r="B31" i="6"/>
  <c r="AC17" i="2"/>
  <c r="AF10" i="2"/>
  <c r="AH10" i="2"/>
  <c r="C25" i="1"/>
  <c r="V3" i="2"/>
  <c r="S11" i="2"/>
  <c r="Z11" i="2"/>
  <c r="S9" i="2"/>
  <c r="AH4" i="2"/>
  <c r="AH5" i="2"/>
  <c r="AH6" i="2"/>
  <c r="AL6" i="2"/>
  <c r="AH7" i="2"/>
  <c r="AL7" i="2"/>
  <c r="AH8" i="2"/>
  <c r="Z8" i="2"/>
  <c r="AH9" i="2"/>
  <c r="AL9" i="2"/>
  <c r="AH11" i="2"/>
  <c r="AL11" i="2"/>
  <c r="AH12" i="2"/>
  <c r="AH13" i="2"/>
  <c r="AH14" i="2"/>
  <c r="AH15" i="2"/>
  <c r="AH16" i="2"/>
  <c r="AL16" i="2"/>
  <c r="Z16" i="2"/>
  <c r="AH3" i="2"/>
  <c r="U3" i="2"/>
  <c r="Z4" i="2"/>
  <c r="Z5" i="2"/>
  <c r="AL5" i="2"/>
  <c r="Z6" i="2"/>
  <c r="Z7" i="2"/>
  <c r="Z9" i="2"/>
  <c r="Z10" i="2"/>
  <c r="Z12" i="2"/>
  <c r="Z13" i="2"/>
  <c r="Z14" i="2"/>
  <c r="Z15" i="2"/>
  <c r="Z17" i="2"/>
  <c r="Z18" i="2"/>
  <c r="Z3" i="2"/>
  <c r="C38" i="1"/>
  <c r="J7" i="6"/>
  <c r="Q11" i="2"/>
  <c r="C24" i="1"/>
  <c r="D23" i="1"/>
  <c r="C23" i="1"/>
  <c r="O6" i="6"/>
  <c r="R3" i="2"/>
  <c r="R10" i="2"/>
  <c r="R6" i="2"/>
  <c r="R7" i="2"/>
  <c r="R9" i="2"/>
  <c r="R11" i="2"/>
  <c r="R15" i="2"/>
  <c r="AL12" i="2"/>
  <c r="P5" i="6"/>
  <c r="AL13" i="2"/>
  <c r="AL14" i="2"/>
  <c r="O7" i="6"/>
  <c r="C61" i="5"/>
  <c r="J4" i="2"/>
  <c r="J5" i="2"/>
  <c r="J6" i="2"/>
  <c r="J8" i="2"/>
  <c r="J9" i="2"/>
  <c r="J10" i="2"/>
  <c r="J3" i="2"/>
  <c r="T19" i="2"/>
  <c r="B21" i="6"/>
  <c r="J12" i="2"/>
  <c r="J15" i="2"/>
  <c r="AL15" i="2"/>
  <c r="J16" i="2"/>
  <c r="AJ19" i="2"/>
  <c r="B35" i="6"/>
  <c r="R12" i="2"/>
  <c r="M9" i="2"/>
  <c r="M19" i="2"/>
  <c r="B15" i="6"/>
  <c r="L18" i="2"/>
  <c r="R18" i="2"/>
  <c r="H7" i="2"/>
  <c r="R17" i="2"/>
  <c r="D13" i="1"/>
  <c r="C13" i="1"/>
  <c r="AK10" i="2"/>
  <c r="H11" i="2"/>
  <c r="J11" i="2"/>
  <c r="H19" i="2"/>
  <c r="B11" i="6"/>
  <c r="D15" i="1"/>
  <c r="D11" i="1"/>
  <c r="D9" i="1"/>
  <c r="D8" i="1"/>
  <c r="D2" i="1"/>
  <c r="AI21" i="4"/>
  <c r="C34" i="6"/>
  <c r="AH21" i="4"/>
  <c r="C33" i="6"/>
  <c r="AG21" i="4"/>
  <c r="C32" i="6"/>
  <c r="AD21" i="4"/>
  <c r="C30" i="6"/>
  <c r="AC21" i="4"/>
  <c r="C29" i="6"/>
  <c r="AB21" i="4"/>
  <c r="C28" i="6"/>
  <c r="AA21" i="4"/>
  <c r="C27" i="6"/>
  <c r="Z21" i="4"/>
  <c r="C26" i="6"/>
  <c r="Y21" i="4"/>
  <c r="C25" i="6"/>
  <c r="X21" i="4"/>
  <c r="C24" i="6"/>
  <c r="V21" i="4"/>
  <c r="C23" i="6"/>
  <c r="T21" i="4"/>
  <c r="C21" i="6"/>
  <c r="S21" i="4"/>
  <c r="C20" i="6"/>
  <c r="R21" i="4"/>
  <c r="C19" i="6"/>
  <c r="Q21" i="4"/>
  <c r="C18" i="6"/>
  <c r="P21" i="4"/>
  <c r="C17" i="6"/>
  <c r="N21" i="4"/>
  <c r="C16" i="6"/>
  <c r="M21" i="4"/>
  <c r="C15" i="6"/>
  <c r="L21" i="4"/>
  <c r="C14" i="6"/>
  <c r="K21" i="4"/>
  <c r="C13" i="6"/>
  <c r="J21" i="4"/>
  <c r="C12" i="6"/>
  <c r="I21" i="4"/>
  <c r="C11" i="6"/>
  <c r="B21" i="4"/>
  <c r="C5" i="6"/>
  <c r="F21" i="4"/>
  <c r="C9" i="6"/>
  <c r="E21" i="4"/>
  <c r="C8" i="6"/>
  <c r="R4" i="2"/>
  <c r="R5" i="2"/>
  <c r="R8" i="2"/>
  <c r="AK4" i="2"/>
  <c r="AL4" i="2"/>
  <c r="AK5" i="2"/>
  <c r="AK6" i="2"/>
  <c r="AK7" i="2"/>
  <c r="AK8" i="2"/>
  <c r="AK9" i="2"/>
  <c r="AK11" i="2"/>
  <c r="AK12" i="2"/>
  <c r="AK13" i="2"/>
  <c r="AK14" i="2"/>
  <c r="AK15" i="2"/>
  <c r="AK16" i="2"/>
  <c r="AK17" i="2"/>
  <c r="AK18" i="2"/>
  <c r="AK3" i="2"/>
  <c r="G18" i="2"/>
  <c r="J18" i="2"/>
  <c r="F18" i="2"/>
  <c r="E18" i="2"/>
  <c r="L19" i="2"/>
  <c r="B14" i="6"/>
  <c r="N19" i="2"/>
  <c r="B16" i="6"/>
  <c r="O19" i="2"/>
  <c r="B17" i="6"/>
  <c r="P19" i="2"/>
  <c r="B18" i="6"/>
  <c r="Q19" i="2"/>
  <c r="B19" i="6"/>
  <c r="U19" i="2"/>
  <c r="B22" i="6"/>
  <c r="W19" i="2"/>
  <c r="B24" i="6"/>
  <c r="Y19" i="2"/>
  <c r="B26" i="6"/>
  <c r="AA19" i="2"/>
  <c r="B27" i="6"/>
  <c r="AI19" i="2"/>
  <c r="B34" i="6"/>
  <c r="I19" i="2"/>
  <c r="B12" i="6"/>
  <c r="R13" i="2"/>
  <c r="R14" i="2"/>
  <c r="R16" i="2"/>
  <c r="J13" i="2"/>
  <c r="J14" i="2"/>
  <c r="B5" i="3"/>
  <c r="C4" i="1"/>
  <c r="B4" i="3"/>
  <c r="B19" i="3"/>
  <c r="E17" i="2"/>
  <c r="J17" i="2"/>
  <c r="G17" i="2"/>
  <c r="F17" i="2"/>
  <c r="C3" i="2"/>
  <c r="C7" i="2"/>
  <c r="C19" i="2"/>
  <c r="B6" i="6"/>
  <c r="D7" i="2"/>
  <c r="E7" i="2"/>
  <c r="F7" i="2"/>
  <c r="G7" i="2"/>
  <c r="G19" i="2"/>
  <c r="B10" i="6"/>
  <c r="B7" i="2"/>
  <c r="J7" i="2"/>
  <c r="D3" i="2"/>
  <c r="D19" i="2"/>
  <c r="B7" i="6"/>
  <c r="E3" i="2"/>
  <c r="E19" i="2"/>
  <c r="B8" i="6"/>
  <c r="F3" i="2"/>
  <c r="G3" i="2"/>
  <c r="C15" i="1"/>
  <c r="C6" i="1"/>
  <c r="C8" i="1"/>
  <c r="O5" i="6"/>
  <c r="C9" i="1"/>
  <c r="C11" i="1"/>
  <c r="C7" i="1"/>
  <c r="C21" i="4"/>
  <c r="C6" i="6"/>
  <c r="AC19" i="2"/>
  <c r="B29" i="6"/>
  <c r="AB19" i="2"/>
  <c r="B28" i="6"/>
  <c r="V19" i="2"/>
  <c r="B23" i="6"/>
  <c r="C32" i="1"/>
  <c r="J5" i="6"/>
  <c r="X19" i="2"/>
  <c r="B25" i="6"/>
  <c r="AD19" i="2"/>
  <c r="B30" i="6"/>
  <c r="AF19" i="2"/>
  <c r="B32" i="6"/>
  <c r="K19" i="2"/>
  <c r="B13" i="6"/>
  <c r="C35" i="1"/>
  <c r="J6" i="6"/>
  <c r="R19" i="2"/>
  <c r="AG19" i="2"/>
  <c r="B33" i="6"/>
  <c r="B19" i="2"/>
  <c r="B5" i="6"/>
  <c r="F19" i="2"/>
  <c r="B9" i="6"/>
  <c r="C17" i="1"/>
  <c r="D17" i="1"/>
  <c r="D16" i="1"/>
  <c r="C16" i="1"/>
  <c r="D18" i="1"/>
  <c r="D19" i="1"/>
  <c r="F2" i="1"/>
  <c r="G2" i="1"/>
  <c r="H2" i="1"/>
  <c r="I2" i="1"/>
  <c r="C18" i="1"/>
  <c r="C31" i="1"/>
  <c r="C34" i="1"/>
  <c r="C19" i="1"/>
  <c r="B18" i="3"/>
  <c r="H14" i="6"/>
  <c r="C33" i="1"/>
  <c r="B9" i="3"/>
  <c r="O10" i="6"/>
  <c r="S19" i="2"/>
  <c r="B20" i="6"/>
  <c r="Z19" i="2"/>
  <c r="AL8" i="2"/>
  <c r="AL10" i="2"/>
  <c r="AK19" i="2"/>
  <c r="C44" i="1"/>
  <c r="J9" i="6"/>
  <c r="AL3" i="2"/>
  <c r="C26" i="1"/>
  <c r="P9" i="6"/>
  <c r="C63" i="5"/>
  <c r="AH17" i="2"/>
  <c r="AL17" i="2"/>
  <c r="P7" i="6"/>
  <c r="C41" i="1"/>
  <c r="J8" i="6"/>
  <c r="P6" i="6"/>
  <c r="C28" i="1"/>
  <c r="AH19" i="2"/>
  <c r="C4" i="3"/>
  <c r="D32" i="1"/>
  <c r="AK3" i="4"/>
  <c r="AK14" i="4"/>
  <c r="H21" i="4"/>
  <c r="C10" i="6"/>
  <c r="AK15" i="4"/>
  <c r="AK7" i="4"/>
  <c r="AK11" i="4"/>
  <c r="Q5" i="6"/>
  <c r="C36" i="1"/>
  <c r="B10" i="3"/>
  <c r="C43" i="1"/>
  <c r="C40" i="1"/>
  <c r="C37" i="1"/>
  <c r="D34" i="1"/>
  <c r="D36" i="1"/>
  <c r="C10" i="3"/>
  <c r="D31" i="1"/>
  <c r="D33" i="1"/>
  <c r="C9" i="3"/>
  <c r="J19" i="2"/>
  <c r="P8" i="6"/>
  <c r="C62" i="5"/>
  <c r="C27" i="1"/>
  <c r="C30" i="1"/>
  <c r="B6" i="3"/>
  <c r="AL19" i="2"/>
  <c r="P10" i="6"/>
  <c r="O21" i="4"/>
  <c r="D35" i="1"/>
  <c r="K6" i="6"/>
  <c r="D40" i="1"/>
  <c r="C42" i="1"/>
  <c r="B12" i="3"/>
  <c r="D37" i="1"/>
  <c r="C39" i="1"/>
  <c r="B11" i="3"/>
  <c r="B14" i="3"/>
  <c r="D43" i="1"/>
  <c r="C45" i="1"/>
  <c r="B13" i="3"/>
  <c r="C11" i="3"/>
  <c r="C12" i="3"/>
  <c r="K7" i="6"/>
  <c r="D27" i="1"/>
  <c r="Q9" i="6"/>
  <c r="W21" i="4"/>
  <c r="E32" i="1"/>
  <c r="E33" i="1"/>
  <c r="D9" i="3"/>
  <c r="E44" i="1"/>
  <c r="L9" i="6"/>
  <c r="E45" i="1"/>
  <c r="D13" i="3"/>
  <c r="D3" i="1"/>
  <c r="D4" i="1"/>
  <c r="I14" i="6"/>
  <c r="O12" i="6"/>
  <c r="C64" i="5"/>
  <c r="C66" i="5"/>
  <c r="AK21" i="11"/>
  <c r="W21" i="11"/>
  <c r="D23" i="6" s="1"/>
  <c r="C21" i="11"/>
  <c r="D6" i="6"/>
  <c r="AF21" i="11"/>
  <c r="Z21" i="11"/>
  <c r="D28" i="1"/>
  <c r="Q7" i="6"/>
  <c r="K8" i="6"/>
  <c r="D41" i="1"/>
  <c r="D42" i="1"/>
  <c r="AK10" i="4"/>
  <c r="AE21" i="4"/>
  <c r="AJ21" i="4"/>
  <c r="D44" i="1"/>
  <c r="D45" i="1"/>
  <c r="C13" i="3"/>
  <c r="C14" i="3"/>
  <c r="K9" i="6"/>
  <c r="AK6" i="4"/>
  <c r="D26" i="1"/>
  <c r="L5" i="6"/>
  <c r="D30" i="1"/>
  <c r="AK21" i="4"/>
  <c r="C6" i="3"/>
  <c r="C19" i="3"/>
  <c r="I15" i="6"/>
  <c r="E3" i="1"/>
  <c r="Q6" i="6"/>
  <c r="Q10" i="6"/>
  <c r="E4" i="1"/>
  <c r="D5" i="3"/>
  <c r="E21" i="11"/>
  <c r="D12" i="3"/>
  <c r="E25" i="1"/>
  <c r="D4" i="3"/>
  <c r="D18" i="3"/>
  <c r="H16" i="6"/>
  <c r="AL5" i="11"/>
  <c r="AL9" i="11"/>
  <c r="AL14" i="11"/>
  <c r="AL7" i="11"/>
  <c r="AL13" i="11"/>
  <c r="AL16" i="11"/>
  <c r="R8" i="6"/>
  <c r="R9" i="6"/>
  <c r="AL4" i="11"/>
  <c r="AL20" i="11"/>
  <c r="E29" i="1"/>
  <c r="AL15" i="11"/>
  <c r="AL8" i="11"/>
  <c r="AL12" i="11" l="1"/>
  <c r="AL11" i="11"/>
  <c r="AC21" i="11"/>
  <c r="AL17" i="11"/>
  <c r="AL19" i="11"/>
  <c r="AL18" i="11"/>
  <c r="E27" i="1" s="1"/>
  <c r="U21" i="11"/>
  <c r="E38" i="1"/>
  <c r="E39" i="1" s="1"/>
  <c r="D11" i="3" s="1"/>
  <c r="AL10" i="11"/>
  <c r="E26" i="1" s="1"/>
  <c r="M21" i="11"/>
  <c r="E35" i="1"/>
  <c r="E28" i="1"/>
  <c r="R7" i="6"/>
  <c r="R6" i="6" l="1"/>
  <c r="AL21" i="11"/>
  <c r="R10" i="6" s="1"/>
  <c r="L7" i="6"/>
  <c r="E30" i="1"/>
  <c r="E36" i="1"/>
  <c r="D10" i="3" s="1"/>
  <c r="D14" i="3" s="1"/>
  <c r="L6" i="6"/>
  <c r="D6" i="3" l="1"/>
  <c r="D19" i="3" s="1"/>
  <c r="I16" i="6" s="1"/>
</calcChain>
</file>

<file path=xl/sharedStrings.xml><?xml version="1.0" encoding="utf-8"?>
<sst xmlns="http://schemas.openxmlformats.org/spreadsheetml/2006/main" count="375" uniqueCount="172">
  <si>
    <t>Source of income</t>
  </si>
  <si>
    <t>Salary</t>
  </si>
  <si>
    <t>Fixed Expenditure</t>
  </si>
  <si>
    <t>Rent</t>
  </si>
  <si>
    <t>Bill</t>
  </si>
  <si>
    <t>Maid</t>
  </si>
  <si>
    <t>Milk</t>
  </si>
  <si>
    <t>Metro card</t>
  </si>
  <si>
    <t>Sum</t>
  </si>
  <si>
    <t>Fruits</t>
  </si>
  <si>
    <t>Weekly expenses</t>
  </si>
  <si>
    <t>Vegetables</t>
  </si>
  <si>
    <t>Chicken</t>
  </si>
  <si>
    <t>For fruits,metro,egg,milk,chicken,veg</t>
  </si>
  <si>
    <t>Total:</t>
  </si>
  <si>
    <t>Total expenses after the month</t>
  </si>
  <si>
    <t>Total</t>
  </si>
  <si>
    <t>Savings</t>
  </si>
  <si>
    <t>Approximate</t>
  </si>
  <si>
    <t>Metro</t>
  </si>
  <si>
    <t>Anshul bhaiyaa</t>
  </si>
  <si>
    <t>Ice cream</t>
  </si>
  <si>
    <t xml:space="preserve">Milk </t>
  </si>
  <si>
    <t>eggs</t>
  </si>
  <si>
    <t>Sunday</t>
  </si>
  <si>
    <t>Monday</t>
  </si>
  <si>
    <t>Tuesday</t>
  </si>
  <si>
    <t>Wednesday</t>
  </si>
  <si>
    <t>Thursday</t>
  </si>
  <si>
    <t>Friday</t>
  </si>
  <si>
    <t>Saturday</t>
  </si>
  <si>
    <t>chicken</t>
  </si>
  <si>
    <t>vegetables</t>
  </si>
  <si>
    <t>maid</t>
  </si>
  <si>
    <t>electricty bill</t>
  </si>
  <si>
    <t>Expenses</t>
  </si>
  <si>
    <t>Stock investment</t>
  </si>
  <si>
    <t>one thing to buy</t>
  </si>
  <si>
    <t>not required but good investment</t>
  </si>
  <si>
    <t>misc</t>
  </si>
  <si>
    <t>received money</t>
  </si>
  <si>
    <t>rent</t>
  </si>
  <si>
    <t>Real Expenses</t>
  </si>
  <si>
    <t>Misc</t>
  </si>
  <si>
    <t>Received money</t>
  </si>
  <si>
    <t>Total transactions</t>
  </si>
  <si>
    <t>rent,bill,investments</t>
  </si>
  <si>
    <t>Savings  from the last month</t>
  </si>
  <si>
    <t>Month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</si>
  <si>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</si>
  <si>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</si>
  <si>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</si>
  <si>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</si>
  <si>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</si>
  <si>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</si>
  <si>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</si>
  <si>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</si>
  <si>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Transactions</t>
  </si>
  <si>
    <t>Total cash</t>
  </si>
  <si>
    <t>Savings of last month</t>
  </si>
  <si>
    <t>Cap</t>
  </si>
  <si>
    <t>Actually spent amount</t>
  </si>
  <si>
    <t>Week1</t>
  </si>
  <si>
    <t>Week 2</t>
  </si>
  <si>
    <t>Week 3</t>
  </si>
  <si>
    <t>Week4</t>
  </si>
  <si>
    <t>week5</t>
  </si>
  <si>
    <t>Amount remaining</t>
  </si>
  <si>
    <t>week expense cap1</t>
  </si>
  <si>
    <t>week expense cap2</t>
  </si>
  <si>
    <t>week expense cap3</t>
  </si>
  <si>
    <t>week expense cap4</t>
  </si>
  <si>
    <t>week expense cap5</t>
  </si>
  <si>
    <t>Week 1 Rem</t>
  </si>
  <si>
    <t>Week 2 Rem</t>
  </si>
  <si>
    <t>Week 3 Rem</t>
  </si>
  <si>
    <t>Week 4 Rem</t>
  </si>
  <si>
    <t>Week 5 Rem</t>
  </si>
  <si>
    <t>Expected savings for this month</t>
  </si>
  <si>
    <t>Actual savings for this month till this date</t>
  </si>
  <si>
    <t>Jun</t>
  </si>
  <si>
    <t>Total Allowed Expenditure</t>
  </si>
  <si>
    <t>july</t>
  </si>
  <si>
    <t>Aug</t>
  </si>
  <si>
    <t>Sept</t>
  </si>
  <si>
    <t>Oct</t>
  </si>
  <si>
    <t>Nov</t>
  </si>
  <si>
    <t>Misc buy for eating or room</t>
  </si>
  <si>
    <t>Misc item buying for room</t>
  </si>
  <si>
    <t>Variable expenses happening over the time</t>
  </si>
  <si>
    <t>Total Expenditure</t>
  </si>
  <si>
    <t>Weekly expense</t>
  </si>
  <si>
    <t>Weeks</t>
  </si>
  <si>
    <t>week-1</t>
  </si>
  <si>
    <t>week-2</t>
  </si>
  <si>
    <t>week-3</t>
  </si>
  <si>
    <t>week-4</t>
  </si>
  <si>
    <t>week-5</t>
  </si>
  <si>
    <t>Actual spending in may</t>
  </si>
  <si>
    <t>To whom Did I spend</t>
  </si>
  <si>
    <t>Fixed cost</t>
  </si>
  <si>
    <t>Transactions  over the month</t>
  </si>
  <si>
    <t>Stocks</t>
  </si>
  <si>
    <t>One thing to buy</t>
  </si>
  <si>
    <t>Transaction on metro,vege over month</t>
  </si>
  <si>
    <t>Invaraiable expenses</t>
  </si>
  <si>
    <t>Misc (Travel, fun out)</t>
  </si>
  <si>
    <t>As overall cap on each day</t>
  </si>
  <si>
    <t>`</t>
  </si>
  <si>
    <t>Misc Items for room</t>
  </si>
  <si>
    <t>Transaction on the day (May)</t>
  </si>
  <si>
    <t>Transaction of the day Jun</t>
  </si>
  <si>
    <t>Actual (May)</t>
  </si>
  <si>
    <t>Actual (Jun)</t>
  </si>
  <si>
    <t>Actual spending in jun</t>
  </si>
  <si>
    <t>Reason for saving less than the Expected value</t>
  </si>
  <si>
    <t>Sr</t>
  </si>
  <si>
    <t>Misc expenses are more than expected</t>
  </si>
  <si>
    <t>Amount</t>
  </si>
  <si>
    <t>Bought more than I bargained for</t>
  </si>
  <si>
    <t>Spend on the overall transactions</t>
  </si>
  <si>
    <t>total</t>
  </si>
  <si>
    <t>Sr No</t>
  </si>
  <si>
    <t>Items</t>
  </si>
  <si>
    <t xml:space="preserve">Target </t>
  </si>
  <si>
    <t>investing the 10K in the liquid funds</t>
  </si>
  <si>
    <t>Saving the 7k per month</t>
  </si>
  <si>
    <t>Creating more financial freedom( side incomes)</t>
  </si>
  <si>
    <t>Till  Jun</t>
  </si>
  <si>
    <t>Ideal Salary Goal</t>
  </si>
  <si>
    <t>items</t>
  </si>
  <si>
    <t>Sr no</t>
  </si>
  <si>
    <t>Zom.+food</t>
  </si>
  <si>
    <t>Month goals</t>
  </si>
  <si>
    <t>Stock bought more than target</t>
  </si>
  <si>
    <t>For year Jun 22 -jun33</t>
  </si>
  <si>
    <t>Target  Jun-22 - jun23</t>
  </si>
  <si>
    <t>Complete 30 days of code</t>
  </si>
  <si>
    <t>Creating a finnacial freedom goal (By Youtube)</t>
  </si>
  <si>
    <t>Starting the Python Projects (20 videos)</t>
  </si>
  <si>
    <t>Youtube</t>
  </si>
  <si>
    <t>Planning</t>
  </si>
  <si>
    <t xml:space="preserve">What I am going to do </t>
  </si>
  <si>
    <t>imp</t>
  </si>
  <si>
    <t>What the channel should be about</t>
  </si>
  <si>
    <t>Run through the course</t>
  </si>
  <si>
    <t>Making the channel a hybrid one (its really mportant)</t>
  </si>
  <si>
    <t>Learning the subject is your channel</t>
  </si>
  <si>
    <t>CAT</t>
  </si>
  <si>
    <t>Completed</t>
  </si>
  <si>
    <t>Quotes:</t>
  </si>
  <si>
    <t>What I learn from today:</t>
  </si>
  <si>
    <t>Time I used for learning without the timepass</t>
  </si>
  <si>
    <t>Week Goals</t>
  </si>
  <si>
    <t>Month Goals</t>
  </si>
  <si>
    <t>“learning” is the oldest excuse in the book for a
failure of execution.</t>
  </si>
  <si>
    <t xml:space="preserve">Week </t>
  </si>
  <si>
    <t>Week 4</t>
  </si>
  <si>
    <t>1. Will read the book 30 pages
2. Will complete the concept plan for tech module.
3. Start solving the que and read the next 20 pages.</t>
  </si>
  <si>
    <t>1. complete the simpli learn
2. Also complete the 30*7 book pages
3. CAT ques</t>
  </si>
  <si>
    <t>1. Book completed
2. 50% module created.
3. Ques solving will do now</t>
  </si>
  <si>
    <t>s</t>
  </si>
  <si>
    <t>will not buy in the upcoming monht</t>
  </si>
  <si>
    <t xml:space="preserve"> </t>
  </si>
  <si>
    <t>-</t>
  </si>
  <si>
    <t>Eggs/bread</t>
  </si>
  <si>
    <t>Total savings expected</t>
  </si>
  <si>
    <t>Transaction of the day (July)</t>
  </si>
  <si>
    <t>Actual spending of the july</t>
  </si>
  <si>
    <t>Actual (july)</t>
  </si>
  <si>
    <t>Fixed Cost</t>
  </si>
  <si>
    <t>misc and buying value is high thats why  no 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</si>
</sst>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1" fillId="0" borderId="1" xfId="0" applyFont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16" fontId="1" fillId="0" borderId="1" xfId="0" applyNumberFormat="1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0" fillId="2" borderId="0" xfId="0" applyFill="1"/>
    <xf numFmtId="0" fontId="1" fillId="0" borderId="0" xfId="0" applyFont="1" applyFill="1" applyBorder="1"/>
    <xf numFmtId="16" fontId="1" fillId="3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0" borderId="0" xfId="0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" fontId="0" fillId="0" borderId="1" xfId="0" applyNumberFormat="1" applyBorder="1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0" fontId="4" fillId="0" borderId="2" xfId="0" applyFont="1" applyFill="1" applyBorder="1" applyAlignment="1">
      <alignment wrapText="1"/>
    </xf>
    <xf numFmtId="0" fontId="0" fillId="0" borderId="0" xfId="0" applyFont="1"/>
    <xf numFmtId="0" fontId="0" fillId="2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43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wrapText="1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16" fontId="0" fillId="3" borderId="1" xfId="0" applyNumberFormat="1" applyFill="1" applyBorder="1"/>
    <xf numFmtId="0" fontId="1" fillId="0" borderId="1" xfId="0" applyFont="1" applyBorder="1" applyAlignment="1">
      <alignment vertical="top" wrapText="1"/>
    </xf>
    <xf numFmtId="16" fontId="0" fillId="0" borderId="1" xfId="0" applyNumberFormat="1" applyBorder="1" applyAlignment="1">
      <alignment vertical="top"/>
    </xf>
    <xf numFmtId="16" fontId="0" fillId="3" borderId="1" xfId="0" applyNumberFormat="1" applyFill="1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16" fontId="0" fillId="3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/>
    <xf numFmtId="0" fontId="1" fillId="0" borderId="3" xfId="0" applyFont="1" applyFill="1" applyBorder="1" applyAlignment="1">
      <alignment wrapText="1"/>
    </xf>
    <xf numFmtId="1" fontId="0" fillId="0" borderId="0" xfId="0" applyNumberFormat="1"/>
    <xf numFmtId="2" fontId="0" fillId="0" borderId="0" xfId="1" applyNumberFormat="1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Chart_data!$C$4</c:f>
              <c:strCache>
                <c:ptCount val="1"/>
                <c:pt idx="0">
                  <c:v>Transaction of the day 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Chart_data!$A$5:$A$35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Chart_data!$C$5:$C$35</c:f>
              <c:numCache>
                <c:formatCode>General</c:formatCode>
                <c:ptCount val="31"/>
                <c:pt idx="0">
                  <c:v>110</c:v>
                </c:pt>
                <c:pt idx="1">
                  <c:v>1569</c:v>
                </c:pt>
                <c:pt idx="2">
                  <c:v>750</c:v>
                </c:pt>
                <c:pt idx="3">
                  <c:v>3215</c:v>
                </c:pt>
                <c:pt idx="4">
                  <c:v>140</c:v>
                </c:pt>
                <c:pt idx="5">
                  <c:v>3995</c:v>
                </c:pt>
                <c:pt idx="6">
                  <c:v>5230</c:v>
                </c:pt>
                <c:pt idx="7">
                  <c:v>544</c:v>
                </c:pt>
                <c:pt idx="8">
                  <c:v>245</c:v>
                </c:pt>
                <c:pt idx="9">
                  <c:v>130</c:v>
                </c:pt>
                <c:pt idx="10">
                  <c:v>243</c:v>
                </c:pt>
                <c:pt idx="11">
                  <c:v>170</c:v>
                </c:pt>
                <c:pt idx="12">
                  <c:v>325</c:v>
                </c:pt>
                <c:pt idx="13">
                  <c:v>967</c:v>
                </c:pt>
                <c:pt idx="14">
                  <c:v>230</c:v>
                </c:pt>
                <c:pt idx="15">
                  <c:v>0</c:v>
                </c:pt>
                <c:pt idx="16">
                  <c:v>0</c:v>
                </c:pt>
                <c:pt idx="17">
                  <c:v>1134</c:v>
                </c:pt>
                <c:pt idx="18">
                  <c:v>1764</c:v>
                </c:pt>
                <c:pt idx="19">
                  <c:v>0</c:v>
                </c:pt>
                <c:pt idx="20">
                  <c:v>2120</c:v>
                </c:pt>
                <c:pt idx="21">
                  <c:v>3985</c:v>
                </c:pt>
                <c:pt idx="22">
                  <c:v>10</c:v>
                </c:pt>
                <c:pt idx="23">
                  <c:v>545</c:v>
                </c:pt>
                <c:pt idx="24">
                  <c:v>4769</c:v>
                </c:pt>
                <c:pt idx="25">
                  <c:v>374</c:v>
                </c:pt>
                <c:pt idx="26">
                  <c:v>831</c:v>
                </c:pt>
                <c:pt idx="27">
                  <c:v>120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00F-B043-D0ADF992FC46}"/>
            </c:ext>
          </c:extLst>
        </c:ser>
        <c:ser>
          <c:idx val="2"/>
          <c:order val="1"/>
          <c:tx>
            <c:strRef>
              <c:f>Chart_data!$E$4</c:f>
              <c:strCache>
                <c:ptCount val="1"/>
                <c:pt idx="0">
                  <c:v>As overall cap on each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Chart_data!$A$5:$A$35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Chart_data!$E$5:$E$35</c:f>
              <c:numCache>
                <c:formatCode>0</c:formatCode>
                <c:ptCount val="31"/>
                <c:pt idx="0">
                  <c:v>1037.6344086021506</c:v>
                </c:pt>
                <c:pt idx="1">
                  <c:v>1037.6344086021506</c:v>
                </c:pt>
                <c:pt idx="2">
                  <c:v>1037.6344086021506</c:v>
                </c:pt>
                <c:pt idx="3">
                  <c:v>1037.6344086021506</c:v>
                </c:pt>
                <c:pt idx="4">
                  <c:v>1037.6344086021506</c:v>
                </c:pt>
                <c:pt idx="5">
                  <c:v>1037.6344086021506</c:v>
                </c:pt>
                <c:pt idx="6">
                  <c:v>1037.6344086021506</c:v>
                </c:pt>
                <c:pt idx="7">
                  <c:v>1037.6344086021506</c:v>
                </c:pt>
                <c:pt idx="8">
                  <c:v>1037.6344086021506</c:v>
                </c:pt>
                <c:pt idx="9">
                  <c:v>1037.6344086021506</c:v>
                </c:pt>
                <c:pt idx="10">
                  <c:v>1037.6344086021506</c:v>
                </c:pt>
                <c:pt idx="11">
                  <c:v>1037.6344086021506</c:v>
                </c:pt>
                <c:pt idx="12">
                  <c:v>1037.6344086021506</c:v>
                </c:pt>
                <c:pt idx="13">
                  <c:v>1037.6344086021506</c:v>
                </c:pt>
                <c:pt idx="14">
                  <c:v>1037.6344086021506</c:v>
                </c:pt>
                <c:pt idx="15">
                  <c:v>1037.6344086021506</c:v>
                </c:pt>
                <c:pt idx="16">
                  <c:v>1037.6344086021506</c:v>
                </c:pt>
                <c:pt idx="17">
                  <c:v>1037.6344086021506</c:v>
                </c:pt>
                <c:pt idx="18">
                  <c:v>1037.6344086021506</c:v>
                </c:pt>
                <c:pt idx="19">
                  <c:v>1037.6344086021506</c:v>
                </c:pt>
                <c:pt idx="20">
                  <c:v>1037.6344086021506</c:v>
                </c:pt>
                <c:pt idx="21">
                  <c:v>1037.6344086021506</c:v>
                </c:pt>
                <c:pt idx="22">
                  <c:v>1037.6344086021506</c:v>
                </c:pt>
                <c:pt idx="23">
                  <c:v>1037.6344086021506</c:v>
                </c:pt>
                <c:pt idx="24">
                  <c:v>1037.6344086021506</c:v>
                </c:pt>
                <c:pt idx="25">
                  <c:v>1037.6344086021506</c:v>
                </c:pt>
                <c:pt idx="26">
                  <c:v>1037.6344086021506</c:v>
                </c:pt>
                <c:pt idx="27">
                  <c:v>1037.6344086021506</c:v>
                </c:pt>
                <c:pt idx="28">
                  <c:v>1037.6344086021506</c:v>
                </c:pt>
                <c:pt idx="29">
                  <c:v>1037.6344086021506</c:v>
                </c:pt>
                <c:pt idx="30">
                  <c:v>1037.6344086021506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00F-B043-D0ADF992FC46}"/>
            </c:ext>
          </c:extLst>
        </c:ser>
        <c:ser>
          <c:idx val="0"/>
          <c:order val="2"/>
          <c:tx>
            <c:strRef>
              <c:f>Chart_data!$B$4</c:f>
              <c:strCache>
                <c:ptCount val="1"/>
                <c:pt idx="0">
                  <c:v>Transaction on the day (May)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Chart_data!$A$5:$A$35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Chart_data!$B$5:$B$35</c:f>
              <c:numCache>
                <c:formatCode>General</c:formatCode>
                <c:ptCount val="31"/>
                <c:pt idx="0">
                  <c:v>114</c:v>
                </c:pt>
                <c:pt idx="1">
                  <c:v>134</c:v>
                </c:pt>
                <c:pt idx="2">
                  <c:v>2752</c:v>
                </c:pt>
                <c:pt idx="3">
                  <c:v>644</c:v>
                </c:pt>
                <c:pt idx="4">
                  <c:v>4155</c:v>
                </c:pt>
                <c:pt idx="5">
                  <c:v>10469</c:v>
                </c:pt>
                <c:pt idx="6">
                  <c:v>690.5</c:v>
                </c:pt>
                <c:pt idx="7">
                  <c:v>10</c:v>
                </c:pt>
                <c:pt idx="8">
                  <c:v>4189</c:v>
                </c:pt>
                <c:pt idx="9">
                  <c:v>5618</c:v>
                </c:pt>
                <c:pt idx="10">
                  <c:v>330</c:v>
                </c:pt>
                <c:pt idx="11">
                  <c:v>171</c:v>
                </c:pt>
                <c:pt idx="12">
                  <c:v>422</c:v>
                </c:pt>
                <c:pt idx="13">
                  <c:v>316</c:v>
                </c:pt>
                <c:pt idx="14">
                  <c:v>474</c:v>
                </c:pt>
                <c:pt idx="15">
                  <c:v>600</c:v>
                </c:pt>
                <c:pt idx="16">
                  <c:v>0</c:v>
                </c:pt>
                <c:pt idx="17">
                  <c:v>99</c:v>
                </c:pt>
                <c:pt idx="18">
                  <c:v>1989</c:v>
                </c:pt>
                <c:pt idx="19">
                  <c:v>0</c:v>
                </c:pt>
                <c:pt idx="20">
                  <c:v>0</c:v>
                </c:pt>
                <c:pt idx="21">
                  <c:v>335</c:v>
                </c:pt>
                <c:pt idx="22">
                  <c:v>130</c:v>
                </c:pt>
                <c:pt idx="23">
                  <c:v>0</c:v>
                </c:pt>
                <c:pt idx="24">
                  <c:v>1759</c:v>
                </c:pt>
                <c:pt idx="25">
                  <c:v>611</c:v>
                </c:pt>
                <c:pt idx="26">
                  <c:v>3050</c:v>
                </c:pt>
                <c:pt idx="27">
                  <c:v>-2302</c:v>
                </c:pt>
                <c:pt idx="28">
                  <c:v>356</c:v>
                </c:pt>
                <c:pt idx="29">
                  <c:v>65</c:v>
                </c:pt>
                <c:pt idx="30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D-400F-B043-D0ADF992FC46}"/>
            </c:ext>
          </c:extLst>
        </c:ser>
        <c:ser>
          <c:idx val="3"/>
          <c:order val="3"/>
          <c:tx>
            <c:strRef>
              <c:f>Chart_data!$D$4</c:f>
              <c:strCache>
                <c:ptCount val="1"/>
                <c:pt idx="0">
                  <c:v>Transaction of the day (July)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Chart_data!$D$5:$D$35</c:f>
              <c:numCache>
                <c:formatCode>General</c:formatCode>
                <c:ptCount val="31"/>
                <c:pt idx="0">
                  <c:v>2043</c:v>
                </c:pt>
                <c:pt idx="1">
                  <c:v>814</c:v>
                </c:pt>
                <c:pt idx="2">
                  <c:v>55</c:v>
                </c:pt>
                <c:pt idx="3">
                  <c:v>110</c:v>
                </c:pt>
                <c:pt idx="4">
                  <c:v>-492</c:v>
                </c:pt>
                <c:pt idx="5">
                  <c:v>25</c:v>
                </c:pt>
                <c:pt idx="6">
                  <c:v>25</c:v>
                </c:pt>
                <c:pt idx="7">
                  <c:v>932</c:v>
                </c:pt>
                <c:pt idx="8">
                  <c:v>999</c:v>
                </c:pt>
                <c:pt idx="9">
                  <c:v>1493</c:v>
                </c:pt>
                <c:pt idx="10">
                  <c:v>95</c:v>
                </c:pt>
                <c:pt idx="11">
                  <c:v>953</c:v>
                </c:pt>
                <c:pt idx="12">
                  <c:v>285</c:v>
                </c:pt>
                <c:pt idx="13">
                  <c:v>221</c:v>
                </c:pt>
                <c:pt idx="14">
                  <c:v>2751</c:v>
                </c:pt>
                <c:pt idx="15">
                  <c:v>260</c:v>
                </c:pt>
                <c:pt idx="16">
                  <c:v>294</c:v>
                </c:pt>
                <c:pt idx="17">
                  <c:v>552</c:v>
                </c:pt>
                <c:pt idx="18">
                  <c:v>1532</c:v>
                </c:pt>
                <c:pt idx="19">
                  <c:v>211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46D5-9AF7-A5CCC8C3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44415"/>
        <c:axId val="763743583"/>
      </c:lineChart>
      <c:catAx>
        <c:axId val="7637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43583"/>
        <c:crosses val="autoZero"/>
        <c:auto val="1"/>
        <c:lblAlgn val="ctr"/>
        <c:lblOffset val="100"/>
        <c:noMultiLvlLbl val="0"/>
      </c:catAx>
      <c:valAx>
        <c:axId val="7637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44415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Chart_data!$O$4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Chart_data!$N$5:$N$10</c:f>
              <c:strCache>
                <c:ptCount val="6"/>
                <c:pt idx="0">
                  <c:v>Fixed cost</c:v>
                </c:pt>
                <c:pt idx="1">
                  <c:v>Transaction on metro,vege over month</c:v>
                </c:pt>
                <c:pt idx="2">
                  <c:v>Misc</c:v>
                </c:pt>
                <c:pt idx="3">
                  <c:v>Stocks</c:v>
                </c:pt>
                <c:pt idx="4">
                  <c:v>One thing to buy</c:v>
                </c:pt>
                <c:pt idx="5">
                  <c:v>Transactions  over the month</c:v>
                </c:pt>
              </c:strCache>
            </c:strRef>
          </c:cat>
          <c:val>
            <c:numRef>
              <c:f>Chart_data!$O$5:$O$10</c:f>
              <c:numCache>
                <c:formatCode>General</c:formatCode>
                <c:ptCount val="6"/>
                <c:pt idx="0" formatCode="0">
                  <c:v>10166.666666666668</c:v>
                </c:pt>
                <c:pt idx="1">
                  <c:v>9000</c:v>
                </c:pt>
                <c:pt idx="2">
                  <c:v>5000</c:v>
                </c:pt>
                <c:pt idx="3">
                  <c:v>5000</c:v>
                </c:pt>
                <c:pt idx="4">
                  <c:v>3000</c:v>
                </c:pt>
                <c:pt idx="5" formatCode="0">
                  <c:v>32166.666666666668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CDE-8813-6DE3C7747A75}"/>
            </c:ext>
          </c:extLst>
        </c:ser>
        <c:ser>
          <c:idx val="1"/>
          <c:order val="1"/>
          <c:tx>
            <c:strRef>
              <c:f>Chart_data!$P$4</c:f>
              <c:strCache>
                <c:ptCount val="1"/>
                <c:pt idx="0">
                  <c:v>Actual (May)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Chart_data!$N$5:$N$10</c:f>
              <c:strCache>
                <c:ptCount val="6"/>
                <c:pt idx="0">
                  <c:v>Fixed cost</c:v>
                </c:pt>
                <c:pt idx="1">
                  <c:v>Transaction on metro,vege over month</c:v>
                </c:pt>
                <c:pt idx="2">
                  <c:v>Misc</c:v>
                </c:pt>
                <c:pt idx="3">
                  <c:v>Stocks</c:v>
                </c:pt>
                <c:pt idx="4">
                  <c:v>One thing to buy</c:v>
                </c:pt>
                <c:pt idx="5">
                  <c:v>Transactions  over the month</c:v>
                </c:pt>
              </c:strCache>
            </c:strRef>
          </c:cat>
          <c:val>
            <c:numRef>
              <c:f>Chart_data!$P$5:$P$10</c:f>
              <c:numCache>
                <c:formatCode>0</c:formatCode>
                <c:ptCount val="6"/>
                <c:pt idx="0" formatCode="General">
                  <c:v>9256</c:v>
                </c:pt>
                <c:pt idx="1">
                  <c:v>7794.5</c:v>
                </c:pt>
                <c:pt idx="2" formatCode="General">
                  <c:v>7031</c:v>
                </c:pt>
                <c:pt idx="3" formatCode="General">
                  <c:v>10200</c:v>
                </c:pt>
                <c:pt idx="4" formatCode="General">
                  <c:v>3369</c:v>
                </c:pt>
                <c:pt idx="5" formatCode="General">
                  <c:v>37650.5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CDE-8813-6DE3C7747A75}"/>
            </c:ext>
          </c:extLst>
        </c:ser>
        <c:ser>
          <c:idx val="2"/>
          <c:order val="2"/>
          <c:tx>
            <c:strRef>
              <c:f>Chart_data!$Q$4</c:f>
              <c:strCache>
                <c:ptCount val="1"/>
                <c:pt idx="0">
                  <c:v>Actual (Jun)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Chart_data!$N$5:$N$10</c:f>
              <c:strCache>
                <c:ptCount val="6"/>
                <c:pt idx="0">
                  <c:v>Fixed cost</c:v>
                </c:pt>
                <c:pt idx="1">
                  <c:v>Transaction on metro,vege over month</c:v>
                </c:pt>
                <c:pt idx="2">
                  <c:v>Misc</c:v>
                </c:pt>
                <c:pt idx="3">
                  <c:v>Stocks</c:v>
                </c:pt>
                <c:pt idx="4">
                  <c:v>One thing to buy</c:v>
                </c:pt>
                <c:pt idx="5">
                  <c:v>Transactions  over the month</c:v>
                </c:pt>
              </c:strCache>
            </c:strRef>
          </c:cat>
          <c:val>
            <c:numRef>
              <c:f>Chart_data!$Q$5:$Q$10</c:f>
              <c:numCache>
                <c:formatCode>General</c:formatCode>
                <c:ptCount val="6"/>
                <c:pt idx="0">
                  <c:v>11898</c:v>
                </c:pt>
                <c:pt idx="1">
                  <c:v>8383</c:v>
                </c:pt>
                <c:pt idx="2">
                  <c:v>6351</c:v>
                </c:pt>
                <c:pt idx="3">
                  <c:v>3139</c:v>
                </c:pt>
                <c:pt idx="4">
                  <c:v>3894</c:v>
                </c:pt>
                <c:pt idx="5">
                  <c:v>33665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CDE-8813-6DE3C7747A75}"/>
            </c:ext>
          </c:extLst>
        </c:ser>
        <c:ser>
          <c:idx val="3"/>
          <c:order val="3"/>
          <c:tx>
            <c:strRef>
              <c:f>Chart_data!$R$4</c:f>
              <c:strCache>
                <c:ptCount val="1"/>
                <c:pt idx="0">
                  <c:v>Actual (july)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Chart_data!$R$5:$R$10</c:f>
              <c:numCache>
                <c:formatCode>General</c:formatCode>
                <c:ptCount val="6"/>
                <c:pt idx="0">
                  <c:v>3441.666666666667</c:v>
                </c:pt>
                <c:pt idx="1">
                  <c:v>6831</c:v>
                </c:pt>
                <c:pt idx="2">
                  <c:v>-1602</c:v>
                </c:pt>
                <c:pt idx="3">
                  <c:v>0</c:v>
                </c:pt>
                <c:pt idx="4">
                  <c:v>0</c:v>
                </c:pt>
                <c:pt idx="5">
                  <c:v>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5A9-AEB1-947C78D4D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5891855"/>
        <c:axId val="865890607"/>
      </c:barChart>
      <c:catAx>
        <c:axId val="8658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90607"/>
        <c:crosses val="autoZero"/>
        <c:auto val="1"/>
        <c:lblAlgn val="ctr"/>
        <c:lblOffset val="100"/>
        <c:noMultiLvlLbl val="0"/>
      </c:catAx>
      <c:valAx>
        <c:axId val="8658906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658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Chart_data!$I$4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Chart_data!$H$5:$H$9</c:f>
              <c:strCache>
                <c:ptCount val="5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</c:strCache>
            </c:strRef>
          </c:cat>
          <c:val>
            <c:numRef>
              <c:f>Chart_data!$I$5:$I$9</c:f>
              <c:numCache>
                <c:formatCode>General</c:formatCode>
                <c:ptCount val="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3-45E5-BCAB-BEDA6FE6E2AB}"/>
            </c:ext>
          </c:extLst>
        </c:ser>
        <c:ser>
          <c:idx val="1"/>
          <c:order val="1"/>
          <c:tx>
            <c:strRef>
              <c:f>Chart_data!$J$4</c:f>
              <c:strCache>
                <c:ptCount val="1"/>
                <c:pt idx="0">
                  <c:v>Actual spending in 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Chart_data!$H$5:$H$9</c:f>
              <c:strCache>
                <c:ptCount val="5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</c:strCache>
            </c:strRef>
          </c:cat>
          <c:val>
            <c:numRef>
              <c:f>Chart_data!$J$5:$J$9</c:f>
              <c:numCache>
                <c:formatCode>General</c:formatCode>
                <c:ptCount val="5"/>
                <c:pt idx="0">
                  <c:v>1525.5</c:v>
                </c:pt>
                <c:pt idx="1">
                  <c:v>1991</c:v>
                </c:pt>
                <c:pt idx="2">
                  <c:v>2733</c:v>
                </c:pt>
                <c:pt idx="3">
                  <c:v>1010</c:v>
                </c:pt>
                <c:pt idx="4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3-45E5-BCAB-BEDA6FE6E2AB}"/>
            </c:ext>
          </c:extLst>
        </c:ser>
        <c:ser>
          <c:idx val="2"/>
          <c:order val="2"/>
          <c:tx>
            <c:strRef>
              <c:f>Chart_data!$K$4</c:f>
              <c:strCache>
                <c:ptCount val="1"/>
                <c:pt idx="0">
                  <c:v>Actual spending in jun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Chart_data!$H$5:$H$9</c:f>
              <c:strCache>
                <c:ptCount val="5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</c:strCache>
            </c:strRef>
          </c:cat>
          <c:val>
            <c:numRef>
              <c:f>Chart_data!$K$5:$K$9</c:f>
              <c:numCache>
                <c:formatCode>General</c:formatCode>
                <c:ptCount val="5"/>
                <c:pt idx="0">
                  <c:v>1166</c:v>
                </c:pt>
                <c:pt idx="1">
                  <c:v>1809</c:v>
                </c:pt>
                <c:pt idx="2">
                  <c:v>2319</c:v>
                </c:pt>
                <c:pt idx="3">
                  <c:v>1988</c:v>
                </c:pt>
                <c:pt idx="4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45E5-BCAB-BEDA6FE6E2AB}"/>
            </c:ext>
          </c:extLst>
        </c:ser>
        <c:ser>
          <c:idx val="3"/>
          <c:order val="3"/>
          <c:tx>
            <c:strRef>
              <c:f>Chart_data!$L$4</c:f>
              <c:strCache>
                <c:ptCount val="1"/>
                <c:pt idx="0">
                  <c:v>Actual spending of the july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Chart_data!$L$5:$L$9</c:f>
              <c:numCache>
                <c:formatCode>General</c:formatCode>
                <c:ptCount val="5"/>
                <c:pt idx="0">
                  <c:v>1560</c:v>
                </c:pt>
                <c:pt idx="1">
                  <c:v>2667</c:v>
                </c:pt>
                <c:pt idx="2">
                  <c:v>1717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45AD-A7E1-D0EE90593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386655"/>
        <c:axId val="763389983"/>
      </c:barChart>
      <c:catAx>
        <c:axId val="7633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89983"/>
        <c:crosses val="autoZero"/>
        <c:auto val="1"/>
        <c:lblAlgn val="ctr"/>
        <c:lblOffset val="100"/>
        <c:noMultiLvlLbl val="0"/>
      </c:catAx>
      <c:valAx>
        <c:axId val="7633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Chart_data!$H$13</c:f>
              <c:strCache>
                <c:ptCount val="1"/>
                <c:pt idx="0">
                  <c:v>Expected savings for this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Chart_data!$G$14:$G$16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July</c:v>
                </c:pt>
              </c:strCache>
            </c:strRef>
          </c:cat>
          <c:val>
            <c:numRef>
              <c:f>Chart_data!$H$14:$H$16</c:f>
              <c:numCache>
                <c:formatCode>0</c:formatCode>
                <c:ptCount val="3"/>
                <c:pt idx="0">
                  <c:v>12370.333333333332</c:v>
                </c:pt>
                <c:pt idx="1">
                  <c:v>18118.666666666664</c:v>
                </c:pt>
                <c:pt idx="2">
                  <c:v>27257.333333333332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D-4E89-8D34-C1EDE1DB14E5}"/>
            </c:ext>
          </c:extLst>
        </c:ser>
        <c:ser>
          <c:idx val="1"/>
          <c:order val="1"/>
          <c:tx>
            <c:strRef>
              <c:f>Chart_data!$I$13</c:f>
              <c:strCache>
                <c:ptCount val="1"/>
                <c:pt idx="0">
                  <c:v>Actual savings for this month till this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Chart_data!$G$14:$G$16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July</c:v>
                </c:pt>
              </c:strCache>
            </c:strRef>
          </c:cat>
          <c:val>
            <c:numRef>
              <c:f>Chart_data!$I$14:$I$16</c:f>
              <c:numCache>
                <c:formatCode>General</c:formatCode>
                <c:ptCount val="3"/>
                <c:pt idx="0">
                  <c:v>6886.5</c:v>
                </c:pt>
                <c:pt idx="1">
                  <c:v>11133</c:v>
                </c:pt>
                <c:pt idx="2">
                  <c:v>35471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D-4E89-8D34-C1EDE1DB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519247"/>
        <c:axId val="2027520079"/>
      </c:barChart>
      <c:catAx>
        <c:axId val="20275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20079"/>
        <c:crosses val="autoZero"/>
        <c:auto val="1"/>
        <c:lblAlgn val="ctr"/>
        <c:lblOffset val="100"/>
        <c:noMultiLvlLbl val="0"/>
      </c:catAx>
      <c:valAx>
        <c:axId val="20275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69827</xdr:colOff>
      <xdr:row>0</xdr:row>
      <xdr:rowOff>0</xdr:rowOff>
    </xdr:from>
    <xdr:to>
      <xdr:col>12</xdr:col>
      <xdr:colOff>567316</xdr:colOff>
      <xdr:row>28</xdr:row>
      <xdr:rowOff>19852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457F48-B5B6-49C8-8E2A-D3D2D207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84667</xdr:colOff>
      <xdr:row>29</xdr:row>
      <xdr:rowOff>143933</xdr:rowOff>
    </xdr:from>
    <xdr:to>
      <xdr:col>24</xdr:col>
      <xdr:colOff>328449</xdr:colOff>
      <xdr:row>56</xdr:row>
      <xdr:rowOff>131379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262E7AAB-F200-4293-A16E-241838A2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114943</xdr:rowOff>
    </xdr:from>
    <xdr:to>
      <xdr:col>11</xdr:col>
      <xdr:colOff>211667</xdr:colOff>
      <xdr:row>58</xdr:row>
      <xdr:rowOff>147888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00032A-F021-4B68-9E72-3512BEDBB98A}"/>
            </a:ext>
            <a:ext uri="{147F2762-F138-4A5C-976F-8EAC2B608ADB}">
              <a16:predDERef xmlns:a16="http://schemas.microsoft.com/office/drawing/2014/main" pred="{262E7AAB-F200-4293-A16E-241838A2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275421</xdr:colOff>
      <xdr:row>4</xdr:row>
      <xdr:rowOff>84157</xdr:rowOff>
    </xdr:from>
    <xdr:to>
      <xdr:col>25</xdr:col>
      <xdr:colOff>145362</xdr:colOff>
      <xdr:row>28</xdr:row>
      <xdr:rowOff>38253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34DE7-1A17-4EA5-87BE-085DB1F30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Sunil Wagh" refreshedDate="44713.741651041666" createdVersion="8" refreshedVersion="8" minRefreshableVersion="3" recordCount="1" xr:uid="{E5C3DAA8-5E92-46B5-B5C3-0F7D904FE155}">
  <cacheSource type="worksheet">
    <worksheetSource ref="A18:C19" sheet="Summary"/>
  </cacheSource>
  <cacheFields count="3">
    <cacheField name="Expected savings for this month" numFmtId="0">
      <sharedItems/>
    </cacheField>
    <cacheField name="12370" numFmtId="0">
      <sharedItems containsSemiMixedTypes="0" containsString="0" containsNumber="1" minValue="6886.5" maxValue="6886.5"/>
    </cacheField>
    <cacheField name="18400" numFmtId="0">
      <sharedItems containsSemiMixedTypes="0" containsString="0" containsNumber="1" minValue="44453.5" maxValue="4445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Actual savings for this month till this date"/>
    <n v="6886.5"/>
    <n v="4445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78D79-2481-4226-A604-D994F25463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1:S2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E55C-F2A3-40F5-8CA6-85600687AD63}">
  <dimension ref="A11:AA68"/>
  <sheetViews>
    <sheetView tabSelected="1" topLeftCell="H3" zoomScale="83" workbookViewId="0">
      <selection activeCell="AA17" sqref="AA17"/>
    </sheetView>
  </sheetViews>
  <sheetFormatPr defaultRowHeight="14" x14ac:dyDescent="0.3"/>
  <cols>
    <col min="2" max="2" width="35.33203125" bestFit="1" customWidth="1"/>
    <col min="3" max="3" width="19" customWidth="1"/>
    <col min="4" max="4" width="15.4140625" style="8" customWidth="1"/>
  </cols>
  <sheetData>
    <row r="11" spans="17:27" x14ac:dyDescent="0.3">
      <c r="Q11" s="37"/>
      <c r="R11" s="38"/>
      <c r="S11" s="39"/>
    </row>
    <row r="12" spans="17:27" x14ac:dyDescent="0.3">
      <c r="Q12" s="40"/>
      <c r="R12" s="41"/>
      <c r="S12" s="42"/>
    </row>
    <row r="13" spans="17:27" x14ac:dyDescent="0.3">
      <c r="Q13" s="40"/>
      <c r="R13" s="41"/>
      <c r="S13" s="42"/>
    </row>
    <row r="14" spans="17:27" x14ac:dyDescent="0.3">
      <c r="Q14" s="40"/>
      <c r="R14" s="41"/>
      <c r="S14" s="42"/>
    </row>
    <row r="15" spans="17:27" x14ac:dyDescent="0.3">
      <c r="Q15" s="40"/>
      <c r="R15" s="41"/>
      <c r="S15" s="42"/>
      <c r="AA15">
        <v>8873</v>
      </c>
    </row>
    <row r="16" spans="17:27" x14ac:dyDescent="0.3">
      <c r="Q16" s="40"/>
      <c r="R16" s="41"/>
      <c r="S16" s="42"/>
      <c r="AA16">
        <v>2469</v>
      </c>
    </row>
    <row r="17" spans="17:27" x14ac:dyDescent="0.3">
      <c r="Q17" s="40"/>
      <c r="R17" s="41"/>
      <c r="S17" s="42"/>
      <c r="AA17">
        <f>SUM(AA15:AA16)</f>
        <v>11342</v>
      </c>
    </row>
    <row r="18" spans="17:27" x14ac:dyDescent="0.3">
      <c r="Q18" s="40"/>
      <c r="R18" s="41"/>
      <c r="S18" s="42"/>
    </row>
    <row r="19" spans="17:27" x14ac:dyDescent="0.3">
      <c r="Q19" s="40"/>
      <c r="R19" s="41"/>
      <c r="S19" s="42"/>
    </row>
    <row r="20" spans="17:27" x14ac:dyDescent="0.3">
      <c r="Q20" s="40"/>
      <c r="R20" s="41"/>
      <c r="S20" s="42"/>
    </row>
    <row r="21" spans="17:27" x14ac:dyDescent="0.3">
      <c r="Q21" s="40"/>
      <c r="R21" s="41"/>
      <c r="S21" s="42"/>
    </row>
    <row r="22" spans="17:27" x14ac:dyDescent="0.3">
      <c r="Q22" s="40"/>
      <c r="R22" s="41"/>
      <c r="S22" s="42"/>
    </row>
    <row r="23" spans="17:27" x14ac:dyDescent="0.3">
      <c r="Q23" s="40"/>
      <c r="R23" s="41"/>
      <c r="S23" s="42"/>
    </row>
    <row r="24" spans="17:27" x14ac:dyDescent="0.3">
      <c r="Q24" s="40"/>
      <c r="R24" s="41"/>
      <c r="S24" s="42"/>
    </row>
    <row r="25" spans="17:27" x14ac:dyDescent="0.3">
      <c r="Q25" s="40"/>
      <c r="R25" s="41"/>
      <c r="S25" s="42"/>
    </row>
    <row r="26" spans="17:27" x14ac:dyDescent="0.3">
      <c r="Q26" s="40"/>
      <c r="R26" s="41"/>
      <c r="S26" s="42"/>
    </row>
    <row r="27" spans="17:27" x14ac:dyDescent="0.3">
      <c r="Q27" s="40"/>
      <c r="R27" s="41"/>
      <c r="S27" s="42"/>
    </row>
    <row r="28" spans="17:27" x14ac:dyDescent="0.3">
      <c r="Q28" s="43"/>
      <c r="R28" s="44"/>
      <c r="S28" s="45"/>
    </row>
    <row r="58" spans="1:5" x14ac:dyDescent="0.3">
      <c r="A58" s="1"/>
      <c r="B58" s="1" t="s">
        <v>115</v>
      </c>
      <c r="C58" s="1" t="s">
        <v>49</v>
      </c>
      <c r="D58" s="11" t="s">
        <v>80</v>
      </c>
      <c r="E58" s="4" t="s">
        <v>51</v>
      </c>
    </row>
    <row r="59" spans="1:5" x14ac:dyDescent="0.3">
      <c r="A59" s="1" t="s">
        <v>116</v>
      </c>
      <c r="B59" s="1"/>
      <c r="C59" s="1" t="s">
        <v>118</v>
      </c>
      <c r="D59" s="11"/>
      <c r="E59" s="1"/>
    </row>
    <row r="60" spans="1:5" x14ac:dyDescent="0.3">
      <c r="A60" s="1">
        <v>0</v>
      </c>
      <c r="B60" s="1" t="s">
        <v>170</v>
      </c>
      <c r="C60" s="1"/>
      <c r="D60" s="11">
        <f>11898-10167</f>
        <v>1731</v>
      </c>
      <c r="E60" s="1"/>
    </row>
    <row r="61" spans="1:5" x14ac:dyDescent="0.3">
      <c r="A61" s="1">
        <v>1</v>
      </c>
      <c r="B61" s="11" t="s">
        <v>117</v>
      </c>
      <c r="C61" s="1">
        <f>Chart_data!P7-Chart_data!O7</f>
        <v>2031</v>
      </c>
      <c r="D61" s="11">
        <v>1351</v>
      </c>
      <c r="E61" s="1"/>
    </row>
    <row r="62" spans="1:5" x14ac:dyDescent="0.3">
      <c r="A62" s="1">
        <v>2</v>
      </c>
      <c r="B62" s="1" t="s">
        <v>134</v>
      </c>
      <c r="C62" s="1">
        <f>Chart_data!P8-Chart_data!O8</f>
        <v>5200</v>
      </c>
      <c r="D62" s="11">
        <f>3109-5000</f>
        <v>-1891</v>
      </c>
      <c r="E62" s="1"/>
    </row>
    <row r="63" spans="1:5" x14ac:dyDescent="0.3">
      <c r="A63" s="1">
        <v>3</v>
      </c>
      <c r="B63" s="1" t="s">
        <v>119</v>
      </c>
      <c r="C63" s="1">
        <f>Chart_data!P9-Chart_data!O9</f>
        <v>369</v>
      </c>
      <c r="D63" s="11">
        <f>3894-3000</f>
        <v>894</v>
      </c>
      <c r="E63" s="1"/>
    </row>
    <row r="64" spans="1:5" x14ac:dyDescent="0.3">
      <c r="A64" s="1">
        <v>4</v>
      </c>
      <c r="B64" s="1" t="s">
        <v>120</v>
      </c>
      <c r="C64" s="2">
        <f>Chart_data!P6-Chart_data!O6</f>
        <v>-1205.5</v>
      </c>
      <c r="D64" s="11">
        <f>8383-9000</f>
        <v>-617</v>
      </c>
      <c r="E64" s="1"/>
    </row>
    <row r="65" spans="1:5" x14ac:dyDescent="0.3">
      <c r="A65" s="1"/>
      <c r="B65" s="1"/>
      <c r="C65" s="1"/>
      <c r="D65" s="11"/>
      <c r="E65" s="1"/>
    </row>
    <row r="66" spans="1:5" x14ac:dyDescent="0.3">
      <c r="A66" s="1"/>
      <c r="B66" s="1" t="s">
        <v>121</v>
      </c>
      <c r="C66" s="1">
        <f>SUM(C61:C64)</f>
        <v>6394.5</v>
      </c>
      <c r="D66" s="11">
        <f>SUM(D60:D64)</f>
        <v>1468</v>
      </c>
      <c r="E66" s="1"/>
    </row>
    <row r="68" spans="1:5" ht="42" x14ac:dyDescent="0.3">
      <c r="C68" s="8" t="s">
        <v>162</v>
      </c>
      <c r="D68" s="8" t="s">
        <v>171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B865-4635-436F-B49D-D8A957FAF8BC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E878-57D5-40D7-9E94-7C53D4CBEDA4}">
  <dimension ref="A3:K20"/>
  <sheetViews>
    <sheetView topLeftCell="A3" workbookViewId="0">
      <selection activeCell="J13" sqref="J13"/>
    </sheetView>
  </sheetViews>
  <sheetFormatPr defaultRowHeight="14" x14ac:dyDescent="0.3"/>
  <cols>
    <col min="1" max="1" width="28.08203125" customWidth="1"/>
    <col min="4" max="4" width="11.08203125" customWidth="1"/>
    <col min="6" max="6" width="11.83203125" customWidth="1"/>
    <col min="9" max="9" width="10.25" customWidth="1"/>
    <col min="11" max="11" width="9.1640625" bestFit="1" customWidth="1"/>
  </cols>
  <sheetData>
    <row r="3" spans="1:11" ht="15.5" x14ac:dyDescent="0.35">
      <c r="A3" s="12" t="s">
        <v>48</v>
      </c>
      <c r="B3" s="12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 t="s">
        <v>55</v>
      </c>
      <c r="I3" s="12" t="s">
        <v>56</v>
      </c>
    </row>
    <row r="4" spans="1:11" x14ac:dyDescent="0.3">
      <c r="A4" s="5" t="s">
        <v>58</v>
      </c>
      <c r="B4" s="24">
        <f>Input!C4</f>
        <v>44537</v>
      </c>
      <c r="C4" s="24">
        <f>C5+Input!C2</f>
        <v>44798</v>
      </c>
      <c r="D4" s="24">
        <f>Input!E4</f>
        <v>48699</v>
      </c>
      <c r="E4" s="24"/>
      <c r="F4" s="24"/>
      <c r="G4" s="24"/>
      <c r="H4" s="24"/>
      <c r="I4" s="24"/>
      <c r="K4" s="74"/>
    </row>
    <row r="5" spans="1:11" x14ac:dyDescent="0.3">
      <c r="A5" s="5" t="s">
        <v>59</v>
      </c>
      <c r="B5" s="1">
        <f>Input!C3</f>
        <v>6970</v>
      </c>
      <c r="C5" s="1">
        <v>7231</v>
      </c>
      <c r="D5" s="1">
        <f>Input!E3</f>
        <v>11133</v>
      </c>
      <c r="E5" s="1"/>
      <c r="F5" s="1"/>
      <c r="G5" s="1"/>
      <c r="H5" s="1"/>
      <c r="I5" s="1"/>
    </row>
    <row r="6" spans="1:11" x14ac:dyDescent="0.3">
      <c r="A6" s="5" t="s">
        <v>57</v>
      </c>
      <c r="B6" s="24">
        <f>Input!C30</f>
        <v>37650.5</v>
      </c>
      <c r="C6" s="24">
        <f>ActualExpe_Jun!AK21</f>
        <v>33665</v>
      </c>
      <c r="D6" s="24">
        <f>ActualExpe_July!AL21</f>
        <v>13228</v>
      </c>
      <c r="E6" s="24"/>
      <c r="F6" s="24"/>
      <c r="G6" s="24"/>
      <c r="H6" s="24"/>
      <c r="I6" s="24"/>
    </row>
    <row r="9" spans="1:11" x14ac:dyDescent="0.3">
      <c r="A9" s="20" t="s">
        <v>73</v>
      </c>
      <c r="B9" s="1">
        <f>Input!C33</f>
        <v>274.5</v>
      </c>
      <c r="C9" s="1">
        <f>Input!D33</f>
        <v>634</v>
      </c>
      <c r="D9" s="1">
        <f>Input!E33</f>
        <v>240</v>
      </c>
      <c r="E9" s="1"/>
      <c r="F9" s="1"/>
      <c r="G9" s="1"/>
      <c r="H9" s="1"/>
      <c r="I9" s="1"/>
    </row>
    <row r="10" spans="1:11" x14ac:dyDescent="0.3">
      <c r="A10" s="20" t="s">
        <v>74</v>
      </c>
      <c r="B10" s="1">
        <f>Input!C36</f>
        <v>-191</v>
      </c>
      <c r="C10" s="1">
        <f>Input!D36</f>
        <v>-9</v>
      </c>
      <c r="D10" s="1">
        <f>Input!E36</f>
        <v>-867</v>
      </c>
      <c r="E10" s="1"/>
      <c r="F10" s="1"/>
      <c r="G10" s="1"/>
      <c r="H10" s="1"/>
      <c r="I10" s="1"/>
    </row>
    <row r="11" spans="1:11" x14ac:dyDescent="0.3">
      <c r="A11" s="20" t="s">
        <v>75</v>
      </c>
      <c r="B11" s="1">
        <f>Input!C39</f>
        <v>-933</v>
      </c>
      <c r="C11" s="1">
        <f>Input!D39</f>
        <v>-519</v>
      </c>
      <c r="D11" s="1">
        <f>Input!E39</f>
        <v>83</v>
      </c>
      <c r="E11" s="1"/>
      <c r="F11" s="1"/>
      <c r="G11" s="1"/>
      <c r="H11" s="1"/>
      <c r="I11" s="1"/>
      <c r="K11">
        <v>44768</v>
      </c>
    </row>
    <row r="12" spans="1:11" x14ac:dyDescent="0.3">
      <c r="A12" s="20" t="s">
        <v>76</v>
      </c>
      <c r="B12" s="1">
        <f>Input!C42</f>
        <v>790</v>
      </c>
      <c r="C12" s="1">
        <f>Input!D39</f>
        <v>-519</v>
      </c>
      <c r="D12" s="1">
        <f>Input!E42</f>
        <v>1500</v>
      </c>
      <c r="E12" s="1"/>
      <c r="F12" s="1"/>
      <c r="G12" s="1"/>
      <c r="H12" s="1"/>
      <c r="I12" s="1"/>
      <c r="K12">
        <f>K11-37537</f>
        <v>7231</v>
      </c>
    </row>
    <row r="13" spans="1:11" x14ac:dyDescent="0.3">
      <c r="A13" s="20" t="s">
        <v>77</v>
      </c>
      <c r="B13" s="1">
        <f>Input!C45</f>
        <v>1265</v>
      </c>
      <c r="C13" s="1">
        <f>Input!D45</f>
        <v>699</v>
      </c>
      <c r="D13" s="1">
        <f>Input!E45</f>
        <v>1800</v>
      </c>
      <c r="E13" s="1"/>
      <c r="F13" s="1"/>
      <c r="G13" s="1"/>
      <c r="H13" s="1"/>
      <c r="I13" s="1"/>
    </row>
    <row r="14" spans="1:11" x14ac:dyDescent="0.3">
      <c r="A14" s="20" t="s">
        <v>81</v>
      </c>
      <c r="B14" s="1">
        <f>SUM(B9:B13)</f>
        <v>1205.5</v>
      </c>
      <c r="C14" s="1">
        <f>SUM(C9:C13)</f>
        <v>286</v>
      </c>
      <c r="D14" s="1">
        <f>SUM(D9:D13)</f>
        <v>2756</v>
      </c>
      <c r="E14" s="1"/>
      <c r="F14" s="1"/>
      <c r="G14" s="1"/>
      <c r="H14" s="1"/>
      <c r="I14" s="1"/>
    </row>
    <row r="15" spans="1:11" x14ac:dyDescent="0.3">
      <c r="A15" s="15"/>
      <c r="B15" s="25"/>
      <c r="C15" s="25"/>
      <c r="D15" s="25"/>
      <c r="E15" s="25"/>
      <c r="F15" s="25"/>
      <c r="G15" s="25"/>
      <c r="H15" s="25"/>
      <c r="I15" s="25"/>
    </row>
    <row r="16" spans="1:11" x14ac:dyDescent="0.3">
      <c r="A16" s="15"/>
      <c r="B16" s="25"/>
      <c r="C16" s="25"/>
      <c r="D16" s="25"/>
      <c r="E16" s="25"/>
      <c r="F16" s="25"/>
      <c r="G16" s="25"/>
      <c r="H16" s="25"/>
      <c r="I16" s="25"/>
    </row>
    <row r="18" spans="1:9" x14ac:dyDescent="0.3">
      <c r="A18" s="20" t="s">
        <v>78</v>
      </c>
      <c r="B18" s="2">
        <f>Input!C25</f>
        <v>12370.333333333332</v>
      </c>
      <c r="C18" s="2">
        <f>Input!D25</f>
        <v>18118.666666666664</v>
      </c>
      <c r="D18" s="2">
        <f>Input!E25</f>
        <v>27257.333333333332</v>
      </c>
      <c r="E18" s="1"/>
      <c r="F18" s="1"/>
      <c r="G18" s="1"/>
      <c r="H18" s="1"/>
      <c r="I18" s="1"/>
    </row>
    <row r="19" spans="1:9" ht="28" x14ac:dyDescent="0.3">
      <c r="A19" s="21" t="s">
        <v>79</v>
      </c>
      <c r="B19" s="24">
        <f>B4-SUM(B6)</f>
        <v>6886.5</v>
      </c>
      <c r="C19" s="24">
        <f>C4-SUM(C6)</f>
        <v>11133</v>
      </c>
      <c r="D19" s="24">
        <f>D4-D6</f>
        <v>35471</v>
      </c>
      <c r="E19" s="24"/>
      <c r="F19" s="24"/>
      <c r="G19" s="24"/>
      <c r="H19" s="24"/>
      <c r="I19" s="24"/>
    </row>
    <row r="20" spans="1:9" ht="30.65" customHeight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429B-1345-419A-9405-4E225C8359DE}">
  <dimension ref="A1:I45"/>
  <sheetViews>
    <sheetView topLeftCell="A32" workbookViewId="0">
      <selection activeCell="E35" sqref="E35"/>
    </sheetView>
  </sheetViews>
  <sheetFormatPr defaultRowHeight="14" x14ac:dyDescent="0.3"/>
  <cols>
    <col min="1" max="1" width="20.5" customWidth="1"/>
    <col min="2" max="2" width="20.6640625" customWidth="1"/>
    <col min="3" max="3" width="10.83203125" customWidth="1"/>
  </cols>
  <sheetData>
    <row r="1" spans="1:9" x14ac:dyDescent="0.3">
      <c r="A1" s="1"/>
      <c r="B1" s="1"/>
      <c r="C1" s="5" t="s">
        <v>49</v>
      </c>
      <c r="D1" s="5" t="s">
        <v>80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</row>
    <row r="2" spans="1:9" x14ac:dyDescent="0.3">
      <c r="A2" s="5" t="s">
        <v>0</v>
      </c>
      <c r="B2" s="1" t="s">
        <v>1</v>
      </c>
      <c r="C2" s="1">
        <v>37567</v>
      </c>
      <c r="D2" s="1">
        <f>C2</f>
        <v>37567</v>
      </c>
      <c r="E2" s="1">
        <v>37566</v>
      </c>
      <c r="F2" s="1">
        <f t="shared" ref="F2:I2" si="0">E2</f>
        <v>37566</v>
      </c>
      <c r="G2" s="1">
        <f t="shared" si="0"/>
        <v>37566</v>
      </c>
      <c r="H2" s="1">
        <f t="shared" si="0"/>
        <v>37566</v>
      </c>
      <c r="I2" s="1">
        <f t="shared" si="0"/>
        <v>37566</v>
      </c>
    </row>
    <row r="3" spans="1:9" s="8" customFormat="1" ht="28" x14ac:dyDescent="0.3">
      <c r="A3" s="23" t="s">
        <v>47</v>
      </c>
      <c r="B3" s="11" t="s">
        <v>17</v>
      </c>
      <c r="C3" s="11">
        <v>6970</v>
      </c>
      <c r="D3" s="11">
        <f>Summary!B19</f>
        <v>6886.5</v>
      </c>
      <c r="E3" s="11">
        <f>Chart_data!I15</f>
        <v>11133</v>
      </c>
      <c r="F3" s="11"/>
      <c r="G3" s="11"/>
      <c r="H3" s="11"/>
      <c r="I3" s="11"/>
    </row>
    <row r="4" spans="1:9" s="8" customFormat="1" x14ac:dyDescent="0.3">
      <c r="A4" s="23"/>
      <c r="B4" s="11" t="s">
        <v>16</v>
      </c>
      <c r="C4" s="22">
        <f>C2+C3</f>
        <v>44537</v>
      </c>
      <c r="D4" s="22">
        <f>D2+D3</f>
        <v>44453.5</v>
      </c>
      <c r="E4" s="22">
        <f>E2+E3</f>
        <v>48699</v>
      </c>
      <c r="F4" s="11"/>
      <c r="G4" s="11"/>
      <c r="H4" s="11"/>
      <c r="I4" s="11"/>
    </row>
    <row r="5" spans="1:9" x14ac:dyDescent="0.3">
      <c r="A5" s="75" t="s">
        <v>2</v>
      </c>
      <c r="B5" s="1" t="s">
        <v>3</v>
      </c>
      <c r="C5" s="1">
        <v>8000</v>
      </c>
      <c r="D5" s="1">
        <v>8000</v>
      </c>
      <c r="E5" s="1" t="s">
        <v>164</v>
      </c>
      <c r="F5" s="1"/>
      <c r="G5" s="1"/>
      <c r="H5" s="1"/>
      <c r="I5" s="1"/>
    </row>
    <row r="6" spans="1:9" x14ac:dyDescent="0.3">
      <c r="A6" s="76"/>
      <c r="B6" s="1" t="s">
        <v>4</v>
      </c>
      <c r="C6" s="2">
        <f>5000/6</f>
        <v>833.33333333333337</v>
      </c>
      <c r="D6" s="2">
        <f>10190/6</f>
        <v>1698.3333333333333</v>
      </c>
      <c r="E6" s="2">
        <f>11650/6</f>
        <v>1941.6666666666667</v>
      </c>
      <c r="F6" s="1"/>
      <c r="G6" s="1"/>
      <c r="H6" s="1"/>
      <c r="I6" s="1"/>
    </row>
    <row r="7" spans="1:9" x14ac:dyDescent="0.3">
      <c r="A7" s="77"/>
      <c r="B7" s="1" t="s">
        <v>5</v>
      </c>
      <c r="C7" s="2">
        <f>8000/6</f>
        <v>1333.3333333333333</v>
      </c>
      <c r="D7" s="2">
        <f>4500/6</f>
        <v>750</v>
      </c>
      <c r="E7" s="1">
        <v>1500</v>
      </c>
      <c r="F7" s="1"/>
      <c r="G7" s="1"/>
      <c r="H7" s="1"/>
      <c r="I7" s="1"/>
    </row>
    <row r="8" spans="1:9" x14ac:dyDescent="0.3">
      <c r="A8" s="28"/>
      <c r="B8" s="7" t="s">
        <v>16</v>
      </c>
      <c r="C8" s="6">
        <f>SUM(C5:C7)</f>
        <v>10166.666666666668</v>
      </c>
      <c r="D8" s="6">
        <f>SUM(D5:D7)</f>
        <v>10448.333333333334</v>
      </c>
      <c r="E8" s="7">
        <f>SUM(E5:E7)</f>
        <v>3441.666666666667</v>
      </c>
      <c r="F8" s="1"/>
      <c r="G8" s="1"/>
      <c r="H8" s="1"/>
      <c r="I8" s="1"/>
    </row>
    <row r="9" spans="1:9" x14ac:dyDescent="0.3">
      <c r="A9" s="78" t="s">
        <v>89</v>
      </c>
      <c r="B9" s="1" t="s">
        <v>6</v>
      </c>
      <c r="C9" s="1">
        <f>25*35</f>
        <v>875</v>
      </c>
      <c r="D9" s="1">
        <f>25*35</f>
        <v>875</v>
      </c>
      <c r="E9" s="1">
        <f>25*35</f>
        <v>875</v>
      </c>
      <c r="F9" s="1"/>
      <c r="G9" s="1"/>
      <c r="H9" s="1"/>
      <c r="I9" s="1"/>
    </row>
    <row r="10" spans="1:9" x14ac:dyDescent="0.3">
      <c r="A10" s="79"/>
      <c r="B10" s="11" t="s">
        <v>88</v>
      </c>
      <c r="C10" s="1">
        <v>1000</v>
      </c>
      <c r="D10" s="1">
        <v>1000</v>
      </c>
      <c r="E10" s="1">
        <v>1000</v>
      </c>
      <c r="F10" s="1"/>
      <c r="G10" s="1"/>
      <c r="H10" s="1"/>
      <c r="I10" s="1"/>
    </row>
    <row r="11" spans="1:9" x14ac:dyDescent="0.3">
      <c r="A11" s="79"/>
      <c r="B11" s="1" t="s">
        <v>165</v>
      </c>
      <c r="C11" s="1">
        <f>4*35/30*150</f>
        <v>700</v>
      </c>
      <c r="D11" s="1">
        <f>4*35/30*150</f>
        <v>700</v>
      </c>
      <c r="E11" s="1">
        <f>25*14</f>
        <v>350</v>
      </c>
      <c r="F11" s="1"/>
      <c r="G11" s="1"/>
      <c r="H11" s="1"/>
      <c r="I11" s="1"/>
    </row>
    <row r="12" spans="1:9" x14ac:dyDescent="0.3">
      <c r="A12" s="79"/>
      <c r="B12" s="1" t="s">
        <v>7</v>
      </c>
      <c r="C12" s="1">
        <v>1500</v>
      </c>
      <c r="D12" s="1">
        <v>1500</v>
      </c>
      <c r="E12" s="1">
        <v>1500</v>
      </c>
      <c r="F12" s="1"/>
      <c r="G12" s="1"/>
      <c r="H12" s="1"/>
      <c r="I12" s="1"/>
    </row>
    <row r="13" spans="1:9" x14ac:dyDescent="0.3">
      <c r="A13" s="79"/>
      <c r="B13" s="4" t="s">
        <v>9</v>
      </c>
      <c r="C13" s="1">
        <f>200*10</f>
        <v>2000</v>
      </c>
      <c r="D13" s="1">
        <f>200*10</f>
        <v>2000</v>
      </c>
      <c r="E13" s="1">
        <v>0</v>
      </c>
      <c r="F13" s="1"/>
      <c r="G13" s="1"/>
      <c r="H13" s="1"/>
      <c r="I13" s="1"/>
    </row>
    <row r="14" spans="1:9" x14ac:dyDescent="0.3">
      <c r="A14" s="79"/>
      <c r="B14" s="4" t="s">
        <v>11</v>
      </c>
      <c r="C14" s="1">
        <v>1200</v>
      </c>
      <c r="D14" s="1">
        <v>1200</v>
      </c>
      <c r="E14" s="1">
        <v>2000</v>
      </c>
      <c r="F14" s="1"/>
      <c r="G14" s="1"/>
      <c r="H14" s="1"/>
      <c r="I14" s="1"/>
    </row>
    <row r="15" spans="1:9" x14ac:dyDescent="0.3">
      <c r="A15" s="80"/>
      <c r="B15" s="4" t="s">
        <v>12</v>
      </c>
      <c r="C15" s="1">
        <f>140*10</f>
        <v>1400</v>
      </c>
      <c r="D15" s="1">
        <f>140*10</f>
        <v>1400</v>
      </c>
      <c r="E15" s="1">
        <f>130*10</f>
        <v>1300</v>
      </c>
      <c r="F15" s="1"/>
      <c r="G15" s="1"/>
      <c r="H15" s="1"/>
      <c r="I15" s="1"/>
    </row>
    <row r="16" spans="1:9" x14ac:dyDescent="0.3">
      <c r="A16" s="27"/>
      <c r="B16" s="5" t="s">
        <v>8</v>
      </c>
      <c r="C16" s="6">
        <f>SUM(C9:C15)</f>
        <v>8675</v>
      </c>
      <c r="D16" s="6">
        <f>SUM(D9:D15)</f>
        <v>8675</v>
      </c>
      <c r="E16" s="7">
        <f>SUM(E9:E15)</f>
        <v>7025</v>
      </c>
      <c r="F16" s="1"/>
      <c r="G16" s="1"/>
      <c r="H16" s="1"/>
      <c r="I16" s="1"/>
    </row>
    <row r="17" spans="1:9" ht="42" x14ac:dyDescent="0.3">
      <c r="A17" s="82" t="s">
        <v>10</v>
      </c>
      <c r="B17" s="3" t="s">
        <v>13</v>
      </c>
      <c r="C17" s="1">
        <f>C13/5+C12/5+C11/5+C9/5+C14/5+C15/5+C10/5</f>
        <v>1735</v>
      </c>
      <c r="D17" s="1">
        <f>D13/5+D12/5+D11/5+D9/5+D14/5+D15/5+D10/5</f>
        <v>1735</v>
      </c>
      <c r="E17" s="1">
        <f>E16/5</f>
        <v>1405</v>
      </c>
      <c r="F17" s="1"/>
      <c r="G17" s="1"/>
      <c r="H17" s="1"/>
      <c r="I17" s="1"/>
    </row>
    <row r="18" spans="1:9" x14ac:dyDescent="0.3">
      <c r="A18" s="82"/>
      <c r="B18" s="3" t="s">
        <v>18</v>
      </c>
      <c r="C18" s="1">
        <f>1800-C17</f>
        <v>65</v>
      </c>
      <c r="D18" s="1">
        <f>1800-D17</f>
        <v>65</v>
      </c>
      <c r="E18" s="1">
        <v>95</v>
      </c>
      <c r="F18" s="1"/>
      <c r="G18" s="1"/>
      <c r="H18" s="1"/>
      <c r="I18" s="1"/>
    </row>
    <row r="19" spans="1:9" x14ac:dyDescent="0.3">
      <c r="A19" s="82"/>
      <c r="B19" s="5" t="s">
        <v>14</v>
      </c>
      <c r="C19" s="7">
        <f>SUM(C17:C18)*5</f>
        <v>9000</v>
      </c>
      <c r="D19" s="7">
        <f>SUM(D17:D18)*5</f>
        <v>9000</v>
      </c>
      <c r="E19" s="7">
        <v>9000</v>
      </c>
      <c r="F19" s="1"/>
      <c r="G19" s="1"/>
      <c r="H19" s="1"/>
      <c r="I19" s="1"/>
    </row>
    <row r="20" spans="1:9" x14ac:dyDescent="0.3">
      <c r="A20" s="75" t="s">
        <v>105</v>
      </c>
      <c r="B20" s="30" t="s">
        <v>106</v>
      </c>
      <c r="C20" s="31">
        <v>5000</v>
      </c>
      <c r="D20" s="31">
        <v>5000</v>
      </c>
      <c r="E20" s="24">
        <v>9000</v>
      </c>
      <c r="F20" s="1"/>
      <c r="G20" s="1"/>
      <c r="H20" s="1"/>
      <c r="I20" s="1"/>
    </row>
    <row r="21" spans="1:9" x14ac:dyDescent="0.3">
      <c r="A21" s="76"/>
      <c r="B21" s="30" t="s">
        <v>102</v>
      </c>
      <c r="C21" s="31">
        <v>5000</v>
      </c>
      <c r="D21" s="31">
        <v>5000</v>
      </c>
      <c r="E21" s="24">
        <v>0</v>
      </c>
      <c r="F21" s="1"/>
      <c r="G21" s="1"/>
      <c r="H21" s="1"/>
      <c r="I21" s="1"/>
    </row>
    <row r="22" spans="1:9" x14ac:dyDescent="0.3">
      <c r="A22" s="76"/>
      <c r="B22" s="30" t="s">
        <v>103</v>
      </c>
      <c r="C22" s="31">
        <v>3000</v>
      </c>
      <c r="D22" s="31">
        <v>3000</v>
      </c>
      <c r="E22" s="24">
        <v>0</v>
      </c>
      <c r="F22" s="1"/>
      <c r="G22" s="1"/>
      <c r="H22" s="1"/>
      <c r="I22" s="1"/>
    </row>
    <row r="23" spans="1:9" x14ac:dyDescent="0.3">
      <c r="A23" s="77"/>
      <c r="B23" s="5" t="s">
        <v>16</v>
      </c>
      <c r="C23" s="7">
        <f>SUM(C20:C22)</f>
        <v>13000</v>
      </c>
      <c r="D23" s="7">
        <f>SUM(D20:D22)</f>
        <v>13000</v>
      </c>
      <c r="E23" s="7">
        <f>SUM(E20:E22)</f>
        <v>9000</v>
      </c>
      <c r="F23" s="1"/>
      <c r="G23" s="1"/>
      <c r="H23" s="1"/>
      <c r="I23" s="1"/>
    </row>
    <row r="24" spans="1:9" ht="28" x14ac:dyDescent="0.3">
      <c r="A24" s="23" t="s">
        <v>15</v>
      </c>
      <c r="B24" s="5" t="s">
        <v>16</v>
      </c>
      <c r="C24" s="6">
        <f>C19+C8+C23</f>
        <v>32166.666666666668</v>
      </c>
      <c r="D24" s="6">
        <f>D19+SUM(D5:D7)</f>
        <v>19448.333333333336</v>
      </c>
      <c r="E24" s="6">
        <f>E23+E19+E8</f>
        <v>21441.666666666668</v>
      </c>
      <c r="F24" s="1"/>
      <c r="G24" s="1"/>
      <c r="H24" s="1"/>
      <c r="I24" s="1"/>
    </row>
    <row r="25" spans="1:9" x14ac:dyDescent="0.3">
      <c r="A25" s="5" t="s">
        <v>17</v>
      </c>
      <c r="B25" s="5" t="s">
        <v>166</v>
      </c>
      <c r="C25" s="6">
        <f>C4-C24</f>
        <v>12370.333333333332</v>
      </c>
      <c r="D25" s="6">
        <f>D2-D24</f>
        <v>18118.666666666664</v>
      </c>
      <c r="E25" s="6">
        <f>E4-E24</f>
        <v>27257.333333333332</v>
      </c>
      <c r="F25" s="1"/>
      <c r="G25" s="1"/>
      <c r="H25" s="1"/>
      <c r="I25" s="1"/>
    </row>
    <row r="26" spans="1:9" ht="42" x14ac:dyDescent="0.3">
      <c r="A26" s="82" t="s">
        <v>42</v>
      </c>
      <c r="B26" s="11" t="s">
        <v>13</v>
      </c>
      <c r="C26" s="1">
        <f>SUM(ActualExpe_MAy!AL3:AL11)</f>
        <v>7794.5</v>
      </c>
      <c r="D26" s="1">
        <f>SUM(ActualExpe_Jun!AK3:AK12)</f>
        <v>8383</v>
      </c>
      <c r="E26" s="1">
        <f>SUM(ActualExpe_July!AL3:AL12)</f>
        <v>6831</v>
      </c>
      <c r="F26" s="1"/>
      <c r="G26" s="1"/>
      <c r="H26" s="1"/>
      <c r="I26" s="1"/>
    </row>
    <row r="27" spans="1:9" x14ac:dyDescent="0.3">
      <c r="A27" s="82"/>
      <c r="B27" s="11" t="s">
        <v>46</v>
      </c>
      <c r="C27" s="1">
        <f>SUM(ActualExpe_MAy!AL12:AL16)</f>
        <v>22825</v>
      </c>
      <c r="D27" s="1">
        <f>SUM(ActualExpe_Jun!AK13:AK18)</f>
        <v>18931</v>
      </c>
      <c r="E27" s="1">
        <f>SUM(ActualExpe_July!AL13:AL18)</f>
        <v>7999</v>
      </c>
      <c r="F27" s="1"/>
      <c r="G27" s="1"/>
      <c r="H27" s="1"/>
      <c r="I27" s="1"/>
    </row>
    <row r="28" spans="1:9" x14ac:dyDescent="0.3">
      <c r="A28" s="82"/>
      <c r="B28" s="1" t="s">
        <v>43</v>
      </c>
      <c r="C28" s="1">
        <f>ActualExpe_MAy!AL17</f>
        <v>14227</v>
      </c>
      <c r="D28" s="1">
        <f>ActualExpe_Jun!AK19</f>
        <v>9362</v>
      </c>
      <c r="E28" s="1">
        <f>ActualExpe_July!AL19</f>
        <v>2091</v>
      </c>
      <c r="F28" s="1"/>
      <c r="G28" s="1"/>
      <c r="H28" s="1"/>
      <c r="I28" s="1"/>
    </row>
    <row r="29" spans="1:9" x14ac:dyDescent="0.3">
      <c r="A29" s="82"/>
      <c r="B29" s="1" t="s">
        <v>44</v>
      </c>
      <c r="C29" s="1">
        <f>ActualExpe_MAy!AL18</f>
        <v>-7196</v>
      </c>
      <c r="D29" s="1">
        <f>ActualExpe_Jun!AK20</f>
        <v>-3011</v>
      </c>
      <c r="E29" s="1">
        <f>ActualExpe_July!AL20</f>
        <v>-3693</v>
      </c>
      <c r="F29" s="1"/>
      <c r="G29" s="1"/>
      <c r="H29" s="1"/>
      <c r="I29" s="1"/>
    </row>
    <row r="30" spans="1:9" x14ac:dyDescent="0.3">
      <c r="A30" s="82"/>
      <c r="B30" s="5" t="s">
        <v>45</v>
      </c>
      <c r="C30" s="7">
        <f>SUM(C26:C29)</f>
        <v>37650.5</v>
      </c>
      <c r="D30" s="7">
        <f>SUM(D26:D29)</f>
        <v>33665</v>
      </c>
      <c r="E30" s="7">
        <f>SUM(E26:E29)</f>
        <v>13228</v>
      </c>
      <c r="F30" s="1"/>
      <c r="G30" s="1"/>
      <c r="H30" s="1"/>
      <c r="I30" s="1"/>
    </row>
    <row r="31" spans="1:9" x14ac:dyDescent="0.3">
      <c r="A31" s="81" t="s">
        <v>68</v>
      </c>
      <c r="B31" s="1" t="s">
        <v>60</v>
      </c>
      <c r="C31" s="1">
        <f>SUM(C17:C18)</f>
        <v>1800</v>
      </c>
      <c r="D31" s="1">
        <f>C31</f>
        <v>1800</v>
      </c>
      <c r="E31" s="1">
        <v>1800</v>
      </c>
      <c r="F31" s="1"/>
      <c r="G31" s="1"/>
      <c r="H31" s="1"/>
      <c r="I31" s="1"/>
    </row>
    <row r="32" spans="1:9" x14ac:dyDescent="0.3">
      <c r="A32" s="81"/>
      <c r="B32" s="1" t="s">
        <v>61</v>
      </c>
      <c r="C32" s="1">
        <f>SUM(ActualExpe_MAy!J3:J11)</f>
        <v>1525.5</v>
      </c>
      <c r="D32" s="1">
        <f>SUM(ActualExpe_Jun!G3:G12)</f>
        <v>1166</v>
      </c>
      <c r="E32" s="1">
        <f>SUM(ActualExpe_July!E3:E12)</f>
        <v>1560</v>
      </c>
      <c r="F32" s="1"/>
      <c r="G32" s="1"/>
      <c r="H32" s="1"/>
      <c r="I32" s="1"/>
    </row>
    <row r="33" spans="1:9" x14ac:dyDescent="0.3">
      <c r="A33" s="81"/>
      <c r="B33" s="5" t="s">
        <v>67</v>
      </c>
      <c r="C33" s="7">
        <f>C31-C32</f>
        <v>274.5</v>
      </c>
      <c r="D33" s="7">
        <f>D31-D32</f>
        <v>634</v>
      </c>
      <c r="E33" s="7">
        <f>E31-E32</f>
        <v>240</v>
      </c>
      <c r="F33" s="1"/>
      <c r="G33" s="1"/>
      <c r="H33" s="1"/>
      <c r="I33" s="1"/>
    </row>
    <row r="34" spans="1:9" x14ac:dyDescent="0.3">
      <c r="A34" s="81" t="s">
        <v>69</v>
      </c>
      <c r="B34" s="1" t="s">
        <v>60</v>
      </c>
      <c r="C34" s="1">
        <f>C31</f>
        <v>1800</v>
      </c>
      <c r="D34" s="1">
        <f>C34</f>
        <v>1800</v>
      </c>
      <c r="E34" s="1">
        <f>E31</f>
        <v>1800</v>
      </c>
      <c r="F34" s="1"/>
      <c r="G34" s="1"/>
      <c r="H34" s="1"/>
      <c r="I34" s="1"/>
    </row>
    <row r="35" spans="1:9" x14ac:dyDescent="0.3">
      <c r="A35" s="81"/>
      <c r="B35" s="1" t="s">
        <v>61</v>
      </c>
      <c r="C35" s="1">
        <f>SUM(ActualExpe_MAy!R3:R11)</f>
        <v>1991</v>
      </c>
      <c r="D35" s="1">
        <f>SUM(ActualExpe_Jun!O3:O12)</f>
        <v>1809</v>
      </c>
      <c r="E35" s="1">
        <f>SUM(ActualExpe_July!M3:M12)</f>
        <v>2667</v>
      </c>
      <c r="F35" s="1"/>
      <c r="G35" s="1"/>
      <c r="H35" s="1"/>
      <c r="I35" s="1"/>
    </row>
    <row r="36" spans="1:9" x14ac:dyDescent="0.3">
      <c r="A36" s="81"/>
      <c r="B36" s="5" t="s">
        <v>67</v>
      </c>
      <c r="C36" s="7">
        <f>C34-C35</f>
        <v>-191</v>
      </c>
      <c r="D36" s="7">
        <f>D34-D35</f>
        <v>-9</v>
      </c>
      <c r="E36" s="7">
        <f>E34-E35</f>
        <v>-867</v>
      </c>
      <c r="F36" s="1"/>
      <c r="G36" s="1"/>
      <c r="H36" s="1"/>
      <c r="I36" s="1"/>
    </row>
    <row r="37" spans="1:9" x14ac:dyDescent="0.3">
      <c r="A37" s="81" t="s">
        <v>70</v>
      </c>
      <c r="B37" s="1" t="s">
        <v>60</v>
      </c>
      <c r="C37" s="1">
        <f>C34</f>
        <v>1800</v>
      </c>
      <c r="D37" s="1">
        <f>C37</f>
        <v>1800</v>
      </c>
      <c r="E37" s="1">
        <f>E31</f>
        <v>1800</v>
      </c>
      <c r="F37" s="1"/>
      <c r="G37" s="1"/>
      <c r="H37" s="1"/>
      <c r="I37" s="1"/>
    </row>
    <row r="38" spans="1:9" x14ac:dyDescent="0.3">
      <c r="A38" s="81"/>
      <c r="B38" s="1" t="s">
        <v>61</v>
      </c>
      <c r="C38" s="1">
        <f>SUM(ActualExpe_MAy!Z3:Z11)</f>
        <v>2733</v>
      </c>
      <c r="D38" s="1">
        <f>SUM(ActualExpe_Jun!W3:W12)</f>
        <v>2319</v>
      </c>
      <c r="E38" s="1">
        <f>SUM(ActualExpe_July!U3:U12)</f>
        <v>1717</v>
      </c>
      <c r="F38" s="1"/>
      <c r="G38" s="1"/>
      <c r="H38" s="1"/>
      <c r="I38" s="1"/>
    </row>
    <row r="39" spans="1:9" x14ac:dyDescent="0.3">
      <c r="A39" s="81"/>
      <c r="B39" s="5" t="s">
        <v>67</v>
      </c>
      <c r="C39" s="7">
        <f>C37-C38</f>
        <v>-933</v>
      </c>
      <c r="D39" s="7">
        <f>D37-D38</f>
        <v>-519</v>
      </c>
      <c r="E39" s="7">
        <f>E37-E38</f>
        <v>83</v>
      </c>
      <c r="F39" s="1"/>
      <c r="G39" s="1"/>
      <c r="H39" s="1"/>
      <c r="I39" s="1"/>
    </row>
    <row r="40" spans="1:9" x14ac:dyDescent="0.3">
      <c r="A40" s="81" t="s">
        <v>71</v>
      </c>
      <c r="B40" s="1" t="s">
        <v>60</v>
      </c>
      <c r="C40" s="1">
        <f>C34</f>
        <v>1800</v>
      </c>
      <c r="D40" s="1">
        <f>C40</f>
        <v>1800</v>
      </c>
      <c r="E40" s="1">
        <v>1500</v>
      </c>
      <c r="F40" s="1"/>
      <c r="G40" s="1"/>
      <c r="H40" s="1"/>
      <c r="I40" s="1"/>
    </row>
    <row r="41" spans="1:9" x14ac:dyDescent="0.3">
      <c r="A41" s="81"/>
      <c r="B41" s="1" t="s">
        <v>61</v>
      </c>
      <c r="C41" s="1">
        <f>SUM(ActualExpe_MAy!AH3:AH11)</f>
        <v>1010</v>
      </c>
      <c r="D41" s="1">
        <f>SUM(ActualExpe_Jun!AE3:AE12)</f>
        <v>1988</v>
      </c>
      <c r="E41" s="1">
        <v>0</v>
      </c>
      <c r="F41" s="1"/>
      <c r="G41" s="1"/>
      <c r="H41" s="1"/>
      <c r="I41" s="1"/>
    </row>
    <row r="42" spans="1:9" x14ac:dyDescent="0.3">
      <c r="A42" s="81"/>
      <c r="B42" s="5" t="s">
        <v>67</v>
      </c>
      <c r="C42" s="7">
        <f>C40-C41</f>
        <v>790</v>
      </c>
      <c r="D42" s="7">
        <f>D40-D41</f>
        <v>-188</v>
      </c>
      <c r="E42" s="7">
        <f>E40-E41</f>
        <v>1500</v>
      </c>
      <c r="F42" s="1"/>
      <c r="G42" s="1"/>
      <c r="H42" s="1"/>
      <c r="I42" s="1"/>
    </row>
    <row r="43" spans="1:9" x14ac:dyDescent="0.3">
      <c r="A43" s="81" t="s">
        <v>72</v>
      </c>
      <c r="B43" s="1" t="s">
        <v>60</v>
      </c>
      <c r="C43" s="1">
        <f>C34</f>
        <v>1800</v>
      </c>
      <c r="D43" s="1">
        <f>C43</f>
        <v>1800</v>
      </c>
      <c r="E43" s="1">
        <f>E31</f>
        <v>1800</v>
      </c>
      <c r="F43" s="1"/>
      <c r="G43" s="1"/>
      <c r="H43" s="1"/>
      <c r="I43" s="1"/>
    </row>
    <row r="44" spans="1:9" x14ac:dyDescent="0.3">
      <c r="A44" s="81"/>
      <c r="B44" s="1" t="s">
        <v>61</v>
      </c>
      <c r="C44" s="1">
        <f>SUM(ActualExpe_MAy!AK3:AK11)</f>
        <v>535</v>
      </c>
      <c r="D44" s="1">
        <f>SUM(ActualExpe_Jun!AJ3:AJ12)</f>
        <v>1101</v>
      </c>
      <c r="E44" s="1">
        <f>SUM(ActualExpe_July!AK3:AK12)</f>
        <v>0</v>
      </c>
      <c r="F44" s="1"/>
      <c r="G44" s="1"/>
      <c r="H44" s="1"/>
      <c r="I44" s="1"/>
    </row>
    <row r="45" spans="1:9" x14ac:dyDescent="0.3">
      <c r="A45" s="81"/>
      <c r="B45" s="5" t="s">
        <v>67</v>
      </c>
      <c r="C45" s="7">
        <f>C43-C44</f>
        <v>1265</v>
      </c>
      <c r="D45" s="7">
        <f>D43-D44</f>
        <v>699</v>
      </c>
      <c r="E45" s="7">
        <f>E43-E44</f>
        <v>1800</v>
      </c>
      <c r="F45" s="1"/>
      <c r="G45" s="1"/>
      <c r="H45" s="1"/>
      <c r="I45" s="1"/>
    </row>
  </sheetData>
  <mergeCells count="10">
    <mergeCell ref="A5:A7"/>
    <mergeCell ref="A9:A15"/>
    <mergeCell ref="A37:A39"/>
    <mergeCell ref="A40:A42"/>
    <mergeCell ref="A43:A45"/>
    <mergeCell ref="A17:A19"/>
    <mergeCell ref="A26:A30"/>
    <mergeCell ref="A31:A33"/>
    <mergeCell ref="A34:A36"/>
    <mergeCell ref="A20:A2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EFD7-5761-4B5A-8180-D74A247F90E7}">
  <dimension ref="A1:AL28"/>
  <sheetViews>
    <sheetView topLeftCell="A6" zoomScale="83" zoomScaleNormal="100" workbookViewId="0">
      <pane xSplit="1" topLeftCell="O1" activePane="topRight" state="frozen"/>
      <selection activeCell="A5" sqref="A5"/>
      <selection pane="topRight" activeCell="W17" sqref="W17"/>
    </sheetView>
  </sheetViews>
  <sheetFormatPr defaultRowHeight="14" x14ac:dyDescent="0.3"/>
  <cols>
    <col min="1" max="1" width="19.25" customWidth="1"/>
  </cols>
  <sheetData>
    <row r="1" spans="1:38" x14ac:dyDescent="0.3">
      <c r="A1" s="83" t="s">
        <v>35</v>
      </c>
      <c r="B1" s="10">
        <v>44743</v>
      </c>
      <c r="C1" s="10">
        <v>44744</v>
      </c>
      <c r="D1" s="10">
        <v>44745</v>
      </c>
      <c r="E1" s="16" t="s">
        <v>62</v>
      </c>
      <c r="F1" s="10">
        <v>44746</v>
      </c>
      <c r="G1" s="10">
        <v>44747</v>
      </c>
      <c r="H1" s="10">
        <v>44748</v>
      </c>
      <c r="I1" s="10">
        <v>44749</v>
      </c>
      <c r="J1" s="10">
        <v>44750</v>
      </c>
      <c r="K1" s="10">
        <v>44751</v>
      </c>
      <c r="L1" s="10">
        <v>44752</v>
      </c>
      <c r="M1" s="16" t="s">
        <v>63</v>
      </c>
      <c r="N1" s="10">
        <v>44753</v>
      </c>
      <c r="O1" s="10">
        <v>44754</v>
      </c>
      <c r="P1" s="10">
        <v>44755</v>
      </c>
      <c r="Q1" s="10">
        <v>44756</v>
      </c>
      <c r="R1" s="10">
        <v>44757</v>
      </c>
      <c r="S1" s="10">
        <v>44758</v>
      </c>
      <c r="T1" s="10">
        <v>44759</v>
      </c>
      <c r="U1" s="16" t="s">
        <v>64</v>
      </c>
      <c r="V1" s="10">
        <v>44760</v>
      </c>
      <c r="W1" s="10">
        <v>44761</v>
      </c>
      <c r="X1" s="10">
        <v>44762</v>
      </c>
      <c r="Y1" s="10">
        <v>44763</v>
      </c>
      <c r="Z1" s="10">
        <v>44764</v>
      </c>
      <c r="AA1" s="10">
        <v>44765</v>
      </c>
      <c r="AB1" s="10">
        <v>44766</v>
      </c>
      <c r="AC1" s="16" t="s">
        <v>65</v>
      </c>
      <c r="AD1" s="10">
        <v>44767</v>
      </c>
      <c r="AE1" s="10">
        <v>44768</v>
      </c>
      <c r="AF1" s="10">
        <v>44769</v>
      </c>
      <c r="AG1" s="10">
        <v>44770</v>
      </c>
      <c r="AH1" s="10">
        <v>44771</v>
      </c>
      <c r="AI1" s="10">
        <v>44772</v>
      </c>
      <c r="AJ1" s="10">
        <v>44773</v>
      </c>
      <c r="AK1" s="16" t="s">
        <v>66</v>
      </c>
      <c r="AL1" s="7"/>
    </row>
    <row r="2" spans="1:38" x14ac:dyDescent="0.3">
      <c r="A2" s="83"/>
      <c r="B2" s="10" t="s">
        <v>29</v>
      </c>
      <c r="C2" s="10" t="s">
        <v>30</v>
      </c>
      <c r="D2" s="10" t="s">
        <v>24</v>
      </c>
      <c r="E2" s="16"/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24</v>
      </c>
      <c r="M2" s="16"/>
      <c r="N2" s="10" t="s">
        <v>25</v>
      </c>
      <c r="O2" s="10" t="s">
        <v>26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24</v>
      </c>
      <c r="U2" s="16"/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24</v>
      </c>
      <c r="AC2" s="16"/>
      <c r="AD2" s="10" t="s">
        <v>25</v>
      </c>
      <c r="AE2" s="10" t="s">
        <v>26</v>
      </c>
      <c r="AF2" s="10" t="s">
        <v>27</v>
      </c>
      <c r="AG2" s="10" t="s">
        <v>28</v>
      </c>
      <c r="AH2" s="10" t="s">
        <v>29</v>
      </c>
      <c r="AI2" s="10" t="s">
        <v>30</v>
      </c>
      <c r="AJ2" s="10" t="s">
        <v>24</v>
      </c>
      <c r="AK2" s="16"/>
      <c r="AL2" s="7"/>
    </row>
    <row r="3" spans="1:38" ht="15.5" x14ac:dyDescent="0.35">
      <c r="A3" s="12" t="s">
        <v>19</v>
      </c>
      <c r="B3" s="1"/>
      <c r="C3" s="1"/>
      <c r="D3" s="1"/>
      <c r="E3" s="17">
        <f>SUM(B3:D3)</f>
        <v>0</v>
      </c>
      <c r="F3" s="1"/>
      <c r="G3" s="1"/>
      <c r="H3" s="1"/>
      <c r="I3" s="1"/>
      <c r="J3" s="1">
        <v>500</v>
      </c>
      <c r="K3" s="1">
        <v>78</v>
      </c>
      <c r="L3" s="1">
        <v>115</v>
      </c>
      <c r="M3" s="17">
        <f>SUM(F3:L3)</f>
        <v>693</v>
      </c>
      <c r="N3" s="1"/>
      <c r="O3" s="1"/>
      <c r="P3" s="1"/>
      <c r="Q3" s="1"/>
      <c r="R3" s="1"/>
      <c r="S3" s="1"/>
      <c r="T3" s="1"/>
      <c r="U3" s="17">
        <f>SUM(N3:T3)</f>
        <v>0</v>
      </c>
      <c r="V3" s="1"/>
      <c r="W3" s="1"/>
      <c r="X3" s="1"/>
      <c r="Y3" s="1"/>
      <c r="Z3" s="1"/>
      <c r="AA3" s="1"/>
      <c r="AB3" s="1"/>
      <c r="AC3" s="17">
        <f>SUM(V3:AB3)</f>
        <v>0</v>
      </c>
      <c r="AD3" s="1"/>
      <c r="AE3" s="1"/>
      <c r="AF3" s="1"/>
      <c r="AG3" s="1"/>
      <c r="AH3" s="1"/>
      <c r="AI3" s="1"/>
      <c r="AJ3" s="1"/>
      <c r="AK3" s="17">
        <f>SUM(AD3:AJ3)</f>
        <v>0</v>
      </c>
      <c r="AL3" s="7">
        <f t="shared" ref="AL3:AL20" si="0">E3+M3+U3+AC3+AK3</f>
        <v>693</v>
      </c>
    </row>
    <row r="4" spans="1:38" ht="15.5" x14ac:dyDescent="0.35">
      <c r="A4" s="12" t="s">
        <v>20</v>
      </c>
      <c r="B4" s="1">
        <v>20</v>
      </c>
      <c r="C4" s="1"/>
      <c r="D4" s="1"/>
      <c r="E4" s="17">
        <f t="shared" ref="E4:E20" si="1">SUM(B4:D4)</f>
        <v>20</v>
      </c>
      <c r="F4" s="1"/>
      <c r="G4" s="1"/>
      <c r="H4" s="1"/>
      <c r="I4" s="1"/>
      <c r="J4" s="1"/>
      <c r="K4" s="1"/>
      <c r="L4" s="1"/>
      <c r="M4" s="17">
        <f t="shared" ref="M4:M20" si="2">SUM(F4:L4)</f>
        <v>0</v>
      </c>
      <c r="N4" s="1"/>
      <c r="O4" s="1"/>
      <c r="P4" s="1"/>
      <c r="Q4" s="1"/>
      <c r="R4" s="1"/>
      <c r="S4" s="1"/>
      <c r="T4" s="1"/>
      <c r="U4" s="17">
        <f t="shared" ref="U4:U20" si="3">SUM(N4:T4)</f>
        <v>0</v>
      </c>
      <c r="V4" s="1"/>
      <c r="W4" s="1"/>
      <c r="X4" s="1"/>
      <c r="Y4" s="1"/>
      <c r="Z4" s="1"/>
      <c r="AA4" s="1"/>
      <c r="AB4" s="1"/>
      <c r="AC4" s="17">
        <f t="shared" ref="AC4:AC20" si="4">SUM(V4:AB4)</f>
        <v>0</v>
      </c>
      <c r="AD4" s="1"/>
      <c r="AE4" s="1"/>
      <c r="AF4" s="1"/>
      <c r="AG4" s="1"/>
      <c r="AH4" s="1"/>
      <c r="AI4" s="1"/>
      <c r="AJ4" s="1"/>
      <c r="AK4" s="17">
        <f t="shared" ref="AK4:AK20" si="5">SUM(AD4:AJ4)</f>
        <v>0</v>
      </c>
      <c r="AL4" s="7">
        <f t="shared" si="0"/>
        <v>20</v>
      </c>
    </row>
    <row r="5" spans="1:38" ht="15.5" x14ac:dyDescent="0.35">
      <c r="A5" s="12" t="s">
        <v>21</v>
      </c>
      <c r="B5" s="1"/>
      <c r="C5" s="1"/>
      <c r="D5" s="1"/>
      <c r="E5" s="17">
        <f t="shared" si="1"/>
        <v>0</v>
      </c>
      <c r="F5" s="1"/>
      <c r="G5" s="1"/>
      <c r="H5" s="1"/>
      <c r="I5" s="1"/>
      <c r="J5" s="1"/>
      <c r="K5" s="1"/>
      <c r="L5" s="1"/>
      <c r="M5" s="17">
        <f t="shared" si="2"/>
        <v>0</v>
      </c>
      <c r="N5" s="1"/>
      <c r="O5" s="1"/>
      <c r="P5" s="1"/>
      <c r="Q5" s="1"/>
      <c r="R5" s="1"/>
      <c r="S5" s="1"/>
      <c r="T5" s="1"/>
      <c r="U5" s="17">
        <f t="shared" si="3"/>
        <v>0</v>
      </c>
      <c r="V5" s="1"/>
      <c r="W5" s="1"/>
      <c r="X5" s="1"/>
      <c r="Y5" s="1"/>
      <c r="Z5" s="1"/>
      <c r="AA5" s="1"/>
      <c r="AB5" s="1"/>
      <c r="AC5" s="17">
        <f t="shared" si="4"/>
        <v>0</v>
      </c>
      <c r="AD5" s="1"/>
      <c r="AE5" s="1"/>
      <c r="AF5" s="1"/>
      <c r="AG5" s="1"/>
      <c r="AH5" s="1"/>
      <c r="AI5" s="1"/>
      <c r="AJ5" s="1"/>
      <c r="AK5" s="17">
        <f t="shared" si="5"/>
        <v>0</v>
      </c>
      <c r="AL5" s="7">
        <f t="shared" si="0"/>
        <v>0</v>
      </c>
    </row>
    <row r="6" spans="1:38" ht="15.5" x14ac:dyDescent="0.35">
      <c r="A6" s="12" t="s">
        <v>22</v>
      </c>
      <c r="B6" s="1"/>
      <c r="C6" s="1">
        <v>170</v>
      </c>
      <c r="D6" s="1">
        <v>55</v>
      </c>
      <c r="E6" s="17">
        <f t="shared" si="1"/>
        <v>225</v>
      </c>
      <c r="F6" s="1">
        <v>55</v>
      </c>
      <c r="G6" s="1">
        <v>90</v>
      </c>
      <c r="H6" s="1">
        <v>25</v>
      </c>
      <c r="I6" s="1">
        <v>25</v>
      </c>
      <c r="J6" s="1"/>
      <c r="K6" s="1"/>
      <c r="L6" s="1"/>
      <c r="M6" s="17">
        <f t="shared" si="2"/>
        <v>195</v>
      </c>
      <c r="N6" s="1">
        <v>25</v>
      </c>
      <c r="O6" s="1"/>
      <c r="P6" s="1"/>
      <c r="Q6" s="1">
        <v>20</v>
      </c>
      <c r="R6" s="1"/>
      <c r="S6" s="1">
        <v>45</v>
      </c>
      <c r="T6" s="1">
        <v>60</v>
      </c>
      <c r="U6" s="17">
        <f t="shared" si="3"/>
        <v>150</v>
      </c>
      <c r="V6" s="1">
        <v>50</v>
      </c>
      <c r="W6" s="1"/>
      <c r="X6" s="1"/>
      <c r="Y6" s="1">
        <v>50</v>
      </c>
      <c r="Z6" s="1"/>
      <c r="AA6" s="1"/>
      <c r="AB6" s="1"/>
      <c r="AC6" s="17">
        <f t="shared" si="4"/>
        <v>100</v>
      </c>
      <c r="AD6" s="1"/>
      <c r="AE6" s="1"/>
      <c r="AF6" s="1"/>
      <c r="AG6" s="1"/>
      <c r="AH6" s="1"/>
      <c r="AI6" s="1"/>
      <c r="AJ6" s="1"/>
      <c r="AK6" s="17">
        <f t="shared" si="5"/>
        <v>0</v>
      </c>
      <c r="AL6" s="7">
        <f t="shared" si="0"/>
        <v>670</v>
      </c>
    </row>
    <row r="7" spans="1:38" ht="15.5" x14ac:dyDescent="0.35">
      <c r="A7" s="12" t="s">
        <v>23</v>
      </c>
      <c r="B7" s="1"/>
      <c r="C7" s="1"/>
      <c r="D7" s="1"/>
      <c r="E7" s="17">
        <f t="shared" si="1"/>
        <v>0</v>
      </c>
      <c r="F7" s="1"/>
      <c r="G7" s="1"/>
      <c r="H7" s="1"/>
      <c r="I7" s="1"/>
      <c r="J7" s="1"/>
      <c r="K7" s="1"/>
      <c r="M7" s="17">
        <f t="shared" si="2"/>
        <v>0</v>
      </c>
      <c r="N7" s="1"/>
      <c r="P7" s="1"/>
      <c r="Q7" s="1">
        <v>40</v>
      </c>
      <c r="R7" s="1"/>
      <c r="S7" s="1"/>
      <c r="T7" s="1"/>
      <c r="U7" s="17">
        <f t="shared" si="3"/>
        <v>40</v>
      </c>
      <c r="V7" s="1"/>
      <c r="W7" s="1"/>
      <c r="X7" s="1"/>
      <c r="Y7" s="1"/>
      <c r="Z7" s="1"/>
      <c r="AA7" s="1"/>
      <c r="AB7" s="1"/>
      <c r="AC7" s="17">
        <f t="shared" si="4"/>
        <v>0</v>
      </c>
      <c r="AD7" s="1"/>
      <c r="AE7" s="1"/>
      <c r="AF7" s="1"/>
      <c r="AG7" s="1"/>
      <c r="AH7" s="1"/>
      <c r="AI7" s="1"/>
      <c r="AJ7" s="1"/>
      <c r="AK7" s="17">
        <f t="shared" si="5"/>
        <v>0</v>
      </c>
      <c r="AL7" s="7">
        <f t="shared" si="0"/>
        <v>40</v>
      </c>
    </row>
    <row r="8" spans="1:38" ht="15.5" x14ac:dyDescent="0.35">
      <c r="A8" s="12" t="s">
        <v>31</v>
      </c>
      <c r="B8" s="1"/>
      <c r="C8" s="1"/>
      <c r="D8" s="1"/>
      <c r="E8" s="17">
        <f t="shared" si="1"/>
        <v>0</v>
      </c>
      <c r="F8" s="1"/>
      <c r="G8" s="1"/>
      <c r="H8" s="1"/>
      <c r="I8" s="1"/>
      <c r="J8" s="1"/>
      <c r="K8" s="1"/>
      <c r="L8" s="1"/>
      <c r="M8" s="17">
        <f t="shared" si="2"/>
        <v>0</v>
      </c>
      <c r="N8" s="1"/>
      <c r="O8" s="1"/>
      <c r="P8" s="1"/>
      <c r="R8" s="1"/>
      <c r="S8" s="1"/>
      <c r="T8" s="1"/>
      <c r="U8" s="17">
        <f t="shared" si="3"/>
        <v>0</v>
      </c>
      <c r="V8" s="1"/>
      <c r="W8" s="1"/>
      <c r="X8" s="1"/>
      <c r="Y8" s="1"/>
      <c r="Z8" s="1"/>
      <c r="AA8" s="1"/>
      <c r="AB8" s="1"/>
      <c r="AC8" s="17">
        <f t="shared" si="4"/>
        <v>0</v>
      </c>
      <c r="AD8" s="1"/>
      <c r="AE8" s="1"/>
      <c r="AF8" s="1"/>
      <c r="AG8" s="1"/>
      <c r="AH8" s="1"/>
      <c r="AI8" s="1"/>
      <c r="AJ8" s="1"/>
      <c r="AK8" s="17">
        <f t="shared" si="5"/>
        <v>0</v>
      </c>
      <c r="AL8" s="7">
        <f t="shared" si="0"/>
        <v>0</v>
      </c>
    </row>
    <row r="9" spans="1:38" ht="15.5" x14ac:dyDescent="0.35">
      <c r="A9" s="12" t="s">
        <v>9</v>
      </c>
      <c r="B9" s="1"/>
      <c r="C9" s="1"/>
      <c r="D9" s="1"/>
      <c r="E9" s="17">
        <f t="shared" si="1"/>
        <v>0</v>
      </c>
      <c r="F9" s="1"/>
      <c r="G9" s="1"/>
      <c r="H9" s="1"/>
      <c r="I9" s="1"/>
      <c r="J9" s="1"/>
      <c r="K9" s="1"/>
      <c r="L9" s="1"/>
      <c r="M9" s="17">
        <f t="shared" si="2"/>
        <v>0</v>
      </c>
      <c r="N9" s="1"/>
      <c r="O9" s="1"/>
      <c r="P9" s="1"/>
      <c r="Q9" s="1"/>
      <c r="R9" s="1"/>
      <c r="S9" s="1"/>
      <c r="U9" s="17">
        <f t="shared" si="3"/>
        <v>0</v>
      </c>
      <c r="V9" s="1"/>
      <c r="W9" s="1"/>
      <c r="X9" s="1"/>
      <c r="Y9" s="1"/>
      <c r="Z9" s="1"/>
      <c r="AA9" s="1"/>
      <c r="AB9" s="1"/>
      <c r="AC9" s="17">
        <f t="shared" si="4"/>
        <v>0</v>
      </c>
      <c r="AD9" s="1"/>
      <c r="AE9" s="1"/>
      <c r="AF9" s="1"/>
      <c r="AG9" s="1"/>
      <c r="AH9" s="1"/>
      <c r="AI9" s="1"/>
      <c r="AJ9" s="1"/>
      <c r="AK9" s="17">
        <f t="shared" si="5"/>
        <v>0</v>
      </c>
      <c r="AL9" s="7">
        <f t="shared" si="0"/>
        <v>0</v>
      </c>
    </row>
    <row r="10" spans="1:38" ht="15.5" x14ac:dyDescent="0.35">
      <c r="A10" s="12" t="s">
        <v>132</v>
      </c>
      <c r="B10" s="1">
        <v>671</v>
      </c>
      <c r="C10" s="1">
        <v>70</v>
      </c>
      <c r="D10" s="1"/>
      <c r="E10" s="17">
        <f t="shared" si="1"/>
        <v>741</v>
      </c>
      <c r="F10" s="1"/>
      <c r="G10" s="1">
        <v>200</v>
      </c>
      <c r="H10" s="1"/>
      <c r="I10" s="1"/>
      <c r="J10" s="1">
        <f>70+262</f>
        <v>332</v>
      </c>
      <c r="K10" s="1">
        <f>236+186</f>
        <v>422</v>
      </c>
      <c r="L10" s="1">
        <f>210+130</f>
        <v>340</v>
      </c>
      <c r="M10" s="17">
        <f t="shared" si="2"/>
        <v>1294</v>
      </c>
      <c r="N10" s="1">
        <v>70</v>
      </c>
      <c r="O10" s="1">
        <v>215</v>
      </c>
      <c r="P10" s="1">
        <f>45+20</f>
        <v>65</v>
      </c>
      <c r="Q10" s="1">
        <v>151</v>
      </c>
      <c r="R10" s="1">
        <v>30</v>
      </c>
      <c r="S10" s="1">
        <v>215</v>
      </c>
      <c r="T10" s="1">
        <f>100+94+40</f>
        <v>234</v>
      </c>
      <c r="U10" s="17">
        <f t="shared" si="3"/>
        <v>980</v>
      </c>
      <c r="V10" s="1"/>
      <c r="W10" s="1"/>
      <c r="X10" s="1">
        <v>211</v>
      </c>
      <c r="Y10" s="1">
        <v>20</v>
      </c>
      <c r="Z10" s="1"/>
      <c r="AA10" s="1"/>
      <c r="AB10" s="1"/>
      <c r="AC10" s="17">
        <f t="shared" si="4"/>
        <v>231</v>
      </c>
      <c r="AD10" s="1"/>
      <c r="AE10" s="1"/>
      <c r="AF10" s="1"/>
      <c r="AG10" s="1"/>
      <c r="AH10" s="1"/>
      <c r="AI10" s="1"/>
      <c r="AJ10" s="1"/>
      <c r="AK10" s="17">
        <f t="shared" si="5"/>
        <v>0</v>
      </c>
      <c r="AL10" s="7">
        <f t="shared" si="0"/>
        <v>3246</v>
      </c>
    </row>
    <row r="11" spans="1:38" ht="15.5" x14ac:dyDescent="0.35">
      <c r="A11" s="12" t="s">
        <v>109</v>
      </c>
      <c r="B11" s="1"/>
      <c r="C11" s="1">
        <v>574</v>
      </c>
      <c r="D11" s="1"/>
      <c r="E11" s="17">
        <f t="shared" si="1"/>
        <v>574</v>
      </c>
      <c r="F11" s="1"/>
      <c r="G11" s="1"/>
      <c r="H11" s="1"/>
      <c r="I11" s="1"/>
      <c r="J11" s="1">
        <v>100</v>
      </c>
      <c r="K11" s="1"/>
      <c r="L11" s="1"/>
      <c r="M11" s="17">
        <f t="shared" si="2"/>
        <v>100</v>
      </c>
      <c r="N11" s="1"/>
      <c r="O11" s="1"/>
      <c r="P11" s="1"/>
      <c r="Q11" s="1">
        <v>10</v>
      </c>
      <c r="R11" s="1">
        <v>148</v>
      </c>
      <c r="S11" s="1"/>
      <c r="T11" s="1"/>
      <c r="U11" s="17">
        <f t="shared" si="3"/>
        <v>158</v>
      </c>
      <c r="V11" s="1">
        <f>186</f>
        <v>186</v>
      </c>
      <c r="W11" s="1"/>
      <c r="X11" s="1"/>
      <c r="Y11" s="1"/>
      <c r="Z11" s="1"/>
      <c r="AA11" s="1"/>
      <c r="AB11" s="1"/>
      <c r="AC11" s="17">
        <f t="shared" si="4"/>
        <v>186</v>
      </c>
      <c r="AD11" s="1"/>
      <c r="AE11" s="1"/>
      <c r="AF11" s="1"/>
      <c r="AG11" s="1"/>
      <c r="AH11" s="1"/>
      <c r="AI11" s="1"/>
      <c r="AJ11" s="1"/>
      <c r="AK11" s="17">
        <f t="shared" si="5"/>
        <v>0</v>
      </c>
      <c r="AL11" s="7">
        <f t="shared" si="0"/>
        <v>1018</v>
      </c>
    </row>
    <row r="12" spans="1:38" ht="15.5" x14ac:dyDescent="0.35">
      <c r="A12" s="12" t="s">
        <v>32</v>
      </c>
      <c r="B12" s="1"/>
      <c r="C12" s="1"/>
      <c r="D12" s="1"/>
      <c r="E12" s="17">
        <f t="shared" si="1"/>
        <v>0</v>
      </c>
      <c r="F12" s="1"/>
      <c r="G12" s="1">
        <v>385</v>
      </c>
      <c r="H12" s="1"/>
      <c r="I12" s="1"/>
      <c r="J12" s="1"/>
      <c r="L12" s="1"/>
      <c r="M12" s="17">
        <f t="shared" si="2"/>
        <v>385</v>
      </c>
      <c r="N12" s="1"/>
      <c r="O12" s="1">
        <v>389</v>
      </c>
      <c r="P12" s="1"/>
      <c r="Q12" s="1"/>
      <c r="R12" s="1"/>
      <c r="S12" s="1"/>
      <c r="T12" s="1"/>
      <c r="U12" s="17">
        <f t="shared" si="3"/>
        <v>389</v>
      </c>
      <c r="V12" s="1">
        <v>316</v>
      </c>
      <c r="W12" s="1">
        <v>54</v>
      </c>
      <c r="X12" s="1"/>
      <c r="Y12" s="1"/>
      <c r="Z12" s="1"/>
      <c r="AA12" s="1"/>
      <c r="AB12" s="1"/>
      <c r="AC12" s="17">
        <f t="shared" si="4"/>
        <v>370</v>
      </c>
      <c r="AD12" s="1"/>
      <c r="AE12" s="1"/>
      <c r="AF12" s="1"/>
      <c r="AG12" s="1"/>
      <c r="AH12" s="1"/>
      <c r="AI12" s="1"/>
      <c r="AJ12" s="1"/>
      <c r="AK12" s="17">
        <f t="shared" si="5"/>
        <v>0</v>
      </c>
      <c r="AL12" s="7">
        <f t="shared" si="0"/>
        <v>1144</v>
      </c>
    </row>
    <row r="13" spans="1:38" ht="15.5" x14ac:dyDescent="0.35">
      <c r="A13" s="36" t="s">
        <v>41</v>
      </c>
      <c r="B13" s="1"/>
      <c r="C13" s="1"/>
      <c r="D13" s="1"/>
      <c r="E13" s="17">
        <f t="shared" si="1"/>
        <v>0</v>
      </c>
      <c r="F13" s="1"/>
      <c r="G13" s="1"/>
      <c r="H13" s="1"/>
      <c r="I13" s="1"/>
      <c r="J13" s="1"/>
      <c r="K13" s="1"/>
      <c r="L13" s="1"/>
      <c r="M13" s="17">
        <f t="shared" si="2"/>
        <v>0</v>
      </c>
      <c r="N13" s="1"/>
      <c r="O13" s="1"/>
      <c r="P13" s="1"/>
      <c r="Q13" s="1"/>
      <c r="R13" s="1"/>
      <c r="S13" s="1"/>
      <c r="T13" s="1"/>
      <c r="U13" s="17">
        <f t="shared" si="3"/>
        <v>0</v>
      </c>
      <c r="V13" s="1"/>
      <c r="W13" s="1"/>
      <c r="X13" s="1"/>
      <c r="Y13" s="1"/>
      <c r="Z13" s="1"/>
      <c r="AA13" s="1"/>
      <c r="AB13" s="1"/>
      <c r="AC13" s="17">
        <f t="shared" si="4"/>
        <v>0</v>
      </c>
      <c r="AD13" s="1"/>
      <c r="AE13" s="1"/>
      <c r="AF13" s="1"/>
      <c r="AG13" s="1"/>
      <c r="AH13" s="1"/>
      <c r="AI13" s="1"/>
      <c r="AJ13" s="1"/>
      <c r="AK13" s="17">
        <f t="shared" si="5"/>
        <v>0</v>
      </c>
      <c r="AL13" s="7">
        <f t="shared" si="0"/>
        <v>0</v>
      </c>
    </row>
    <row r="14" spans="1:38" ht="15.5" x14ac:dyDescent="0.35">
      <c r="A14" s="36" t="s">
        <v>33</v>
      </c>
      <c r="B14" s="1">
        <v>3000</v>
      </c>
      <c r="C14" s="1"/>
      <c r="D14" s="1"/>
      <c r="E14" s="17">
        <f t="shared" si="1"/>
        <v>3000</v>
      </c>
      <c r="F14" s="1"/>
      <c r="G14" s="1"/>
      <c r="H14" s="1"/>
      <c r="I14" s="1"/>
      <c r="J14" s="1"/>
      <c r="K14" s="1"/>
      <c r="L14" s="1"/>
      <c r="M14" s="17">
        <f t="shared" si="2"/>
        <v>0</v>
      </c>
      <c r="N14" s="1"/>
      <c r="O14" s="1"/>
      <c r="P14" s="1"/>
      <c r="Q14" s="1"/>
      <c r="R14" s="1"/>
      <c r="S14" s="1"/>
      <c r="T14" s="1"/>
      <c r="U14" s="17">
        <f t="shared" si="3"/>
        <v>0</v>
      </c>
      <c r="V14" s="1"/>
      <c r="W14" s="1"/>
      <c r="X14" s="1"/>
      <c r="Y14" s="1"/>
      <c r="Z14" s="1"/>
      <c r="AA14" s="1"/>
      <c r="AB14" s="1"/>
      <c r="AC14" s="17">
        <f t="shared" si="4"/>
        <v>0</v>
      </c>
      <c r="AD14" s="1"/>
      <c r="AE14" s="1"/>
      <c r="AF14" s="1"/>
      <c r="AG14" s="1"/>
      <c r="AH14" s="1"/>
      <c r="AI14" s="1"/>
      <c r="AJ14" s="1"/>
      <c r="AK14" s="17">
        <f t="shared" si="5"/>
        <v>0</v>
      </c>
      <c r="AL14" s="7">
        <f t="shared" si="0"/>
        <v>3000</v>
      </c>
    </row>
    <row r="15" spans="1:38" ht="15.5" x14ac:dyDescent="0.35">
      <c r="A15" s="36" t="s">
        <v>34</v>
      </c>
      <c r="B15" s="1"/>
      <c r="C15" s="1"/>
      <c r="D15" s="1"/>
      <c r="E15" s="17">
        <f t="shared" si="1"/>
        <v>0</v>
      </c>
      <c r="F15" s="1"/>
      <c r="G15" s="1"/>
      <c r="H15" s="1"/>
      <c r="I15" s="1"/>
      <c r="J15" s="1"/>
      <c r="K15" s="1"/>
      <c r="L15" s="1"/>
      <c r="M15" s="17">
        <f t="shared" si="2"/>
        <v>0</v>
      </c>
      <c r="N15" s="1"/>
      <c r="O15" s="1"/>
      <c r="P15" s="1"/>
      <c r="Q15" s="1"/>
      <c r="R15" s="1"/>
      <c r="S15" s="1"/>
      <c r="T15" s="1"/>
      <c r="U15" s="17">
        <f t="shared" si="3"/>
        <v>0</v>
      </c>
      <c r="V15" s="1"/>
      <c r="W15" s="1"/>
      <c r="X15" s="1"/>
      <c r="Y15" s="1"/>
      <c r="Z15" s="1"/>
      <c r="AA15" s="1"/>
      <c r="AB15" s="1"/>
      <c r="AC15" s="17">
        <f t="shared" si="4"/>
        <v>0</v>
      </c>
      <c r="AD15" s="1"/>
      <c r="AE15" s="1"/>
      <c r="AF15" s="1"/>
      <c r="AG15" s="1"/>
      <c r="AH15" s="1"/>
      <c r="AI15" s="1"/>
      <c r="AJ15" s="1"/>
      <c r="AK15" s="17">
        <f t="shared" si="5"/>
        <v>0</v>
      </c>
      <c r="AL15" s="7">
        <f t="shared" si="0"/>
        <v>0</v>
      </c>
    </row>
    <row r="16" spans="1:38" ht="15.5" x14ac:dyDescent="0.35">
      <c r="A16" s="12" t="s">
        <v>36</v>
      </c>
      <c r="B16" s="1"/>
      <c r="C16" s="1"/>
      <c r="D16" s="1"/>
      <c r="E16" s="17">
        <f t="shared" si="1"/>
        <v>0</v>
      </c>
      <c r="F16" s="1"/>
      <c r="G16" s="1"/>
      <c r="H16" s="1"/>
      <c r="I16" s="1"/>
      <c r="J16" s="1"/>
      <c r="K16" s="1"/>
      <c r="L16" s="1"/>
      <c r="M16" s="17">
        <f t="shared" si="2"/>
        <v>0</v>
      </c>
      <c r="N16" s="1"/>
      <c r="O16" s="1"/>
      <c r="P16" s="1"/>
      <c r="Q16" s="1"/>
      <c r="R16" s="1"/>
      <c r="S16" s="1"/>
      <c r="T16" s="1"/>
      <c r="U16" s="17">
        <f t="shared" si="3"/>
        <v>0</v>
      </c>
      <c r="V16" s="1"/>
      <c r="W16" s="1"/>
      <c r="X16" s="1"/>
      <c r="Y16" s="1"/>
      <c r="Z16" s="1"/>
      <c r="AA16" s="1"/>
      <c r="AB16" s="1"/>
      <c r="AC16" s="17">
        <f t="shared" si="4"/>
        <v>0</v>
      </c>
      <c r="AD16" s="1"/>
      <c r="AE16" s="1"/>
      <c r="AF16" s="1"/>
      <c r="AG16" s="1"/>
      <c r="AH16" s="1"/>
      <c r="AI16" s="1"/>
      <c r="AJ16" s="1"/>
      <c r="AK16" s="17">
        <f t="shared" si="5"/>
        <v>0</v>
      </c>
      <c r="AL16" s="7">
        <f t="shared" si="0"/>
        <v>0</v>
      </c>
    </row>
    <row r="17" spans="1:38" ht="15.5" x14ac:dyDescent="0.35">
      <c r="A17" s="12" t="s">
        <v>37</v>
      </c>
      <c r="B17" s="1"/>
      <c r="C17" s="1"/>
      <c r="D17" s="1"/>
      <c r="E17" s="17">
        <f t="shared" si="1"/>
        <v>0</v>
      </c>
      <c r="F17" s="1">
        <v>100</v>
      </c>
      <c r="G17" s="1"/>
      <c r="H17" s="1"/>
      <c r="I17" s="1"/>
      <c r="J17" s="1"/>
      <c r="K17" s="1"/>
      <c r="L17" s="1"/>
      <c r="M17" s="17">
        <f t="shared" si="2"/>
        <v>100</v>
      </c>
      <c r="N17" s="1"/>
      <c r="O17" s="1"/>
      <c r="P17" s="1"/>
      <c r="Q17" s="1"/>
      <c r="R17" s="1">
        <v>2573</v>
      </c>
      <c r="S17" s="1"/>
      <c r="T17" s="1"/>
      <c r="U17" s="17">
        <f t="shared" si="3"/>
        <v>2573</v>
      </c>
      <c r="V17" s="1"/>
      <c r="W17" s="1">
        <v>1478</v>
      </c>
      <c r="X17" s="1"/>
      <c r="Y17" s="1"/>
      <c r="Z17" s="1"/>
      <c r="AA17" s="1"/>
      <c r="AB17" s="1"/>
      <c r="AC17" s="17">
        <f t="shared" si="4"/>
        <v>1478</v>
      </c>
      <c r="AD17" s="1"/>
      <c r="AE17" s="1"/>
      <c r="AF17" s="1"/>
      <c r="AG17" s="1"/>
      <c r="AH17" s="1"/>
      <c r="AI17" s="1"/>
      <c r="AJ17" s="1"/>
      <c r="AK17" s="17">
        <f t="shared" si="5"/>
        <v>0</v>
      </c>
      <c r="AL17" s="7">
        <f t="shared" si="0"/>
        <v>4151</v>
      </c>
    </row>
    <row r="18" spans="1:38" ht="31" x14ac:dyDescent="0.35">
      <c r="A18" s="13" t="s">
        <v>38</v>
      </c>
      <c r="B18" s="1"/>
      <c r="C18" s="1"/>
      <c r="D18" s="1"/>
      <c r="E18" s="17">
        <f t="shared" si="1"/>
        <v>0</v>
      </c>
      <c r="F18" s="1"/>
      <c r="G18" s="1"/>
      <c r="H18" s="1"/>
      <c r="I18" s="1"/>
      <c r="J18" s="1"/>
      <c r="K18" s="1">
        <v>499</v>
      </c>
      <c r="L18" s="1"/>
      <c r="M18" s="17">
        <f t="shared" si="2"/>
        <v>499</v>
      </c>
      <c r="N18" s="1"/>
      <c r="O18" s="1">
        <v>349</v>
      </c>
      <c r="P18" s="1"/>
      <c r="Q18" s="1"/>
      <c r="R18" s="1"/>
      <c r="S18" s="1"/>
      <c r="T18" s="1"/>
      <c r="U18" s="17">
        <f t="shared" si="3"/>
        <v>349</v>
      </c>
      <c r="V18" s="1"/>
      <c r="W18" s="1"/>
      <c r="X18" s="1"/>
      <c r="Y18" s="1"/>
      <c r="Z18" s="1"/>
      <c r="AA18" s="1"/>
      <c r="AB18" s="1"/>
      <c r="AC18" s="17">
        <f t="shared" si="4"/>
        <v>0</v>
      </c>
      <c r="AD18" s="1"/>
      <c r="AE18" s="1"/>
      <c r="AF18" s="1"/>
      <c r="AG18" s="1"/>
      <c r="AH18" s="1"/>
      <c r="AI18" s="1"/>
      <c r="AJ18" s="1"/>
      <c r="AK18" s="17">
        <f t="shared" si="5"/>
        <v>0</v>
      </c>
      <c r="AL18" s="7">
        <f t="shared" si="0"/>
        <v>848</v>
      </c>
    </row>
    <row r="19" spans="1:38" ht="15.5" x14ac:dyDescent="0.35">
      <c r="A19" s="13" t="s">
        <v>39</v>
      </c>
      <c r="B19" s="1"/>
      <c r="C19" s="1"/>
      <c r="D19" s="1"/>
      <c r="E19" s="17">
        <f t="shared" si="1"/>
        <v>0</v>
      </c>
      <c r="F19" s="1"/>
      <c r="G19" s="1">
        <v>833</v>
      </c>
      <c r="H19" s="1"/>
      <c r="I19" s="1"/>
      <c r="J19" s="1"/>
      <c r="K19" s="9"/>
      <c r="L19" s="9">
        <v>1038</v>
      </c>
      <c r="M19" s="17">
        <f t="shared" si="2"/>
        <v>1871</v>
      </c>
      <c r="N19" s="9"/>
      <c r="O19" s="9"/>
      <c r="P19" s="9">
        <f>70+150</f>
        <v>220</v>
      </c>
      <c r="Q19" s="9"/>
      <c r="R19" s="9"/>
      <c r="S19" s="9"/>
      <c r="T19" s="9"/>
      <c r="U19" s="17">
        <f t="shared" si="3"/>
        <v>220</v>
      </c>
      <c r="V19" s="9"/>
      <c r="W19" s="9"/>
      <c r="X19" s="9"/>
      <c r="Y19" s="9"/>
      <c r="Z19" s="9"/>
      <c r="AA19" s="9"/>
      <c r="AB19" s="9"/>
      <c r="AC19" s="17">
        <f t="shared" si="4"/>
        <v>0</v>
      </c>
      <c r="AD19" s="9"/>
      <c r="AE19" s="9"/>
      <c r="AF19" s="9"/>
      <c r="AG19" s="9"/>
      <c r="AH19" s="9"/>
      <c r="AI19" s="9"/>
      <c r="AJ19" s="9"/>
      <c r="AK19" s="17">
        <f t="shared" si="5"/>
        <v>0</v>
      </c>
      <c r="AL19" s="7">
        <f t="shared" si="0"/>
        <v>2091</v>
      </c>
    </row>
    <row r="20" spans="1:38" ht="15.5" x14ac:dyDescent="0.35">
      <c r="A20" s="13" t="s">
        <v>40</v>
      </c>
      <c r="B20" s="1">
        <v>-1648</v>
      </c>
      <c r="C20" s="1"/>
      <c r="D20" s="1"/>
      <c r="E20" s="17">
        <f t="shared" si="1"/>
        <v>-1648</v>
      </c>
      <c r="F20" s="1">
        <v>-45</v>
      </c>
      <c r="G20" s="1">
        <v>-2000</v>
      </c>
      <c r="H20" s="1"/>
      <c r="I20" s="1"/>
      <c r="J20" s="1"/>
      <c r="K20" s="9"/>
      <c r="L20" s="9"/>
      <c r="M20" s="17">
        <f t="shared" si="2"/>
        <v>-2045</v>
      </c>
      <c r="N20" s="9"/>
      <c r="O20" s="9"/>
      <c r="P20" s="9"/>
      <c r="Q20" s="9"/>
      <c r="R20" s="9"/>
      <c r="S20" s="9"/>
      <c r="T20" s="9"/>
      <c r="U20" s="17">
        <f t="shared" si="3"/>
        <v>0</v>
      </c>
      <c r="V20" s="9"/>
      <c r="W20" s="9"/>
      <c r="X20" s="9"/>
      <c r="Y20" s="9"/>
      <c r="Z20" s="9"/>
      <c r="AA20" s="9"/>
      <c r="AB20" s="9"/>
      <c r="AC20" s="17">
        <f t="shared" si="4"/>
        <v>0</v>
      </c>
      <c r="AD20" s="9"/>
      <c r="AE20" s="9"/>
      <c r="AF20" s="9"/>
      <c r="AG20" s="9"/>
      <c r="AH20" s="9"/>
      <c r="AI20" s="9"/>
      <c r="AJ20" s="9"/>
      <c r="AK20" s="17">
        <f t="shared" si="5"/>
        <v>0</v>
      </c>
      <c r="AL20" s="7">
        <f t="shared" si="0"/>
        <v>-3693</v>
      </c>
    </row>
    <row r="21" spans="1:38" ht="15.5" x14ac:dyDescent="0.35">
      <c r="A21" s="19" t="s">
        <v>16</v>
      </c>
      <c r="B21">
        <f>SUM(B3:B20)</f>
        <v>2043</v>
      </c>
      <c r="C21">
        <f t="shared" ref="C21:AK21" si="6">SUM(C3:C20)</f>
        <v>814</v>
      </c>
      <c r="D21">
        <f t="shared" si="6"/>
        <v>55</v>
      </c>
      <c r="E21">
        <f>SUM(E3:E20)</f>
        <v>2912</v>
      </c>
      <c r="F21">
        <f t="shared" si="6"/>
        <v>110</v>
      </c>
      <c r="G21">
        <f t="shared" si="6"/>
        <v>-492</v>
      </c>
      <c r="H21">
        <f t="shared" si="6"/>
        <v>25</v>
      </c>
      <c r="I21">
        <f t="shared" si="6"/>
        <v>25</v>
      </c>
      <c r="J21">
        <f t="shared" si="6"/>
        <v>932</v>
      </c>
      <c r="K21">
        <f t="shared" si="6"/>
        <v>999</v>
      </c>
      <c r="L21">
        <f t="shared" si="6"/>
        <v>1493</v>
      </c>
      <c r="M21">
        <f>SUM(M3:M20)</f>
        <v>3092</v>
      </c>
      <c r="N21">
        <f t="shared" si="6"/>
        <v>95</v>
      </c>
      <c r="O21">
        <f t="shared" si="6"/>
        <v>953</v>
      </c>
      <c r="P21">
        <f t="shared" si="6"/>
        <v>285</v>
      </c>
      <c r="Q21">
        <f t="shared" si="6"/>
        <v>221</v>
      </c>
      <c r="R21">
        <f t="shared" si="6"/>
        <v>2751</v>
      </c>
      <c r="S21">
        <f t="shared" si="6"/>
        <v>260</v>
      </c>
      <c r="T21">
        <f t="shared" si="6"/>
        <v>294</v>
      </c>
      <c r="U21">
        <f>SUM(U3:U20)</f>
        <v>4859</v>
      </c>
      <c r="V21">
        <f t="shared" si="6"/>
        <v>552</v>
      </c>
      <c r="W21">
        <f t="shared" si="6"/>
        <v>1532</v>
      </c>
      <c r="X21">
        <f t="shared" si="6"/>
        <v>211</v>
      </c>
      <c r="Y21">
        <f t="shared" si="6"/>
        <v>70</v>
      </c>
      <c r="Z21">
        <f t="shared" si="6"/>
        <v>0</v>
      </c>
      <c r="AA21">
        <f t="shared" si="6"/>
        <v>0</v>
      </c>
      <c r="AB21">
        <f t="shared" si="6"/>
        <v>0</v>
      </c>
      <c r="AC21">
        <f>SUM(AC3:AC20)</f>
        <v>2365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0</v>
      </c>
      <c r="AH21">
        <f t="shared" si="6"/>
        <v>0</v>
      </c>
      <c r="AI21">
        <f t="shared" si="6"/>
        <v>0</v>
      </c>
      <c r="AJ21">
        <f>SUM(AJ3:AJ20)</f>
        <v>0</v>
      </c>
      <c r="AK21">
        <f t="shared" si="6"/>
        <v>0</v>
      </c>
      <c r="AL21" s="14">
        <f>SUM(AL3:AL20)</f>
        <v>13228</v>
      </c>
    </row>
    <row r="28" spans="1:38" x14ac:dyDescent="0.3">
      <c r="Q28">
        <v>4295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B805-6ABE-42F6-B2C6-C505EA626ECB}">
  <dimension ref="A1:R35"/>
  <sheetViews>
    <sheetView topLeftCell="E2" workbookViewId="0">
      <selection activeCell="K9" sqref="K9"/>
    </sheetView>
  </sheetViews>
  <sheetFormatPr defaultRowHeight="14" x14ac:dyDescent="0.3"/>
  <cols>
    <col min="2" max="4" width="18.5" customWidth="1"/>
    <col min="5" max="5" width="13.25" customWidth="1"/>
    <col min="10" max="10" width="13.08203125" customWidth="1"/>
    <col min="14" max="14" width="14" customWidth="1"/>
  </cols>
  <sheetData>
    <row r="1" spans="1:18" x14ac:dyDescent="0.3">
      <c r="A1" t="s">
        <v>90</v>
      </c>
      <c r="H1" t="s">
        <v>91</v>
      </c>
      <c r="N1" t="s">
        <v>99</v>
      </c>
    </row>
    <row r="4" spans="1:18" ht="42" x14ac:dyDescent="0.3">
      <c r="A4" s="1" t="s">
        <v>48</v>
      </c>
      <c r="B4" s="11" t="s">
        <v>110</v>
      </c>
      <c r="C4" s="11" t="s">
        <v>111</v>
      </c>
      <c r="D4" s="11" t="s">
        <v>167</v>
      </c>
      <c r="E4" s="11" t="s">
        <v>107</v>
      </c>
      <c r="H4" s="11" t="s">
        <v>92</v>
      </c>
      <c r="I4" s="11" t="s">
        <v>60</v>
      </c>
      <c r="J4" s="11" t="s">
        <v>98</v>
      </c>
      <c r="K4" s="9" t="s">
        <v>114</v>
      </c>
      <c r="L4" s="9" t="s">
        <v>168</v>
      </c>
      <c r="N4" s="9" t="s">
        <v>57</v>
      </c>
      <c r="O4" s="9" t="s">
        <v>60</v>
      </c>
      <c r="P4" s="11" t="s">
        <v>112</v>
      </c>
      <c r="Q4" s="9" t="s">
        <v>113</v>
      </c>
      <c r="R4" s="9" t="s">
        <v>169</v>
      </c>
    </row>
    <row r="5" spans="1:18" x14ac:dyDescent="0.3">
      <c r="A5" s="1">
        <v>1</v>
      </c>
      <c r="B5" s="1">
        <f>ActualExpe_MAy!B19</f>
        <v>114</v>
      </c>
      <c r="C5" s="1">
        <f>ActualExpe_Jun!B21</f>
        <v>110</v>
      </c>
      <c r="D5" s="1">
        <f>ActualExpe_July!B21</f>
        <v>2043</v>
      </c>
      <c r="E5" s="2">
        <v>1037.6344086021506</v>
      </c>
      <c r="H5" s="11" t="s">
        <v>93</v>
      </c>
      <c r="I5" s="11">
        <v>1800</v>
      </c>
      <c r="J5" s="11">
        <f>Input!C32</f>
        <v>1525.5</v>
      </c>
      <c r="K5" s="1">
        <f>SUM(ActualExpe_Jun!G3:G12)</f>
        <v>1166</v>
      </c>
      <c r="L5" s="1">
        <f>Input!E32</f>
        <v>1560</v>
      </c>
      <c r="N5" s="11" t="s">
        <v>100</v>
      </c>
      <c r="O5" s="29">
        <f>Input!C8</f>
        <v>10166.666666666668</v>
      </c>
      <c r="P5" s="11">
        <f>SUM(ActualExpe_MAy!AL12:AL14)</f>
        <v>9256</v>
      </c>
      <c r="Q5" s="1">
        <f>SUM(ActualExpe_Jun!AK13:AK15)</f>
        <v>11898</v>
      </c>
      <c r="R5" s="1">
        <f>Input!E8</f>
        <v>3441.666666666667</v>
      </c>
    </row>
    <row r="6" spans="1:18" ht="42" x14ac:dyDescent="0.3">
      <c r="A6" s="1">
        <v>2</v>
      </c>
      <c r="B6" s="1">
        <f>ActualExpe_MAy!C19</f>
        <v>134</v>
      </c>
      <c r="C6" s="1">
        <f>ActualExpe_Jun!C21</f>
        <v>1569</v>
      </c>
      <c r="D6" s="1">
        <f>ActualExpe_July!C21</f>
        <v>814</v>
      </c>
      <c r="E6" s="2">
        <v>1037.6344086021506</v>
      </c>
      <c r="H6" s="11" t="s">
        <v>94</v>
      </c>
      <c r="I6" s="11">
        <v>1800</v>
      </c>
      <c r="J6" s="11">
        <f>Input!C35</f>
        <v>1991</v>
      </c>
      <c r="K6" s="1">
        <f>SUM(ActualExpe_Jun!O3:O12)</f>
        <v>1809</v>
      </c>
      <c r="L6" s="1">
        <f>Input!E35</f>
        <v>2667</v>
      </c>
      <c r="N6" s="11" t="s">
        <v>104</v>
      </c>
      <c r="O6">
        <f>1800*5</f>
        <v>9000</v>
      </c>
      <c r="P6" s="29">
        <f>SUM(ActualExpe_MAy!AL3:AL11)</f>
        <v>7794.5</v>
      </c>
      <c r="Q6" s="1">
        <f>SUM(ActualExpe_Jun!AK3:AK12)</f>
        <v>8383</v>
      </c>
      <c r="R6" s="1">
        <f>SUM(ActualExpe_July!AL3:AL12)</f>
        <v>6831</v>
      </c>
    </row>
    <row r="7" spans="1:18" x14ac:dyDescent="0.3">
      <c r="A7" s="1">
        <v>3</v>
      </c>
      <c r="B7" s="1">
        <f>ActualExpe_MAy!D19</f>
        <v>2752</v>
      </c>
      <c r="C7" s="1">
        <f>ActualExpe_Jun!D21</f>
        <v>750</v>
      </c>
      <c r="D7" s="1">
        <f>ActualExpe_July!D21</f>
        <v>55</v>
      </c>
      <c r="E7" s="2">
        <v>1037.6344086021506</v>
      </c>
      <c r="H7" s="11" t="s">
        <v>95</v>
      </c>
      <c r="I7" s="11">
        <v>1800</v>
      </c>
      <c r="J7" s="11">
        <f>Input!C38</f>
        <v>2733</v>
      </c>
      <c r="K7" s="1">
        <f>SUM(ActualExpe_Jun!W3:W12)</f>
        <v>2319</v>
      </c>
      <c r="L7" s="1">
        <f>Input!E38</f>
        <v>1717</v>
      </c>
      <c r="N7" s="11" t="s">
        <v>43</v>
      </c>
      <c r="O7" s="11">
        <f>5000</f>
        <v>5000</v>
      </c>
      <c r="P7" s="11">
        <f>SUM(ActualExpe_MAy!AL17:AL18)</f>
        <v>7031</v>
      </c>
      <c r="Q7" s="1">
        <f>SUM(ActualExpe_Jun!AK19:AK20)</f>
        <v>6351</v>
      </c>
      <c r="R7" s="1">
        <f>SUM(ActualExpe_July!AL19:AL20)</f>
        <v>-1602</v>
      </c>
    </row>
    <row r="8" spans="1:18" x14ac:dyDescent="0.3">
      <c r="A8" s="1">
        <v>4</v>
      </c>
      <c r="B8" s="1">
        <f>ActualExpe_MAy!E19</f>
        <v>644</v>
      </c>
      <c r="C8" s="1">
        <f>ActualExpe_Jun!E21</f>
        <v>3215</v>
      </c>
      <c r="D8" s="1">
        <f>ActualExpe_July!F21</f>
        <v>110</v>
      </c>
      <c r="E8" s="2">
        <v>1037.6344086021506</v>
      </c>
      <c r="F8" t="s">
        <v>108</v>
      </c>
      <c r="H8" s="11" t="s">
        <v>96</v>
      </c>
      <c r="I8" s="11">
        <v>1800</v>
      </c>
      <c r="J8" s="11">
        <f>Input!C41</f>
        <v>1010</v>
      </c>
      <c r="K8" s="1">
        <f>SUM(ActualExpe_Jun!AE3:AE12)</f>
        <v>1988</v>
      </c>
      <c r="L8" s="1">
        <f>Input!E41</f>
        <v>0</v>
      </c>
      <c r="N8" s="11" t="s">
        <v>102</v>
      </c>
      <c r="O8" s="11">
        <v>5000</v>
      </c>
      <c r="P8" s="11">
        <f>ActualExpe_MAy!AL15</f>
        <v>10200</v>
      </c>
      <c r="Q8" s="1">
        <f>ActualExpe_Jun!AK16</f>
        <v>3139</v>
      </c>
      <c r="R8" s="1">
        <f>ActualExpe_July!AL16</f>
        <v>0</v>
      </c>
    </row>
    <row r="9" spans="1:18" x14ac:dyDescent="0.3">
      <c r="A9" s="1">
        <v>5</v>
      </c>
      <c r="B9" s="1">
        <f>ActualExpe_MAy!F19</f>
        <v>4155</v>
      </c>
      <c r="C9" s="1">
        <f>ActualExpe_Jun!F21</f>
        <v>140</v>
      </c>
      <c r="D9" s="1">
        <f>ActualExpe_July!G21</f>
        <v>-492</v>
      </c>
      <c r="E9" s="2">
        <v>1037.6344086021506</v>
      </c>
      <c r="H9" s="11" t="s">
        <v>97</v>
      </c>
      <c r="I9" s="11">
        <v>1800</v>
      </c>
      <c r="J9" s="11">
        <f>Input!C44</f>
        <v>535</v>
      </c>
      <c r="K9" s="1">
        <f>SUM(ActualExpe_Jun!AJ3:AJ12)</f>
        <v>1101</v>
      </c>
      <c r="L9" s="1">
        <f>Input!E44</f>
        <v>0</v>
      </c>
      <c r="N9" s="11" t="s">
        <v>103</v>
      </c>
      <c r="O9" s="11">
        <v>3000</v>
      </c>
      <c r="P9" s="11">
        <f>ActualExpe_MAy!AL16</f>
        <v>3369</v>
      </c>
      <c r="Q9" s="1">
        <f>ActualExpe_Jun!AK17</f>
        <v>3894</v>
      </c>
      <c r="R9" s="1">
        <f>ActualExpe_July!AL16</f>
        <v>0</v>
      </c>
    </row>
    <row r="10" spans="1:18" ht="28" x14ac:dyDescent="0.3">
      <c r="A10" s="1">
        <v>6</v>
      </c>
      <c r="B10" s="1">
        <f>ActualExpe_MAy!G19</f>
        <v>10469</v>
      </c>
      <c r="C10" s="1">
        <f>ActualExpe_Jun!H21</f>
        <v>3995</v>
      </c>
      <c r="D10" s="1">
        <f>ActualExpe_July!H21</f>
        <v>25</v>
      </c>
      <c r="E10" s="2">
        <v>1037.6344086021506</v>
      </c>
      <c r="N10" s="11" t="s">
        <v>101</v>
      </c>
      <c r="O10" s="29">
        <f>Input!C24</f>
        <v>32166.666666666668</v>
      </c>
      <c r="P10" s="11">
        <f>ActualExpe_MAy!AL19</f>
        <v>37650.5</v>
      </c>
      <c r="Q10" s="1">
        <f>SUM(Q5:Q9)</f>
        <v>33665</v>
      </c>
      <c r="R10" s="1">
        <f>ActualExpe_July!AL21</f>
        <v>13228</v>
      </c>
    </row>
    <row r="11" spans="1:18" x14ac:dyDescent="0.3">
      <c r="A11" s="1">
        <v>7</v>
      </c>
      <c r="B11" s="1">
        <f>ActualExpe_MAy!H19</f>
        <v>690.5</v>
      </c>
      <c r="C11" s="1">
        <f>ActualExpe_Jun!I21</f>
        <v>5230</v>
      </c>
      <c r="D11" s="1">
        <f>ActualExpe_July!I21</f>
        <v>25</v>
      </c>
      <c r="E11" s="2">
        <v>1037.6344086021506</v>
      </c>
    </row>
    <row r="12" spans="1:18" x14ac:dyDescent="0.3">
      <c r="A12" s="1">
        <v>8</v>
      </c>
      <c r="B12" s="1">
        <f>ActualExpe_MAy!I19</f>
        <v>10</v>
      </c>
      <c r="C12" s="1">
        <f>ActualExpe_Jun!J21</f>
        <v>544</v>
      </c>
      <c r="D12" s="1">
        <f>ActualExpe_July!J21</f>
        <v>932</v>
      </c>
      <c r="E12" s="2">
        <v>1037.6344086021506</v>
      </c>
      <c r="O12" s="73">
        <f>37567-O10+I14</f>
        <v>12286.833333333332</v>
      </c>
    </row>
    <row r="13" spans="1:18" ht="70" x14ac:dyDescent="0.3">
      <c r="A13" s="1">
        <v>9</v>
      </c>
      <c r="B13" s="1">
        <f>ActualExpe_MAy!K19</f>
        <v>4189</v>
      </c>
      <c r="C13" s="1">
        <f>ActualExpe_Jun!K21</f>
        <v>245</v>
      </c>
      <c r="D13" s="1">
        <f>ActualExpe_July!K21</f>
        <v>999</v>
      </c>
      <c r="E13" s="2">
        <v>1037.6344086021506</v>
      </c>
      <c r="G13" s="1"/>
      <c r="H13" s="72" t="s">
        <v>78</v>
      </c>
      <c r="I13" s="72" t="s">
        <v>79</v>
      </c>
      <c r="O13" s="73">
        <f>37567-O10</f>
        <v>5400.3333333333321</v>
      </c>
    </row>
    <row r="14" spans="1:18" x14ac:dyDescent="0.3">
      <c r="A14" s="1">
        <v>10</v>
      </c>
      <c r="B14" s="1">
        <f>ActualExpe_MAy!L19</f>
        <v>5618</v>
      </c>
      <c r="C14" s="1">
        <f>ActualExpe_Jun!L21</f>
        <v>130</v>
      </c>
      <c r="D14" s="1">
        <f>ActualExpe_July!L21</f>
        <v>1493</v>
      </c>
      <c r="E14" s="2">
        <v>1037.6344086021506</v>
      </c>
      <c r="G14" s="1" t="s">
        <v>49</v>
      </c>
      <c r="H14" s="2">
        <f>Summary!B18</f>
        <v>12370.333333333332</v>
      </c>
      <c r="I14" s="1">
        <f>Summary!B19</f>
        <v>6886.5</v>
      </c>
    </row>
    <row r="15" spans="1:18" x14ac:dyDescent="0.3">
      <c r="A15" s="1">
        <v>11</v>
      </c>
      <c r="B15" s="1">
        <f>ActualExpe_MAy!M19</f>
        <v>330</v>
      </c>
      <c r="C15" s="1">
        <f>ActualExpe_Jun!M21</f>
        <v>243</v>
      </c>
      <c r="D15" s="1">
        <f>ActualExpe_July!N21</f>
        <v>95</v>
      </c>
      <c r="E15" s="2">
        <v>1037.6344086021506</v>
      </c>
      <c r="G15" s="1" t="s">
        <v>80</v>
      </c>
      <c r="H15" s="2">
        <f>Summary!C18</f>
        <v>18118.666666666664</v>
      </c>
      <c r="I15" s="1">
        <f>Summary!C19</f>
        <v>11133</v>
      </c>
    </row>
    <row r="16" spans="1:18" x14ac:dyDescent="0.3">
      <c r="A16" s="1">
        <v>12</v>
      </c>
      <c r="B16" s="1">
        <f>ActualExpe_MAy!N19</f>
        <v>171</v>
      </c>
      <c r="C16" s="1">
        <f>ActualExpe_Jun!N21</f>
        <v>170</v>
      </c>
      <c r="D16" s="1">
        <f>ActualExpe_July!O21</f>
        <v>953</v>
      </c>
      <c r="E16" s="2">
        <v>1037.6344086021506</v>
      </c>
      <c r="G16" s="1" t="s">
        <v>51</v>
      </c>
      <c r="H16" s="2">
        <f>Input!E25</f>
        <v>27257.333333333332</v>
      </c>
      <c r="I16" s="1">
        <f>Summary!D19</f>
        <v>35471</v>
      </c>
    </row>
    <row r="17" spans="1:5" x14ac:dyDescent="0.3">
      <c r="A17" s="1">
        <v>13</v>
      </c>
      <c r="B17" s="1">
        <f>ActualExpe_MAy!O19</f>
        <v>422</v>
      </c>
      <c r="C17" s="1">
        <f>ActualExpe_Jun!P21</f>
        <v>325</v>
      </c>
      <c r="D17" s="1">
        <f>ActualExpe_July!P21</f>
        <v>285</v>
      </c>
      <c r="E17" s="2">
        <v>1037.6344086021506</v>
      </c>
    </row>
    <row r="18" spans="1:5" x14ac:dyDescent="0.3">
      <c r="A18" s="1">
        <v>14</v>
      </c>
      <c r="B18" s="1">
        <f>ActualExpe_MAy!P19</f>
        <v>316</v>
      </c>
      <c r="C18" s="1">
        <f>ActualExpe_Jun!Q21</f>
        <v>967</v>
      </c>
      <c r="D18" s="1">
        <f>ActualExpe_July!Q21</f>
        <v>221</v>
      </c>
      <c r="E18" s="2">
        <v>1037.6344086021506</v>
      </c>
    </row>
    <row r="19" spans="1:5" x14ac:dyDescent="0.3">
      <c r="A19" s="1">
        <v>15</v>
      </c>
      <c r="B19" s="1">
        <f>ActualExpe_MAy!Q19</f>
        <v>474</v>
      </c>
      <c r="C19" s="1">
        <f>ActualExpe_Jun!R21</f>
        <v>230</v>
      </c>
      <c r="D19" s="1">
        <f>ActualExpe_July!R21</f>
        <v>2751</v>
      </c>
      <c r="E19" s="2">
        <v>1037.6344086021506</v>
      </c>
    </row>
    <row r="20" spans="1:5" x14ac:dyDescent="0.3">
      <c r="A20" s="1">
        <v>16</v>
      </c>
      <c r="B20" s="1">
        <f>ActualExpe_MAy!S19</f>
        <v>600</v>
      </c>
      <c r="C20" s="1">
        <f>ActualExpe_Jun!S21</f>
        <v>0</v>
      </c>
      <c r="D20" s="1">
        <f>ActualExpe_July!S21</f>
        <v>260</v>
      </c>
      <c r="E20" s="2">
        <v>1037.6344086021506</v>
      </c>
    </row>
    <row r="21" spans="1:5" x14ac:dyDescent="0.3">
      <c r="A21" s="1">
        <v>17</v>
      </c>
      <c r="B21" s="1">
        <f>ActualExpe_MAy!T19</f>
        <v>0</v>
      </c>
      <c r="C21" s="1">
        <f>ActualExpe_Jun!T21</f>
        <v>0</v>
      </c>
      <c r="D21" s="1">
        <f>ActualExpe_July!T21</f>
        <v>294</v>
      </c>
      <c r="E21" s="2">
        <v>1037.6344086021506</v>
      </c>
    </row>
    <row r="22" spans="1:5" x14ac:dyDescent="0.3">
      <c r="A22" s="1">
        <v>18</v>
      </c>
      <c r="B22" s="1">
        <f>ActualExpe_MAy!U19</f>
        <v>99</v>
      </c>
      <c r="C22" s="1">
        <f>ActualExpe_Jun!U21</f>
        <v>1134</v>
      </c>
      <c r="D22" s="1">
        <f>ActualExpe_July!V21</f>
        <v>552</v>
      </c>
      <c r="E22" s="2">
        <v>1037.6344086021506</v>
      </c>
    </row>
    <row r="23" spans="1:5" x14ac:dyDescent="0.3">
      <c r="A23" s="1">
        <v>19</v>
      </c>
      <c r="B23" s="1">
        <f>ActualExpe_MAy!V19</f>
        <v>1989</v>
      </c>
      <c r="C23" s="1">
        <f>ActualExpe_Jun!V21</f>
        <v>1764</v>
      </c>
      <c r="D23" s="1">
        <f>ActualExpe_July!W21</f>
        <v>1532</v>
      </c>
      <c r="E23" s="2">
        <v>1037.6344086021506</v>
      </c>
    </row>
    <row r="24" spans="1:5" x14ac:dyDescent="0.3">
      <c r="A24" s="1">
        <v>20</v>
      </c>
      <c r="B24" s="1">
        <f>ActualExpe_MAy!W19</f>
        <v>0</v>
      </c>
      <c r="C24" s="1">
        <f>ActualExpe_Jun!X21</f>
        <v>0</v>
      </c>
      <c r="D24" s="1">
        <f>ActualExpe_July!X21</f>
        <v>211</v>
      </c>
      <c r="E24" s="2">
        <v>1037.6344086021506</v>
      </c>
    </row>
    <row r="25" spans="1:5" x14ac:dyDescent="0.3">
      <c r="A25" s="1">
        <v>21</v>
      </c>
      <c r="B25" s="1">
        <f>ActualExpe_MAy!X19</f>
        <v>0</v>
      </c>
      <c r="C25" s="1">
        <f>ActualExpe_Jun!Y21</f>
        <v>2120</v>
      </c>
      <c r="D25" s="1">
        <f>ActualExpe_July!Y21</f>
        <v>70</v>
      </c>
      <c r="E25" s="2">
        <v>1037.6344086021506</v>
      </c>
    </row>
    <row r="26" spans="1:5" x14ac:dyDescent="0.3">
      <c r="A26" s="1">
        <v>22</v>
      </c>
      <c r="B26" s="1">
        <f>ActualExpe_MAy!Y19</f>
        <v>335</v>
      </c>
      <c r="C26" s="1">
        <f>ActualExpe_Jun!Z21</f>
        <v>3985</v>
      </c>
      <c r="D26" s="1">
        <f>ActualExpe_July!Z21</f>
        <v>0</v>
      </c>
      <c r="E26" s="2">
        <v>1037.6344086021506</v>
      </c>
    </row>
    <row r="27" spans="1:5" x14ac:dyDescent="0.3">
      <c r="A27" s="1">
        <v>23</v>
      </c>
      <c r="B27" s="1">
        <f>ActualExpe_MAy!AA19</f>
        <v>130</v>
      </c>
      <c r="C27" s="1">
        <f>ActualExpe_Jun!AA21</f>
        <v>10</v>
      </c>
      <c r="D27" s="1">
        <f>ActualExpe_July!AA21</f>
        <v>0</v>
      </c>
      <c r="E27" s="2">
        <v>1037.6344086021506</v>
      </c>
    </row>
    <row r="28" spans="1:5" x14ac:dyDescent="0.3">
      <c r="A28" s="1">
        <v>24</v>
      </c>
      <c r="B28" s="1">
        <f>ActualExpe_MAy!AB19</f>
        <v>0</v>
      </c>
      <c r="C28" s="1">
        <f>ActualExpe_Jun!AB21</f>
        <v>545</v>
      </c>
      <c r="D28" s="1">
        <f>ActualExpe_July!AB21</f>
        <v>0</v>
      </c>
      <c r="E28" s="2">
        <v>1037.6344086021506</v>
      </c>
    </row>
    <row r="29" spans="1:5" x14ac:dyDescent="0.3">
      <c r="A29" s="1">
        <v>25</v>
      </c>
      <c r="B29" s="1">
        <f>ActualExpe_MAy!AC19</f>
        <v>1759</v>
      </c>
      <c r="C29" s="1">
        <f>ActualExpe_Jun!AC21</f>
        <v>4769</v>
      </c>
      <c r="D29" s="1">
        <f>ActualExpe_July!AD21</f>
        <v>0</v>
      </c>
      <c r="E29" s="2">
        <v>1037.6344086021506</v>
      </c>
    </row>
    <row r="30" spans="1:5" x14ac:dyDescent="0.3">
      <c r="A30" s="1">
        <v>26</v>
      </c>
      <c r="B30" s="1">
        <f>ActualExpe_MAy!AD19</f>
        <v>611</v>
      </c>
      <c r="C30" s="1">
        <f>ActualExpe_Jun!AD21</f>
        <v>374</v>
      </c>
      <c r="D30" s="1">
        <f>ActualExpe_July!AE21</f>
        <v>0</v>
      </c>
      <c r="E30" s="2">
        <v>1037.6344086021506</v>
      </c>
    </row>
    <row r="31" spans="1:5" x14ac:dyDescent="0.3">
      <c r="A31" s="1">
        <v>27</v>
      </c>
      <c r="B31" s="1">
        <f>ActualExpe_MAy!AE19</f>
        <v>3050</v>
      </c>
      <c r="C31" s="1">
        <f>ActualExpe_Jun!AF21</f>
        <v>831</v>
      </c>
      <c r="D31" s="1">
        <f>ActualExpe_July!AF21</f>
        <v>0</v>
      </c>
      <c r="E31" s="2">
        <v>1037.6344086021506</v>
      </c>
    </row>
    <row r="32" spans="1:5" x14ac:dyDescent="0.3">
      <c r="A32" s="1">
        <v>28</v>
      </c>
      <c r="B32" s="1">
        <f>ActualExpe_MAy!AF19</f>
        <v>-2302</v>
      </c>
      <c r="C32" s="1">
        <f>ActualExpe_Jun!AG21</f>
        <v>120</v>
      </c>
      <c r="D32" s="1">
        <f>ActualExpe_July!AG21</f>
        <v>0</v>
      </c>
      <c r="E32" s="2">
        <v>1037.6344086021506</v>
      </c>
    </row>
    <row r="33" spans="1:5" x14ac:dyDescent="0.3">
      <c r="A33" s="1">
        <v>29</v>
      </c>
      <c r="B33" s="1">
        <f>ActualExpe_MAy!AG19</f>
        <v>356</v>
      </c>
      <c r="C33" s="1">
        <f>ActualExpe_Jun!AH21</f>
        <v>100</v>
      </c>
      <c r="D33" s="1">
        <f>ActualExpe_July!AH21</f>
        <v>0</v>
      </c>
      <c r="E33" s="2">
        <v>1037.6344086021506</v>
      </c>
    </row>
    <row r="34" spans="1:5" x14ac:dyDescent="0.3">
      <c r="A34" s="1">
        <v>30</v>
      </c>
      <c r="B34" s="1">
        <f>ActualExpe_MAy!AI19</f>
        <v>65</v>
      </c>
      <c r="C34" s="1">
        <f>ActualExpe_Jun!AI21</f>
        <v>50</v>
      </c>
      <c r="D34" s="1">
        <f>ActualExpe_July!AI21</f>
        <v>0</v>
      </c>
      <c r="E34" s="2">
        <v>1037.6344086021506</v>
      </c>
    </row>
    <row r="35" spans="1:5" x14ac:dyDescent="0.3">
      <c r="A35" s="1">
        <v>31</v>
      </c>
      <c r="B35" s="1">
        <f>ActualExpe_MAy!AJ19</f>
        <v>470</v>
      </c>
      <c r="C35" s="1">
        <v>0</v>
      </c>
      <c r="D35" s="1">
        <f>ActualExpe_July!AJ21</f>
        <v>0</v>
      </c>
      <c r="E35" s="2">
        <v>1037.6344086021506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9F20-B5B9-4DEB-8050-BF44FDB75120}">
  <dimension ref="A1:AK21"/>
  <sheetViews>
    <sheetView zoomScale="83" zoomScaleNormal="100" workbookViewId="0">
      <pane xSplit="1" topLeftCell="S1" activePane="topRight" state="frozen"/>
      <selection activeCell="A5" sqref="A5"/>
      <selection pane="topRight" activeCell="AK21" sqref="AK21"/>
    </sheetView>
  </sheetViews>
  <sheetFormatPr defaultRowHeight="14" x14ac:dyDescent="0.3"/>
  <cols>
    <col min="1" max="1" width="19.25" customWidth="1"/>
  </cols>
  <sheetData>
    <row r="1" spans="1:37" x14ac:dyDescent="0.3">
      <c r="A1" s="83" t="s">
        <v>35</v>
      </c>
      <c r="B1" s="10">
        <v>44713</v>
      </c>
      <c r="C1" s="10">
        <v>44714</v>
      </c>
      <c r="D1" s="10">
        <v>44715</v>
      </c>
      <c r="E1" s="10">
        <v>44716</v>
      </c>
      <c r="F1" s="10">
        <v>44717</v>
      </c>
      <c r="G1" s="16" t="s">
        <v>62</v>
      </c>
      <c r="H1" s="10">
        <v>44718</v>
      </c>
      <c r="I1" s="10">
        <v>44719</v>
      </c>
      <c r="J1" s="10">
        <v>44720</v>
      </c>
      <c r="K1" s="10">
        <v>44721</v>
      </c>
      <c r="L1" s="10">
        <v>44722</v>
      </c>
      <c r="M1" s="10">
        <v>44723</v>
      </c>
      <c r="N1" s="10">
        <v>44724</v>
      </c>
      <c r="O1" s="16" t="s">
        <v>63</v>
      </c>
      <c r="P1" s="10">
        <v>44725</v>
      </c>
      <c r="Q1" s="10">
        <v>44726</v>
      </c>
      <c r="R1" s="10">
        <v>44727</v>
      </c>
      <c r="S1" s="10">
        <v>44728</v>
      </c>
      <c r="T1" s="10">
        <v>44729</v>
      </c>
      <c r="U1" s="10">
        <v>44730</v>
      </c>
      <c r="V1" s="10">
        <v>44731</v>
      </c>
      <c r="W1" s="16" t="s">
        <v>64</v>
      </c>
      <c r="X1" s="10">
        <v>44732</v>
      </c>
      <c r="Y1" s="10">
        <v>44733</v>
      </c>
      <c r="Z1" s="10">
        <v>44734</v>
      </c>
      <c r="AA1" s="10">
        <v>44735</v>
      </c>
      <c r="AB1" s="10">
        <v>44736</v>
      </c>
      <c r="AC1" s="10">
        <v>44737</v>
      </c>
      <c r="AD1" s="10">
        <v>44738</v>
      </c>
      <c r="AE1" s="16" t="s">
        <v>65</v>
      </c>
      <c r="AF1" s="10">
        <v>44739</v>
      </c>
      <c r="AG1" s="10">
        <v>44740</v>
      </c>
      <c r="AH1" s="10">
        <v>44741</v>
      </c>
      <c r="AI1" s="10">
        <v>44742</v>
      </c>
      <c r="AJ1" s="16" t="s">
        <v>66</v>
      </c>
      <c r="AK1" s="7"/>
    </row>
    <row r="2" spans="1:37" x14ac:dyDescent="0.3">
      <c r="A2" s="83"/>
      <c r="B2" s="10" t="s">
        <v>27</v>
      </c>
      <c r="C2" s="10" t="s">
        <v>28</v>
      </c>
      <c r="D2" s="10" t="s">
        <v>29</v>
      </c>
      <c r="E2" s="10" t="s">
        <v>30</v>
      </c>
      <c r="F2" s="10" t="s">
        <v>24</v>
      </c>
      <c r="G2" s="16"/>
      <c r="H2" s="10" t="s">
        <v>25</v>
      </c>
      <c r="I2" s="10" t="s">
        <v>26</v>
      </c>
      <c r="J2" s="10" t="s">
        <v>27</v>
      </c>
      <c r="K2" s="10" t="s">
        <v>28</v>
      </c>
      <c r="L2" s="10" t="s">
        <v>29</v>
      </c>
      <c r="M2" s="10" t="s">
        <v>30</v>
      </c>
      <c r="N2" s="10" t="s">
        <v>24</v>
      </c>
      <c r="O2" s="16"/>
      <c r="P2" s="10" t="s">
        <v>25</v>
      </c>
      <c r="Q2" s="10" t="s">
        <v>26</v>
      </c>
      <c r="R2" s="10" t="s">
        <v>27</v>
      </c>
      <c r="S2" s="10" t="s">
        <v>28</v>
      </c>
      <c r="T2" s="10" t="s">
        <v>29</v>
      </c>
      <c r="U2" s="10" t="s">
        <v>30</v>
      </c>
      <c r="V2" s="10" t="s">
        <v>24</v>
      </c>
      <c r="W2" s="16"/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24</v>
      </c>
      <c r="AE2" s="16"/>
      <c r="AF2" s="10" t="s">
        <v>25</v>
      </c>
      <c r="AG2" s="10" t="s">
        <v>26</v>
      </c>
      <c r="AH2" s="10" t="s">
        <v>27</v>
      </c>
      <c r="AI2" s="10" t="s">
        <v>28</v>
      </c>
      <c r="AJ2" s="16"/>
      <c r="AK2" s="7"/>
    </row>
    <row r="3" spans="1:37" ht="15.5" x14ac:dyDescent="0.35">
      <c r="A3" s="12" t="s">
        <v>19</v>
      </c>
      <c r="B3" s="1">
        <v>0</v>
      </c>
      <c r="C3" s="1">
        <v>0</v>
      </c>
      <c r="D3" s="1">
        <v>700</v>
      </c>
      <c r="E3" s="1">
        <v>0</v>
      </c>
      <c r="F3" s="1">
        <v>0</v>
      </c>
      <c r="G3" s="17">
        <f>SUM(B3:F3)</f>
        <v>700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7">
        <f>SUM(H3:N3)</f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>
        <v>0</v>
      </c>
      <c r="W3" s="17">
        <f>SUM(P3:V3)</f>
        <v>0</v>
      </c>
      <c r="X3" s="1">
        <v>0</v>
      </c>
      <c r="Y3" s="1">
        <v>0</v>
      </c>
      <c r="Z3" s="1">
        <v>0</v>
      </c>
      <c r="AA3" s="1">
        <v>0</v>
      </c>
      <c r="AB3" s="1">
        <v>500</v>
      </c>
      <c r="AC3" s="1">
        <v>0</v>
      </c>
      <c r="AD3" s="1">
        <v>0</v>
      </c>
      <c r="AE3" s="17">
        <f>SUM(X3:AD3)</f>
        <v>500</v>
      </c>
      <c r="AF3" s="1">
        <v>0</v>
      </c>
      <c r="AG3" s="1">
        <v>0</v>
      </c>
      <c r="AH3" s="1">
        <v>0</v>
      </c>
      <c r="AI3" s="1">
        <v>0</v>
      </c>
      <c r="AJ3" s="17">
        <f>SUM(AF3:AI3)</f>
        <v>0</v>
      </c>
      <c r="AK3" s="7">
        <f t="shared" ref="AK3:AK13" si="0">G3+O3+W3+AE3+AJ3</f>
        <v>1200</v>
      </c>
    </row>
    <row r="4" spans="1:37" ht="15.5" x14ac:dyDescent="0.35">
      <c r="A4" s="12" t="s">
        <v>20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7">
        <f t="shared" ref="G4:G20" si="1">SUM(B4:F4)</f>
        <v>0</v>
      </c>
      <c r="H4" s="1">
        <v>20</v>
      </c>
      <c r="I4" s="1">
        <v>0</v>
      </c>
      <c r="J4" s="1">
        <v>0</v>
      </c>
      <c r="K4" s="1"/>
      <c r="L4" s="1"/>
      <c r="M4" s="1"/>
      <c r="N4" s="1"/>
      <c r="O4" s="17">
        <f t="shared" ref="O4:O20" si="2">SUM(H4:N4)</f>
        <v>20</v>
      </c>
      <c r="P4" s="1"/>
      <c r="Q4" s="1"/>
      <c r="R4" s="1"/>
      <c r="S4" s="1"/>
      <c r="T4" s="1"/>
      <c r="U4" s="1"/>
      <c r="V4" s="1"/>
      <c r="W4" s="17">
        <f t="shared" ref="W4:W20" si="3">SUM(P4:V4)</f>
        <v>0</v>
      </c>
      <c r="X4" s="1"/>
      <c r="Y4" s="1"/>
      <c r="Z4" s="1"/>
      <c r="AA4" s="1">
        <v>10</v>
      </c>
      <c r="AB4" s="1"/>
      <c r="AC4" s="1"/>
      <c r="AD4" s="1"/>
      <c r="AE4" s="17">
        <f t="shared" ref="AE4:AE20" si="4">SUM(X4:AD4)</f>
        <v>10</v>
      </c>
      <c r="AF4" s="1">
        <v>20</v>
      </c>
      <c r="AG4" s="1"/>
      <c r="AH4" s="1"/>
      <c r="AI4" s="1"/>
      <c r="AJ4" s="17">
        <f t="shared" ref="AJ4:AJ20" si="5">SUM(AF4:AI4)</f>
        <v>20</v>
      </c>
      <c r="AK4" s="7">
        <f t="shared" si="0"/>
        <v>50</v>
      </c>
    </row>
    <row r="5" spans="1:37" ht="15.5" x14ac:dyDescent="0.35">
      <c r="A5" s="12" t="s">
        <v>21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7">
        <f t="shared" si="1"/>
        <v>0</v>
      </c>
      <c r="H5" s="1">
        <v>0</v>
      </c>
      <c r="I5" s="1">
        <v>0</v>
      </c>
      <c r="J5" s="1">
        <v>0</v>
      </c>
      <c r="K5" s="1"/>
      <c r="L5" s="1"/>
      <c r="M5" s="1"/>
      <c r="N5" s="1">
        <v>40</v>
      </c>
      <c r="O5" s="17">
        <f t="shared" si="2"/>
        <v>40</v>
      </c>
      <c r="P5" s="1"/>
      <c r="Q5" s="1"/>
      <c r="R5" s="1"/>
      <c r="S5" s="1"/>
      <c r="T5" s="1"/>
      <c r="U5" s="1">
        <v>100</v>
      </c>
      <c r="V5" s="1"/>
      <c r="W5" s="17">
        <f t="shared" si="3"/>
        <v>100</v>
      </c>
      <c r="X5" s="1"/>
      <c r="Y5" s="1">
        <v>120</v>
      </c>
      <c r="Z5" s="1">
        <v>50</v>
      </c>
      <c r="AA5" s="1"/>
      <c r="AB5" s="1"/>
      <c r="AC5" s="1"/>
      <c r="AD5" s="1"/>
      <c r="AE5" s="17">
        <f t="shared" si="4"/>
        <v>170</v>
      </c>
      <c r="AF5" s="1"/>
      <c r="AG5" s="1"/>
      <c r="AH5" s="1"/>
      <c r="AI5" s="1">
        <v>50</v>
      </c>
      <c r="AJ5" s="17">
        <f t="shared" si="5"/>
        <v>50</v>
      </c>
      <c r="AK5" s="7">
        <f t="shared" si="0"/>
        <v>360</v>
      </c>
    </row>
    <row r="6" spans="1:37" ht="15.5" x14ac:dyDescent="0.35">
      <c r="A6" s="12" t="s">
        <v>22</v>
      </c>
      <c r="B6" s="1">
        <v>70</v>
      </c>
      <c r="C6" s="1">
        <v>80</v>
      </c>
      <c r="D6" s="1">
        <v>0</v>
      </c>
      <c r="E6" s="1">
        <v>25</v>
      </c>
      <c r="F6" s="1">
        <v>140</v>
      </c>
      <c r="G6" s="17">
        <f t="shared" si="1"/>
        <v>315</v>
      </c>
      <c r="H6" s="1">
        <v>0</v>
      </c>
      <c r="I6" s="1">
        <v>70</v>
      </c>
      <c r="J6" s="1">
        <v>0</v>
      </c>
      <c r="K6" s="1">
        <v>45</v>
      </c>
      <c r="L6" s="1"/>
      <c r="M6" s="1">
        <v>25</v>
      </c>
      <c r="N6" s="1"/>
      <c r="O6" s="17">
        <f t="shared" si="2"/>
        <v>140</v>
      </c>
      <c r="P6" s="1">
        <v>125</v>
      </c>
      <c r="Q6" s="1"/>
      <c r="R6" s="1">
        <v>100</v>
      </c>
      <c r="S6" s="1"/>
      <c r="T6" s="1"/>
      <c r="U6" s="1">
        <v>200</v>
      </c>
      <c r="V6" s="1"/>
      <c r="W6" s="17">
        <f t="shared" si="3"/>
        <v>425</v>
      </c>
      <c r="X6" s="1"/>
      <c r="Y6" s="1"/>
      <c r="Z6" s="1"/>
      <c r="AA6" s="1"/>
      <c r="AB6" s="1">
        <v>45</v>
      </c>
      <c r="AC6" s="1"/>
      <c r="AD6" s="1">
        <v>45</v>
      </c>
      <c r="AE6" s="17">
        <f t="shared" si="4"/>
        <v>90</v>
      </c>
      <c r="AF6" s="1">
        <f>25</f>
        <v>25</v>
      </c>
      <c r="AG6" s="1"/>
      <c r="AH6" s="1"/>
      <c r="AI6" s="1"/>
      <c r="AJ6" s="17">
        <f t="shared" si="5"/>
        <v>25</v>
      </c>
      <c r="AK6" s="7">
        <f t="shared" si="0"/>
        <v>995</v>
      </c>
    </row>
    <row r="7" spans="1:37" ht="15.5" x14ac:dyDescent="0.35">
      <c r="A7" s="12" t="s">
        <v>23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7">
        <f t="shared" si="1"/>
        <v>0</v>
      </c>
      <c r="H7" s="1">
        <v>0</v>
      </c>
      <c r="I7" s="1">
        <v>0</v>
      </c>
      <c r="J7" s="1">
        <v>0</v>
      </c>
      <c r="K7" s="1">
        <v>0</v>
      </c>
      <c r="M7" s="1">
        <v>0</v>
      </c>
      <c r="O7" s="17">
        <f t="shared" si="2"/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7">
        <f t="shared" si="3"/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7">
        <f t="shared" si="4"/>
        <v>0</v>
      </c>
      <c r="AF7" s="1">
        <v>0</v>
      </c>
      <c r="AG7" s="1">
        <v>0</v>
      </c>
      <c r="AH7" s="1">
        <v>0</v>
      </c>
      <c r="AI7" s="1">
        <v>0</v>
      </c>
      <c r="AJ7" s="17">
        <f t="shared" si="5"/>
        <v>0</v>
      </c>
      <c r="AK7" s="7">
        <f t="shared" si="0"/>
        <v>0</v>
      </c>
    </row>
    <row r="8" spans="1:37" ht="15.5" x14ac:dyDescent="0.35">
      <c r="A8" s="12" t="s">
        <v>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7">
        <f t="shared" si="1"/>
        <v>0</v>
      </c>
      <c r="H8" s="1">
        <v>0</v>
      </c>
      <c r="I8" s="1">
        <v>0</v>
      </c>
      <c r="J8" s="1">
        <v>0</v>
      </c>
      <c r="K8" s="1"/>
      <c r="L8" s="1">
        <v>130</v>
      </c>
      <c r="M8" s="1"/>
      <c r="N8" s="1">
        <v>130</v>
      </c>
      <c r="O8" s="17">
        <f>SUM(H8:N8)</f>
        <v>260</v>
      </c>
      <c r="P8" s="1"/>
      <c r="R8" s="1">
        <v>130</v>
      </c>
      <c r="S8" s="1"/>
      <c r="T8" s="1"/>
      <c r="U8" s="1"/>
      <c r="V8" s="1"/>
      <c r="W8" s="17">
        <f t="shared" si="3"/>
        <v>130</v>
      </c>
      <c r="X8" s="1"/>
      <c r="Y8" s="1"/>
      <c r="Z8" s="1">
        <v>130</v>
      </c>
      <c r="AA8" s="1"/>
      <c r="AB8" s="1"/>
      <c r="AC8" s="1"/>
      <c r="AD8" s="1"/>
      <c r="AE8" s="17">
        <f t="shared" si="4"/>
        <v>130</v>
      </c>
      <c r="AF8" s="1"/>
      <c r="AG8" s="1"/>
      <c r="AH8" s="1"/>
      <c r="AI8" s="1"/>
      <c r="AJ8" s="17">
        <f t="shared" si="5"/>
        <v>0</v>
      </c>
      <c r="AK8" s="7">
        <f t="shared" si="0"/>
        <v>520</v>
      </c>
    </row>
    <row r="9" spans="1:37" ht="15.5" x14ac:dyDescent="0.35">
      <c r="A9" s="12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7">
        <f t="shared" si="1"/>
        <v>0</v>
      </c>
      <c r="H9" s="1">
        <v>0</v>
      </c>
      <c r="I9" s="1">
        <v>110</v>
      </c>
      <c r="J9" s="1">
        <v>0</v>
      </c>
      <c r="K9" s="1"/>
      <c r="L9" s="1"/>
      <c r="M9" s="1">
        <v>90</v>
      </c>
      <c r="N9" s="1"/>
      <c r="O9" s="17">
        <f t="shared" si="2"/>
        <v>200</v>
      </c>
      <c r="P9" s="1"/>
      <c r="Q9" s="1"/>
      <c r="R9" s="1"/>
      <c r="S9" s="1"/>
      <c r="U9" s="1"/>
      <c r="V9" s="1"/>
      <c r="W9" s="17">
        <f t="shared" si="3"/>
        <v>0</v>
      </c>
      <c r="X9" s="1"/>
      <c r="Y9" s="1"/>
      <c r="Z9" s="1"/>
      <c r="AA9" s="1"/>
      <c r="AB9" s="1"/>
      <c r="AC9" s="1"/>
      <c r="AD9" s="1"/>
      <c r="AE9" s="17">
        <f t="shared" si="4"/>
        <v>0</v>
      </c>
      <c r="AF9" s="1"/>
      <c r="AG9" s="1"/>
      <c r="AH9" s="1"/>
      <c r="AI9" s="1"/>
      <c r="AJ9" s="17">
        <f t="shared" si="5"/>
        <v>0</v>
      </c>
      <c r="AK9" s="7">
        <f t="shared" si="0"/>
        <v>200</v>
      </c>
    </row>
    <row r="10" spans="1:37" ht="15.5" x14ac:dyDescent="0.35">
      <c r="A10" s="12" t="s">
        <v>132</v>
      </c>
      <c r="B10" s="1">
        <v>40</v>
      </c>
      <c r="C10" s="1"/>
      <c r="D10" s="1"/>
      <c r="E10" s="1">
        <v>61</v>
      </c>
      <c r="F10" s="1">
        <v>0</v>
      </c>
      <c r="G10" s="17">
        <f t="shared" si="1"/>
        <v>101</v>
      </c>
      <c r="H10" s="1">
        <f>180+95</f>
        <v>275</v>
      </c>
      <c r="I10" s="1"/>
      <c r="J10" s="1">
        <v>50</v>
      </c>
      <c r="K10" s="1"/>
      <c r="L10" s="1"/>
      <c r="M10" s="1">
        <v>128</v>
      </c>
      <c r="N10" s="1"/>
      <c r="O10" s="17">
        <f t="shared" si="2"/>
        <v>453</v>
      </c>
      <c r="P10" s="1"/>
      <c r="Q10" s="1"/>
      <c r="R10" s="1"/>
      <c r="S10" s="1"/>
      <c r="T10" s="1"/>
      <c r="U10" s="1">
        <v>734</v>
      </c>
      <c r="V10" s="1">
        <v>140</v>
      </c>
      <c r="W10" s="17">
        <f t="shared" si="3"/>
        <v>874</v>
      </c>
      <c r="X10" s="1"/>
      <c r="Y10" s="1"/>
      <c r="Z10" s="1"/>
      <c r="AA10" s="1"/>
      <c r="AB10" s="1"/>
      <c r="AC10" s="1">
        <f>30+80</f>
        <v>110</v>
      </c>
      <c r="AD10" s="1"/>
      <c r="AE10" s="17">
        <f t="shared" si="4"/>
        <v>110</v>
      </c>
      <c r="AF10" s="1"/>
      <c r="AG10" s="1">
        <v>120</v>
      </c>
      <c r="AH10" s="1">
        <v>100</v>
      </c>
      <c r="AI10" s="1"/>
      <c r="AJ10" s="17">
        <f t="shared" si="5"/>
        <v>220</v>
      </c>
      <c r="AK10" s="7">
        <f t="shared" si="0"/>
        <v>1758</v>
      </c>
    </row>
    <row r="11" spans="1:37" ht="15.5" x14ac:dyDescent="0.35">
      <c r="A11" s="12" t="s">
        <v>109</v>
      </c>
      <c r="B11" s="1"/>
      <c r="C11" s="1"/>
      <c r="D11" s="1">
        <v>50</v>
      </c>
      <c r="E11" s="1"/>
      <c r="F11" s="1"/>
      <c r="G11" s="17">
        <f t="shared" si="1"/>
        <v>50</v>
      </c>
      <c r="H11" s="1"/>
      <c r="I11" s="1"/>
      <c r="J11" s="1"/>
      <c r="K11" s="1"/>
      <c r="L11" s="1"/>
      <c r="M11" s="1"/>
      <c r="N11" s="1"/>
      <c r="O11" s="17">
        <f t="shared" si="2"/>
        <v>0</v>
      </c>
      <c r="P11" s="1"/>
      <c r="Q11" s="1"/>
      <c r="R11" s="1"/>
      <c r="S11" s="1"/>
      <c r="T11" s="1"/>
      <c r="U11" s="1">
        <v>100</v>
      </c>
      <c r="V11" s="1"/>
      <c r="W11" s="17">
        <f t="shared" si="3"/>
        <v>100</v>
      </c>
      <c r="X11" s="1"/>
      <c r="Y11" s="1"/>
      <c r="Z11" s="1"/>
      <c r="AA11" s="1"/>
      <c r="AB11" s="1"/>
      <c r="AC11" s="1">
        <v>649</v>
      </c>
      <c r="AD11" s="1">
        <v>329</v>
      </c>
      <c r="AE11" s="17">
        <f t="shared" si="4"/>
        <v>978</v>
      </c>
      <c r="AF11" s="1">
        <v>786</v>
      </c>
      <c r="AG11" s="1"/>
      <c r="AH11" s="1"/>
      <c r="AI11" s="1"/>
      <c r="AJ11" s="17">
        <f t="shared" si="5"/>
        <v>786</v>
      </c>
      <c r="AK11" s="7">
        <f t="shared" si="0"/>
        <v>1914</v>
      </c>
    </row>
    <row r="12" spans="1:37" ht="15.5" x14ac:dyDescent="0.35">
      <c r="A12" s="12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7">
        <f t="shared" si="1"/>
        <v>0</v>
      </c>
      <c r="H12" s="1">
        <v>302</v>
      </c>
      <c r="I12" s="1">
        <v>0</v>
      </c>
      <c r="J12" s="1">
        <v>394</v>
      </c>
      <c r="L12" s="1"/>
      <c r="M12" s="1"/>
      <c r="N12" s="1"/>
      <c r="O12" s="17">
        <f t="shared" si="2"/>
        <v>696</v>
      </c>
      <c r="P12" s="1"/>
      <c r="Q12" s="1">
        <v>690</v>
      </c>
      <c r="R12" s="1"/>
      <c r="S12" s="1"/>
      <c r="T12" s="1"/>
      <c r="U12" s="1"/>
      <c r="V12" s="1"/>
      <c r="W12" s="17">
        <f t="shared" si="3"/>
        <v>690</v>
      </c>
      <c r="X12" s="1"/>
      <c r="Y12" s="1"/>
      <c r="Z12" s="1"/>
      <c r="AA12" s="1"/>
      <c r="AB12" s="1"/>
      <c r="AC12" s="1"/>
      <c r="AD12" s="1"/>
      <c r="AE12" s="17">
        <f t="shared" si="4"/>
        <v>0</v>
      </c>
      <c r="AF12" s="1"/>
      <c r="AG12" s="1"/>
      <c r="AH12" s="1"/>
      <c r="AI12" s="1"/>
      <c r="AJ12" s="17">
        <f t="shared" si="5"/>
        <v>0</v>
      </c>
      <c r="AK12" s="7">
        <f t="shared" si="0"/>
        <v>1386</v>
      </c>
    </row>
    <row r="13" spans="1:37" ht="15.5" x14ac:dyDescent="0.35">
      <c r="A13" s="36" t="s">
        <v>41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7">
        <f t="shared" si="1"/>
        <v>0</v>
      </c>
      <c r="H13" s="1"/>
      <c r="I13" s="1">
        <v>4000</v>
      </c>
      <c r="J13" s="1">
        <v>0</v>
      </c>
      <c r="K13" s="1"/>
      <c r="L13" s="1"/>
      <c r="M13" s="1"/>
      <c r="N13" s="1"/>
      <c r="O13" s="17">
        <f t="shared" si="2"/>
        <v>4000</v>
      </c>
      <c r="P13" s="1"/>
      <c r="Q13" s="1"/>
      <c r="R13" s="1"/>
      <c r="S13" s="1"/>
      <c r="T13" s="1"/>
      <c r="U13" s="1"/>
      <c r="V13" s="1"/>
      <c r="W13" s="17">
        <f t="shared" si="3"/>
        <v>0</v>
      </c>
      <c r="X13" s="1"/>
      <c r="Y13" s="1"/>
      <c r="Z13" s="1"/>
      <c r="AA13" s="1"/>
      <c r="AB13" s="1"/>
      <c r="AC13" s="1"/>
      <c r="AD13" s="1"/>
      <c r="AE13" s="17">
        <f t="shared" si="4"/>
        <v>0</v>
      </c>
      <c r="AF13" s="1"/>
      <c r="AG13" s="1"/>
      <c r="AH13" s="1"/>
      <c r="AI13" s="1"/>
      <c r="AJ13" s="17">
        <f t="shared" si="5"/>
        <v>0</v>
      </c>
      <c r="AK13" s="7">
        <f t="shared" si="0"/>
        <v>4000</v>
      </c>
    </row>
    <row r="14" spans="1:37" ht="15.5" x14ac:dyDescent="0.35">
      <c r="A14" s="36" t="s">
        <v>33</v>
      </c>
      <c r="B14" s="1">
        <v>0</v>
      </c>
      <c r="C14" s="1">
        <v>4500</v>
      </c>
      <c r="D14" s="1">
        <v>0</v>
      </c>
      <c r="E14" s="1">
        <v>0</v>
      </c>
      <c r="F14" s="1">
        <v>0</v>
      </c>
      <c r="G14" s="17">
        <f t="shared" si="1"/>
        <v>4500</v>
      </c>
      <c r="H14" s="1">
        <v>0</v>
      </c>
      <c r="I14" s="1">
        <v>0</v>
      </c>
      <c r="J14" s="1">
        <v>0</v>
      </c>
      <c r="K14" s="1"/>
      <c r="L14" s="1"/>
      <c r="M14" s="1"/>
      <c r="N14" s="1"/>
      <c r="O14" s="17">
        <f t="shared" si="2"/>
        <v>0</v>
      </c>
      <c r="P14" s="1"/>
      <c r="Q14" s="1"/>
      <c r="R14" s="1"/>
      <c r="S14" s="1"/>
      <c r="T14" s="1"/>
      <c r="U14" s="1"/>
      <c r="V14" s="1"/>
      <c r="W14" s="17">
        <f t="shared" si="3"/>
        <v>0</v>
      </c>
      <c r="X14" s="1"/>
      <c r="Y14" s="1"/>
      <c r="Z14" s="1"/>
      <c r="AA14" s="1"/>
      <c r="AB14" s="1"/>
      <c r="AC14" s="1"/>
      <c r="AD14" s="1"/>
      <c r="AE14" s="17">
        <f t="shared" si="4"/>
        <v>0</v>
      </c>
      <c r="AF14" s="1"/>
      <c r="AG14" s="1"/>
      <c r="AH14" s="1"/>
      <c r="AI14" s="1"/>
      <c r="AJ14" s="17">
        <f t="shared" si="5"/>
        <v>0</v>
      </c>
      <c r="AK14" s="7">
        <f t="shared" ref="AK14:AK20" si="6">G14+O14+W14+AE14+AJ14</f>
        <v>4500</v>
      </c>
    </row>
    <row r="15" spans="1:37" ht="15.5" x14ac:dyDescent="0.35">
      <c r="A15" s="36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7">
        <f t="shared" si="1"/>
        <v>0</v>
      </c>
      <c r="H15" s="1">
        <f>10190-1698-1698-1698-1698</f>
        <v>3398</v>
      </c>
      <c r="I15" s="1">
        <v>0</v>
      </c>
      <c r="J15" s="1">
        <v>0</v>
      </c>
      <c r="K15" s="1"/>
      <c r="L15" s="1"/>
      <c r="M15" s="1"/>
      <c r="N15" s="1"/>
      <c r="O15" s="17">
        <f t="shared" si="2"/>
        <v>3398</v>
      </c>
      <c r="P15" s="1"/>
      <c r="Q15" s="1"/>
      <c r="R15" s="1"/>
      <c r="S15" s="1"/>
      <c r="T15" s="1"/>
      <c r="U15" s="1"/>
      <c r="V15" s="1"/>
      <c r="W15" s="17">
        <f t="shared" si="3"/>
        <v>0</v>
      </c>
      <c r="X15" s="1"/>
      <c r="Y15" s="1"/>
      <c r="Z15" s="1"/>
      <c r="AA15" s="1"/>
      <c r="AB15" s="1"/>
      <c r="AC15" s="1"/>
      <c r="AD15" s="1"/>
      <c r="AE15" s="17">
        <f t="shared" si="4"/>
        <v>0</v>
      </c>
      <c r="AF15" s="1"/>
      <c r="AG15" s="1"/>
      <c r="AH15" s="1"/>
      <c r="AI15" s="1"/>
      <c r="AJ15" s="17">
        <f t="shared" si="5"/>
        <v>0</v>
      </c>
      <c r="AK15" s="7">
        <f t="shared" si="6"/>
        <v>3398</v>
      </c>
    </row>
    <row r="16" spans="1:37" ht="15.5" x14ac:dyDescent="0.35">
      <c r="A16" s="12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7">
        <f t="shared" si="1"/>
        <v>0</v>
      </c>
      <c r="H16" s="1">
        <v>0</v>
      </c>
      <c r="I16" s="1">
        <v>0</v>
      </c>
      <c r="J16" s="1">
        <v>0</v>
      </c>
      <c r="K16" s="1"/>
      <c r="L16" s="1"/>
      <c r="M16" s="1"/>
      <c r="N16" s="1"/>
      <c r="O16" s="17">
        <f t="shared" si="2"/>
        <v>0</v>
      </c>
      <c r="P16" s="1"/>
      <c r="Q16" s="1"/>
      <c r="R16" s="1"/>
      <c r="S16" s="1"/>
      <c r="T16" s="1"/>
      <c r="U16" s="1"/>
      <c r="V16" s="1"/>
      <c r="W16" s="17">
        <f t="shared" si="3"/>
        <v>0</v>
      </c>
      <c r="X16" s="1"/>
      <c r="Y16" s="1"/>
      <c r="Z16" s="1">
        <f>5000-1861</f>
        <v>3139</v>
      </c>
      <c r="AA16" s="1"/>
      <c r="AB16" s="1"/>
      <c r="AC16" s="1"/>
      <c r="AD16" s="1"/>
      <c r="AE16" s="17">
        <f t="shared" si="4"/>
        <v>3139</v>
      </c>
      <c r="AF16" s="1"/>
      <c r="AG16" s="1"/>
      <c r="AH16" s="1"/>
      <c r="AI16" s="1"/>
      <c r="AJ16" s="17">
        <f t="shared" si="5"/>
        <v>0</v>
      </c>
      <c r="AK16" s="7">
        <f t="shared" si="6"/>
        <v>3139</v>
      </c>
    </row>
    <row r="17" spans="1:37" ht="15.5" x14ac:dyDescent="0.35">
      <c r="A17" s="12" t="s">
        <v>37</v>
      </c>
      <c r="B17" s="1">
        <v>0</v>
      </c>
      <c r="C17" s="1">
        <v>0</v>
      </c>
      <c r="D17" s="1">
        <v>0</v>
      </c>
      <c r="E17" s="1">
        <v>2270</v>
      </c>
      <c r="F17" s="1">
        <v>0</v>
      </c>
      <c r="G17" s="17">
        <f t="shared" si="1"/>
        <v>2270</v>
      </c>
      <c r="H17" s="1">
        <v>0</v>
      </c>
      <c r="I17" s="1">
        <v>0</v>
      </c>
      <c r="J17" s="1">
        <v>0</v>
      </c>
      <c r="K17" s="1"/>
      <c r="L17" s="1"/>
      <c r="M17" s="1"/>
      <c r="N17" s="1"/>
      <c r="O17" s="17">
        <f t="shared" si="2"/>
        <v>0</v>
      </c>
      <c r="P17" s="1"/>
      <c r="Q17" s="1"/>
      <c r="R17" s="1"/>
      <c r="S17" s="1"/>
      <c r="T17" s="1"/>
      <c r="U17" s="1"/>
      <c r="V17" s="1">
        <f>1460+60+95+9</f>
        <v>1624</v>
      </c>
      <c r="W17" s="17">
        <f t="shared" si="3"/>
        <v>1624</v>
      </c>
      <c r="X17" s="1"/>
      <c r="Y17" s="1"/>
      <c r="Z17" s="1"/>
      <c r="AA17" s="1"/>
      <c r="AB17" s="1"/>
      <c r="AC17" s="1"/>
      <c r="AD17" s="1"/>
      <c r="AE17" s="17">
        <f t="shared" si="4"/>
        <v>0</v>
      </c>
      <c r="AF17" s="1"/>
      <c r="AG17" s="1"/>
      <c r="AH17" s="1"/>
      <c r="AI17" s="1"/>
      <c r="AJ17" s="17">
        <f t="shared" si="5"/>
        <v>0</v>
      </c>
      <c r="AK17" s="7">
        <f t="shared" si="6"/>
        <v>3894</v>
      </c>
    </row>
    <row r="18" spans="1:37" ht="31" x14ac:dyDescent="0.35">
      <c r="A18" s="13" t="s">
        <v>38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7">
        <f t="shared" si="1"/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1"/>
      <c r="O18" s="17">
        <f t="shared" si="2"/>
        <v>0</v>
      </c>
      <c r="P18" s="1"/>
      <c r="Q18" s="1"/>
      <c r="R18" s="1"/>
      <c r="S18" s="1"/>
      <c r="T18" s="1"/>
      <c r="U18" s="1"/>
      <c r="V18" s="1"/>
      <c r="W18" s="17">
        <f t="shared" si="3"/>
        <v>0</v>
      </c>
      <c r="X18" s="1"/>
      <c r="Y18" s="1"/>
      <c r="Z18" s="1"/>
      <c r="AA18" s="1"/>
      <c r="AB18" s="1"/>
      <c r="AC18" s="1"/>
      <c r="AD18" s="1"/>
      <c r="AE18" s="17">
        <f t="shared" si="4"/>
        <v>0</v>
      </c>
      <c r="AF18" s="1"/>
      <c r="AG18" s="1"/>
      <c r="AH18" s="1"/>
      <c r="AI18" s="1"/>
      <c r="AJ18" s="17">
        <f t="shared" si="5"/>
        <v>0</v>
      </c>
      <c r="AK18" s="7">
        <f t="shared" si="6"/>
        <v>0</v>
      </c>
    </row>
    <row r="19" spans="1:37" ht="15.5" x14ac:dyDescent="0.35">
      <c r="A19" s="13" t="s">
        <v>39</v>
      </c>
      <c r="B19" s="1">
        <v>0</v>
      </c>
      <c r="C19" s="1">
        <v>0</v>
      </c>
      <c r="D19" s="1">
        <v>0</v>
      </c>
      <c r="E19" s="1">
        <f>859</f>
        <v>859</v>
      </c>
      <c r="F19" s="1">
        <v>0</v>
      </c>
      <c r="G19" s="17">
        <f t="shared" si="1"/>
        <v>859</v>
      </c>
      <c r="H19" s="1">
        <v>0</v>
      </c>
      <c r="I19" s="1">
        <v>1050</v>
      </c>
      <c r="J19" s="1">
        <v>100</v>
      </c>
      <c r="K19" s="9">
        <v>200</v>
      </c>
      <c r="L19" s="9"/>
      <c r="M19" s="9"/>
      <c r="N19" s="9"/>
      <c r="O19" s="17">
        <f t="shared" si="2"/>
        <v>1350</v>
      </c>
      <c r="P19" s="9">
        <v>200</v>
      </c>
      <c r="Q19" s="9">
        <v>277</v>
      </c>
      <c r="R19" s="9"/>
      <c r="S19" s="9"/>
      <c r="T19" s="9"/>
      <c r="U19" s="9"/>
      <c r="V19" s="9"/>
      <c r="W19" s="17">
        <f t="shared" si="3"/>
        <v>477</v>
      </c>
      <c r="X19" s="9"/>
      <c r="Y19" s="9">
        <v>2000</v>
      </c>
      <c r="Z19" s="9">
        <v>666</v>
      </c>
      <c r="AA19" s="9"/>
      <c r="AB19" s="9"/>
      <c r="AC19" s="9">
        <f>710+3300</f>
        <v>4010</v>
      </c>
      <c r="AD19" s="9"/>
      <c r="AE19" s="17">
        <f t="shared" si="4"/>
        <v>6676</v>
      </c>
      <c r="AF19" s="9"/>
      <c r="AG19" s="9"/>
      <c r="AH19" s="9"/>
      <c r="AI19" s="9"/>
      <c r="AJ19" s="17">
        <f t="shared" si="5"/>
        <v>0</v>
      </c>
      <c r="AK19" s="7">
        <f t="shared" si="6"/>
        <v>9362</v>
      </c>
    </row>
    <row r="20" spans="1:37" ht="15.5" x14ac:dyDescent="0.35">
      <c r="A20" s="13" t="s">
        <v>40</v>
      </c>
      <c r="B20" s="1">
        <v>0</v>
      </c>
      <c r="C20" s="1">
        <f>-988-1203-820</f>
        <v>-3011</v>
      </c>
      <c r="D20" s="1">
        <v>0</v>
      </c>
      <c r="E20" s="1"/>
      <c r="F20" s="1">
        <v>0</v>
      </c>
      <c r="G20" s="17">
        <f t="shared" si="1"/>
        <v>-3011</v>
      </c>
      <c r="H20" s="1">
        <v>0</v>
      </c>
      <c r="I20" s="1">
        <v>0</v>
      </c>
      <c r="J20" s="1">
        <v>0</v>
      </c>
      <c r="K20" s="9"/>
      <c r="L20" s="9"/>
      <c r="M20" s="9"/>
      <c r="N20" s="9"/>
      <c r="O20" s="17">
        <f t="shared" si="2"/>
        <v>0</v>
      </c>
      <c r="P20" s="9"/>
      <c r="Q20" s="9"/>
      <c r="R20" s="9"/>
      <c r="S20" s="9"/>
      <c r="T20" s="9"/>
      <c r="U20" s="9"/>
      <c r="V20" s="9"/>
      <c r="W20" s="17">
        <f t="shared" si="3"/>
        <v>0</v>
      </c>
      <c r="X20" s="9"/>
      <c r="Y20" s="9" t="s">
        <v>163</v>
      </c>
      <c r="Z20" s="9"/>
      <c r="AA20" s="9"/>
      <c r="AB20" s="9"/>
      <c r="AC20" s="9"/>
      <c r="AD20" s="9"/>
      <c r="AE20" s="17">
        <f t="shared" si="4"/>
        <v>0</v>
      </c>
      <c r="AF20" s="9"/>
      <c r="AG20" s="9"/>
      <c r="AH20" s="9"/>
      <c r="AI20" s="9"/>
      <c r="AJ20" s="17">
        <f t="shared" si="5"/>
        <v>0</v>
      </c>
      <c r="AK20" s="7">
        <f t="shared" si="6"/>
        <v>-3011</v>
      </c>
    </row>
    <row r="21" spans="1:37" ht="15.5" x14ac:dyDescent="0.35">
      <c r="A21" s="19" t="s">
        <v>16</v>
      </c>
      <c r="B21">
        <f>SUM(B3:B20)</f>
        <v>110</v>
      </c>
      <c r="C21">
        <f t="shared" ref="C21:R21" si="7">SUM(C3:C20)</f>
        <v>1569</v>
      </c>
      <c r="D21">
        <f t="shared" si="7"/>
        <v>750</v>
      </c>
      <c r="E21">
        <f t="shared" si="7"/>
        <v>3215</v>
      </c>
      <c r="F21">
        <f t="shared" si="7"/>
        <v>140</v>
      </c>
      <c r="G21">
        <f>SUM(G3:G20)</f>
        <v>5784</v>
      </c>
      <c r="H21">
        <f t="shared" si="7"/>
        <v>3995</v>
      </c>
      <c r="I21">
        <f t="shared" si="7"/>
        <v>5230</v>
      </c>
      <c r="J21">
        <f t="shared" si="7"/>
        <v>544</v>
      </c>
      <c r="K21">
        <f t="shared" si="7"/>
        <v>245</v>
      </c>
      <c r="L21">
        <f t="shared" si="7"/>
        <v>130</v>
      </c>
      <c r="M21">
        <f t="shared" si="7"/>
        <v>243</v>
      </c>
      <c r="N21">
        <f t="shared" si="7"/>
        <v>170</v>
      </c>
      <c r="O21">
        <f>SUM(O3:O20)</f>
        <v>10557</v>
      </c>
      <c r="P21">
        <f t="shared" si="7"/>
        <v>325</v>
      </c>
      <c r="Q21">
        <f t="shared" si="7"/>
        <v>967</v>
      </c>
      <c r="R21">
        <f t="shared" si="7"/>
        <v>230</v>
      </c>
      <c r="S21">
        <f t="shared" ref="S21:AK21" si="8">SUM(S3:S20)</f>
        <v>0</v>
      </c>
      <c r="T21">
        <f t="shared" si="8"/>
        <v>0</v>
      </c>
      <c r="U21">
        <f t="shared" si="8"/>
        <v>1134</v>
      </c>
      <c r="V21">
        <f t="shared" si="8"/>
        <v>1764</v>
      </c>
      <c r="W21">
        <f t="shared" si="8"/>
        <v>4420</v>
      </c>
      <c r="X21">
        <f t="shared" si="8"/>
        <v>0</v>
      </c>
      <c r="Y21">
        <f t="shared" si="8"/>
        <v>2120</v>
      </c>
      <c r="Z21">
        <f t="shared" si="8"/>
        <v>3985</v>
      </c>
      <c r="AA21">
        <f t="shared" si="8"/>
        <v>10</v>
      </c>
      <c r="AB21">
        <f t="shared" si="8"/>
        <v>545</v>
      </c>
      <c r="AC21">
        <f t="shared" si="8"/>
        <v>4769</v>
      </c>
      <c r="AD21">
        <f t="shared" si="8"/>
        <v>374</v>
      </c>
      <c r="AE21">
        <f t="shared" si="8"/>
        <v>11803</v>
      </c>
      <c r="AF21">
        <f t="shared" si="8"/>
        <v>831</v>
      </c>
      <c r="AG21">
        <f t="shared" si="8"/>
        <v>120</v>
      </c>
      <c r="AH21">
        <f t="shared" si="8"/>
        <v>100</v>
      </c>
      <c r="AI21">
        <f t="shared" si="8"/>
        <v>50</v>
      </c>
      <c r="AJ21">
        <f t="shared" si="8"/>
        <v>1101</v>
      </c>
      <c r="AK21" s="14">
        <f t="shared" si="8"/>
        <v>33665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6526-FA4E-4B5A-A2B7-9315010A0F05}">
  <dimension ref="A1:AL19"/>
  <sheetViews>
    <sheetView topLeftCell="A7" zoomScaleNormal="100" workbookViewId="0">
      <pane xSplit="1" topLeftCell="X1" activePane="topRight" state="frozen"/>
      <selection activeCell="A5" sqref="A5"/>
      <selection pane="topRight" activeCell="AE17" sqref="AE17"/>
    </sheetView>
  </sheetViews>
  <sheetFormatPr defaultRowHeight="14" x14ac:dyDescent="0.3"/>
  <cols>
    <col min="1" max="1" width="15.6640625" customWidth="1"/>
  </cols>
  <sheetData>
    <row r="1" spans="1:38" x14ac:dyDescent="0.3">
      <c r="A1" s="83" t="s">
        <v>35</v>
      </c>
      <c r="B1" s="10">
        <v>44682</v>
      </c>
      <c r="C1" s="10">
        <v>44683</v>
      </c>
      <c r="D1" s="10">
        <v>44684</v>
      </c>
      <c r="E1" s="10">
        <v>44685</v>
      </c>
      <c r="F1" s="10">
        <v>44686</v>
      </c>
      <c r="G1" s="10">
        <v>44687</v>
      </c>
      <c r="H1" s="10">
        <v>44688</v>
      </c>
      <c r="I1" s="10">
        <v>44689</v>
      </c>
      <c r="J1" s="16" t="s">
        <v>62</v>
      </c>
      <c r="K1" s="10">
        <v>44690</v>
      </c>
      <c r="L1" s="10">
        <v>44691</v>
      </c>
      <c r="M1" s="10">
        <v>44692</v>
      </c>
      <c r="N1" s="10">
        <v>44693</v>
      </c>
      <c r="O1" s="10">
        <v>44694</v>
      </c>
      <c r="P1" s="10">
        <v>44695</v>
      </c>
      <c r="Q1" s="10">
        <v>44696</v>
      </c>
      <c r="R1" s="16" t="s">
        <v>63</v>
      </c>
      <c r="S1" s="10">
        <v>44697</v>
      </c>
      <c r="T1" s="10">
        <v>44698</v>
      </c>
      <c r="U1" s="10">
        <v>44699</v>
      </c>
      <c r="V1" s="10">
        <v>44700</v>
      </c>
      <c r="W1" s="10">
        <v>44701</v>
      </c>
      <c r="X1" s="10">
        <v>44702</v>
      </c>
      <c r="Y1" s="10">
        <v>44703</v>
      </c>
      <c r="Z1" s="16" t="s">
        <v>64</v>
      </c>
      <c r="AA1" s="10">
        <v>44704</v>
      </c>
      <c r="AB1" s="10">
        <v>44705</v>
      </c>
      <c r="AC1" s="10">
        <v>44706</v>
      </c>
      <c r="AD1" s="10">
        <v>44707</v>
      </c>
      <c r="AE1" s="10">
        <v>44708</v>
      </c>
      <c r="AF1" s="10">
        <v>44709</v>
      </c>
      <c r="AG1" s="10">
        <v>44710</v>
      </c>
      <c r="AH1" s="16" t="s">
        <v>65</v>
      </c>
      <c r="AI1" s="10">
        <v>44711</v>
      </c>
      <c r="AJ1" s="10">
        <v>44712</v>
      </c>
      <c r="AK1" s="16" t="s">
        <v>66</v>
      </c>
      <c r="AL1" s="7"/>
    </row>
    <row r="2" spans="1:38" x14ac:dyDescent="0.3">
      <c r="A2" s="83"/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24</v>
      </c>
      <c r="J2" s="16"/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24</v>
      </c>
      <c r="R2" s="16"/>
      <c r="S2" s="10" t="s">
        <v>25</v>
      </c>
      <c r="T2" s="10" t="s">
        <v>26</v>
      </c>
      <c r="U2" s="10" t="s">
        <v>27</v>
      </c>
      <c r="V2" s="10" t="s">
        <v>28</v>
      </c>
      <c r="W2" s="10" t="s">
        <v>29</v>
      </c>
      <c r="X2" s="10" t="s">
        <v>30</v>
      </c>
      <c r="Y2" s="10" t="s">
        <v>24</v>
      </c>
      <c r="Z2" s="16"/>
      <c r="AA2" s="10" t="s">
        <v>25</v>
      </c>
      <c r="AB2" s="10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  <c r="AG2" s="10" t="s">
        <v>24</v>
      </c>
      <c r="AH2" s="16"/>
      <c r="AI2" s="10" t="s">
        <v>25</v>
      </c>
      <c r="AJ2" s="10" t="s">
        <v>26</v>
      </c>
      <c r="AK2" s="16"/>
      <c r="AL2" s="7"/>
    </row>
    <row r="3" spans="1:38" ht="15.5" x14ac:dyDescent="0.35">
      <c r="A3" s="12" t="s">
        <v>19</v>
      </c>
      <c r="B3" s="1">
        <v>54</v>
      </c>
      <c r="C3" s="1">
        <f>27*2+60</f>
        <v>114</v>
      </c>
      <c r="D3" s="1">
        <f t="shared" ref="D3:G3" si="0">27*2</f>
        <v>54</v>
      </c>
      <c r="E3" s="1">
        <f t="shared" si="0"/>
        <v>54</v>
      </c>
      <c r="F3" s="1">
        <f t="shared" si="0"/>
        <v>54</v>
      </c>
      <c r="G3" s="1">
        <f t="shared" si="0"/>
        <v>54</v>
      </c>
      <c r="H3" s="1">
        <v>0</v>
      </c>
      <c r="I3" s="1">
        <v>0</v>
      </c>
      <c r="J3" s="17">
        <f>SUM(B3:I3)</f>
        <v>384</v>
      </c>
      <c r="K3" s="1">
        <v>54</v>
      </c>
      <c r="L3" s="1">
        <v>54</v>
      </c>
      <c r="M3" s="1">
        <v>54</v>
      </c>
      <c r="N3" s="1">
        <v>54</v>
      </c>
      <c r="O3" s="1">
        <v>54</v>
      </c>
      <c r="P3" s="1">
        <v>72</v>
      </c>
      <c r="Q3" s="1">
        <v>0</v>
      </c>
      <c r="R3" s="17">
        <f>SUM(K3:Q3)</f>
        <v>342</v>
      </c>
      <c r="S3" s="1">
        <v>54</v>
      </c>
      <c r="T3" s="1">
        <v>0</v>
      </c>
      <c r="U3" s="1">
        <f>27+36+36</f>
        <v>99</v>
      </c>
      <c r="V3" s="1">
        <f>500</f>
        <v>500</v>
      </c>
      <c r="W3" s="1">
        <v>0</v>
      </c>
      <c r="X3" s="1">
        <v>0</v>
      </c>
      <c r="Y3" s="1">
        <v>0</v>
      </c>
      <c r="Z3" s="17">
        <f t="shared" ref="Z3:Z18" si="1">SUM(S3:Y3)</f>
        <v>653</v>
      </c>
      <c r="AA3" s="1">
        <v>0</v>
      </c>
      <c r="AB3" s="1">
        <v>0</v>
      </c>
      <c r="AC3" s="1"/>
      <c r="AD3" s="1"/>
      <c r="AE3" s="1"/>
      <c r="AF3" s="1"/>
      <c r="AG3" s="1"/>
      <c r="AH3" s="17">
        <f>SUM(AA3:AG3)</f>
        <v>0</v>
      </c>
      <c r="AI3" s="1"/>
      <c r="AJ3" s="1"/>
      <c r="AK3" s="17">
        <f>SUM(AI3:AJ3)</f>
        <v>0</v>
      </c>
      <c r="AL3" s="7">
        <f t="shared" ref="AL3:AL11" si="2">J3+R3+Z3+AH3+AK3</f>
        <v>1379</v>
      </c>
    </row>
    <row r="4" spans="1:38" ht="15.5" x14ac:dyDescent="0.35">
      <c r="A4" s="12" t="s">
        <v>20</v>
      </c>
      <c r="B4" s="1"/>
      <c r="C4" s="1"/>
      <c r="D4" s="1"/>
      <c r="E4" s="1"/>
      <c r="F4" s="1"/>
      <c r="G4" s="1">
        <v>20</v>
      </c>
      <c r="H4" s="1"/>
      <c r="I4" s="1"/>
      <c r="J4" s="17">
        <f t="shared" ref="J4:J11" si="3">SUM(B4:I4)</f>
        <v>20</v>
      </c>
      <c r="K4" s="1">
        <v>35</v>
      </c>
      <c r="L4" s="1"/>
      <c r="M4" s="1"/>
      <c r="N4" s="1"/>
      <c r="O4" s="1"/>
      <c r="P4" s="1"/>
      <c r="Q4" s="1"/>
      <c r="R4" s="17">
        <f t="shared" ref="R4:R17" si="4">SUM(K4:Q4)</f>
        <v>35</v>
      </c>
      <c r="S4" s="1">
        <v>35</v>
      </c>
      <c r="T4" s="1"/>
      <c r="U4" s="1"/>
      <c r="V4" s="1"/>
      <c r="W4" s="1"/>
      <c r="X4" s="1"/>
      <c r="Y4" s="1"/>
      <c r="Z4" s="17">
        <f t="shared" si="1"/>
        <v>35</v>
      </c>
      <c r="AA4" s="1"/>
      <c r="AB4" s="1"/>
      <c r="AC4" s="1"/>
      <c r="AD4" s="1"/>
      <c r="AE4" s="1"/>
      <c r="AF4" s="1"/>
      <c r="AG4" s="1"/>
      <c r="AH4" s="17">
        <f t="shared" ref="AH4:AH17" si="5">SUM(AA4:AG4)</f>
        <v>0</v>
      </c>
      <c r="AI4" s="1">
        <f>20+45</f>
        <v>65</v>
      </c>
      <c r="AJ4" s="1">
        <v>35</v>
      </c>
      <c r="AK4" s="17">
        <f t="shared" ref="AK4:AK18" si="6">SUM(AI4:AJ4)</f>
        <v>100</v>
      </c>
      <c r="AL4" s="7">
        <f t="shared" si="2"/>
        <v>190</v>
      </c>
    </row>
    <row r="5" spans="1:38" ht="15.5" x14ac:dyDescent="0.35">
      <c r="A5" s="12" t="s">
        <v>21</v>
      </c>
      <c r="B5" s="1"/>
      <c r="C5" s="1"/>
      <c r="D5" s="1"/>
      <c r="E5" s="1"/>
      <c r="F5" s="1"/>
      <c r="G5" s="1"/>
      <c r="H5" s="1"/>
      <c r="I5" s="1"/>
      <c r="J5" s="17">
        <f t="shared" si="3"/>
        <v>0</v>
      </c>
      <c r="K5" s="1"/>
      <c r="L5" s="1"/>
      <c r="M5" s="1"/>
      <c r="N5" s="1">
        <v>100</v>
      </c>
      <c r="O5" s="1"/>
      <c r="P5" s="1"/>
      <c r="Q5" s="1"/>
      <c r="R5" s="17">
        <f t="shared" si="4"/>
        <v>100</v>
      </c>
      <c r="S5" s="1"/>
      <c r="T5" s="1"/>
      <c r="U5" s="1"/>
      <c r="V5" s="1">
        <v>25</v>
      </c>
      <c r="W5" s="1"/>
      <c r="X5" s="1"/>
      <c r="Y5" s="1"/>
      <c r="Z5" s="17">
        <f t="shared" si="1"/>
        <v>25</v>
      </c>
      <c r="AA5" s="1"/>
      <c r="AB5" s="1"/>
      <c r="AC5" s="1"/>
      <c r="AD5" s="1"/>
      <c r="AE5" s="1"/>
      <c r="AF5" s="1"/>
      <c r="AG5" s="1"/>
      <c r="AH5" s="17">
        <f t="shared" si="5"/>
        <v>0</v>
      </c>
      <c r="AI5" s="1"/>
      <c r="AJ5" s="1"/>
      <c r="AK5" s="17">
        <f t="shared" si="6"/>
        <v>0</v>
      </c>
      <c r="AL5" s="7">
        <f t="shared" si="2"/>
        <v>125</v>
      </c>
    </row>
    <row r="6" spans="1:38" ht="15.5" x14ac:dyDescent="0.35">
      <c r="A6" s="12" t="s">
        <v>22</v>
      </c>
      <c r="B6" s="1">
        <v>40</v>
      </c>
      <c r="C6" s="1"/>
      <c r="D6" s="1"/>
      <c r="E6" s="1"/>
      <c r="F6" s="1"/>
      <c r="G6" s="1">
        <v>66</v>
      </c>
      <c r="H6" s="1">
        <v>12.5</v>
      </c>
      <c r="I6" s="1"/>
      <c r="J6" s="17">
        <f t="shared" si="3"/>
        <v>118.5</v>
      </c>
      <c r="K6" s="1">
        <v>90</v>
      </c>
      <c r="L6" s="1"/>
      <c r="M6" s="1">
        <v>50</v>
      </c>
      <c r="N6" s="1"/>
      <c r="O6" s="1">
        <v>30</v>
      </c>
      <c r="P6" s="1"/>
      <c r="Q6" s="1"/>
      <c r="R6" s="17">
        <f t="shared" si="4"/>
        <v>170</v>
      </c>
      <c r="S6" s="1"/>
      <c r="T6" s="1"/>
      <c r="U6" s="1"/>
      <c r="V6" s="1"/>
      <c r="W6" s="1"/>
      <c r="X6" s="1"/>
      <c r="Y6" s="1">
        <v>50</v>
      </c>
      <c r="Z6" s="17">
        <f t="shared" si="1"/>
        <v>50</v>
      </c>
      <c r="AA6" s="1">
        <v>130</v>
      </c>
      <c r="AB6" s="1"/>
      <c r="AC6" s="1"/>
      <c r="AD6" s="1"/>
      <c r="AE6" s="1">
        <v>50</v>
      </c>
      <c r="AF6" s="1"/>
      <c r="AG6" s="1">
        <v>56</v>
      </c>
      <c r="AH6" s="17">
        <f t="shared" si="5"/>
        <v>236</v>
      </c>
      <c r="AI6" s="1"/>
      <c r="AJ6" s="1"/>
      <c r="AK6" s="17">
        <f t="shared" si="6"/>
        <v>0</v>
      </c>
      <c r="AL6" s="7">
        <f t="shared" si="2"/>
        <v>574.5</v>
      </c>
    </row>
    <row r="7" spans="1:38" ht="15.5" x14ac:dyDescent="0.35">
      <c r="A7" s="12" t="s">
        <v>23</v>
      </c>
      <c r="B7" s="1">
        <f>4*150/30</f>
        <v>20</v>
      </c>
      <c r="C7" s="1">
        <f t="shared" ref="C7:G7" si="7">4*150/30</f>
        <v>20</v>
      </c>
      <c r="D7" s="1">
        <f t="shared" si="7"/>
        <v>20</v>
      </c>
      <c r="E7" s="1">
        <f t="shared" si="7"/>
        <v>20</v>
      </c>
      <c r="F7" s="1">
        <f t="shared" si="7"/>
        <v>20</v>
      </c>
      <c r="G7" s="1">
        <f t="shared" si="7"/>
        <v>20</v>
      </c>
      <c r="H7" s="1">
        <f>2*150/30</f>
        <v>10</v>
      </c>
      <c r="I7" s="1">
        <v>10</v>
      </c>
      <c r="J7" s="17">
        <f t="shared" si="3"/>
        <v>140</v>
      </c>
      <c r="K7" s="1">
        <v>10</v>
      </c>
      <c r="L7" s="1">
        <v>0</v>
      </c>
      <c r="M7" s="1">
        <v>15</v>
      </c>
      <c r="N7" s="1">
        <v>0</v>
      </c>
      <c r="O7" s="1">
        <v>0</v>
      </c>
      <c r="P7" s="1">
        <v>78</v>
      </c>
      <c r="Q7" s="1">
        <v>0</v>
      </c>
      <c r="R7" s="17">
        <f t="shared" si="4"/>
        <v>103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7">
        <f t="shared" si="1"/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40</v>
      </c>
      <c r="AG7" s="1">
        <v>0</v>
      </c>
      <c r="AH7" s="17">
        <f t="shared" si="5"/>
        <v>40</v>
      </c>
      <c r="AI7" s="1">
        <v>0</v>
      </c>
      <c r="AJ7" s="1">
        <v>0</v>
      </c>
      <c r="AK7" s="17">
        <f t="shared" si="6"/>
        <v>0</v>
      </c>
      <c r="AL7" s="7">
        <f t="shared" si="2"/>
        <v>283</v>
      </c>
    </row>
    <row r="8" spans="1:38" ht="15.5" x14ac:dyDescent="0.35">
      <c r="A8" s="12" t="s">
        <v>31</v>
      </c>
      <c r="B8" s="1"/>
      <c r="C8" s="1"/>
      <c r="D8" s="1"/>
      <c r="E8" s="1"/>
      <c r="F8" s="1"/>
      <c r="G8" s="1"/>
      <c r="H8" s="1"/>
      <c r="I8" s="1"/>
      <c r="J8" s="17">
        <f t="shared" si="3"/>
        <v>0</v>
      </c>
      <c r="K8" s="1"/>
      <c r="L8" s="1"/>
      <c r="M8" s="1"/>
      <c r="N8" s="1"/>
      <c r="O8" s="1"/>
      <c r="P8" s="1"/>
      <c r="Q8" s="1"/>
      <c r="R8" s="17">
        <f t="shared" si="4"/>
        <v>0</v>
      </c>
      <c r="S8" s="1"/>
      <c r="T8" s="1"/>
      <c r="U8" s="1"/>
      <c r="V8" s="1"/>
      <c r="W8" s="1"/>
      <c r="X8" s="1"/>
      <c r="Y8" s="1">
        <v>122</v>
      </c>
      <c r="Z8" s="17">
        <f t="shared" si="1"/>
        <v>122</v>
      </c>
      <c r="AA8" s="1"/>
      <c r="AB8" s="1"/>
      <c r="AC8" s="1"/>
      <c r="AD8" s="1"/>
      <c r="AE8" s="1"/>
      <c r="AF8" s="1">
        <v>60</v>
      </c>
      <c r="AG8" s="1">
        <v>130</v>
      </c>
      <c r="AH8" s="17">
        <f t="shared" si="5"/>
        <v>190</v>
      </c>
      <c r="AI8" s="1"/>
      <c r="AJ8" s="1">
        <v>130</v>
      </c>
      <c r="AK8" s="17">
        <f t="shared" si="6"/>
        <v>130</v>
      </c>
      <c r="AL8" s="7">
        <f t="shared" si="2"/>
        <v>442</v>
      </c>
    </row>
    <row r="9" spans="1:38" ht="15.5" x14ac:dyDescent="0.35">
      <c r="A9" s="12" t="s">
        <v>9</v>
      </c>
      <c r="B9" s="1"/>
      <c r="C9" s="1"/>
      <c r="D9" s="1"/>
      <c r="E9" s="1"/>
      <c r="F9" s="1"/>
      <c r="G9" s="1"/>
      <c r="H9" s="1">
        <v>139</v>
      </c>
      <c r="I9" s="1"/>
      <c r="J9" s="17">
        <f t="shared" si="3"/>
        <v>139</v>
      </c>
      <c r="K9" s="1"/>
      <c r="L9" s="1"/>
      <c r="M9" s="1">
        <f>211-64</f>
        <v>147</v>
      </c>
      <c r="N9" s="1"/>
      <c r="O9" s="1"/>
      <c r="P9" s="1"/>
      <c r="Q9" s="1">
        <v>48</v>
      </c>
      <c r="R9" s="17">
        <f t="shared" si="4"/>
        <v>195</v>
      </c>
      <c r="S9" s="1">
        <f>67+50</f>
        <v>117</v>
      </c>
      <c r="T9" s="1"/>
      <c r="U9" s="1"/>
      <c r="V9" s="1"/>
      <c r="W9" s="1"/>
      <c r="X9" s="1"/>
      <c r="Y9" s="1"/>
      <c r="Z9" s="17">
        <f t="shared" si="1"/>
        <v>117</v>
      </c>
      <c r="AA9" s="1"/>
      <c r="AB9" s="1"/>
      <c r="AC9" s="1"/>
      <c r="AD9" s="1"/>
      <c r="AE9" s="1"/>
      <c r="AF9" s="1"/>
      <c r="AG9" s="1"/>
      <c r="AH9" s="17">
        <f t="shared" si="5"/>
        <v>0</v>
      </c>
      <c r="AI9" s="1"/>
      <c r="AJ9" s="1"/>
      <c r="AK9" s="17">
        <f t="shared" si="6"/>
        <v>0</v>
      </c>
      <c r="AL9" s="7">
        <f t="shared" si="2"/>
        <v>451</v>
      </c>
    </row>
    <row r="10" spans="1:38" ht="31" x14ac:dyDescent="0.35">
      <c r="A10" s="26" t="s">
        <v>87</v>
      </c>
      <c r="B10" s="1"/>
      <c r="C10" s="1"/>
      <c r="D10" s="1"/>
      <c r="E10" s="1"/>
      <c r="F10" s="1"/>
      <c r="G10" s="1"/>
      <c r="H10" s="1">
        <v>501</v>
      </c>
      <c r="I10" s="1"/>
      <c r="J10" s="17">
        <f t="shared" si="3"/>
        <v>501</v>
      </c>
      <c r="K10" s="1"/>
      <c r="L10" s="1">
        <v>210</v>
      </c>
      <c r="M10" s="1"/>
      <c r="N10" s="1">
        <v>27</v>
      </c>
      <c r="O10" s="1">
        <v>138</v>
      </c>
      <c r="P10" s="1">
        <v>166</v>
      </c>
      <c r="Q10" s="1">
        <v>35</v>
      </c>
      <c r="R10" s="17">
        <f>SUM(K10:Q10)</f>
        <v>576</v>
      </c>
      <c r="S10" s="1">
        <v>315</v>
      </c>
      <c r="T10" s="1"/>
      <c r="U10" s="1"/>
      <c r="V10" s="1">
        <v>891</v>
      </c>
      <c r="W10" s="1"/>
      <c r="X10" s="1"/>
      <c r="Y10" s="1">
        <v>163</v>
      </c>
      <c r="Z10" s="17">
        <f t="shared" si="1"/>
        <v>1369</v>
      </c>
      <c r="AA10" s="1"/>
      <c r="AB10" s="1"/>
      <c r="AC10" s="1"/>
      <c r="AD10" s="1"/>
      <c r="AE10" s="1"/>
      <c r="AF10" s="1">
        <f>50+63</f>
        <v>113</v>
      </c>
      <c r="AG10" s="1">
        <v>170</v>
      </c>
      <c r="AH10" s="17">
        <f t="shared" si="5"/>
        <v>283</v>
      </c>
      <c r="AI10" s="1"/>
      <c r="AJ10" s="1">
        <v>305</v>
      </c>
      <c r="AK10" s="17">
        <f>SUM(AI10:AJ10)</f>
        <v>305</v>
      </c>
      <c r="AL10" s="7">
        <f>SUM(J10+R10+Z10+AH10+AK10)</f>
        <v>3034</v>
      </c>
    </row>
    <row r="11" spans="1:38" ht="15.5" x14ac:dyDescent="0.35">
      <c r="A11" s="12" t="s">
        <v>32</v>
      </c>
      <c r="B11" s="1"/>
      <c r="C11" s="1"/>
      <c r="D11" s="1"/>
      <c r="E11" s="1"/>
      <c r="F11" s="1">
        <v>195</v>
      </c>
      <c r="G11" s="1"/>
      <c r="H11" s="1">
        <f>28</f>
        <v>28</v>
      </c>
      <c r="I11" s="1"/>
      <c r="J11" s="17">
        <f t="shared" si="3"/>
        <v>223</v>
      </c>
      <c r="K11" s="1"/>
      <c r="L11" s="1"/>
      <c r="M11" s="1">
        <v>64</v>
      </c>
      <c r="N11" s="1">
        <v>15</v>
      </c>
      <c r="O11" s="1"/>
      <c r="P11" s="1"/>
      <c r="Q11" s="1">
        <f>439-48</f>
        <v>391</v>
      </c>
      <c r="R11" s="17">
        <f t="shared" si="4"/>
        <v>470</v>
      </c>
      <c r="S11" s="1">
        <f>196-S9</f>
        <v>79</v>
      </c>
      <c r="T11" s="1"/>
      <c r="U11" s="1"/>
      <c r="V11" s="1">
        <v>283</v>
      </c>
      <c r="W11" s="1"/>
      <c r="X11" s="1"/>
      <c r="Y11" s="1"/>
      <c r="Z11" s="17">
        <f t="shared" si="1"/>
        <v>362</v>
      </c>
      <c r="AA11" s="1"/>
      <c r="AB11" s="1"/>
      <c r="AC11" s="1"/>
      <c r="AD11" s="1">
        <v>261</v>
      </c>
      <c r="AE11" s="1"/>
      <c r="AF11" s="1"/>
      <c r="AG11" s="1"/>
      <c r="AH11" s="17">
        <f t="shared" si="5"/>
        <v>261</v>
      </c>
      <c r="AI11" s="1"/>
      <c r="AJ11" s="1"/>
      <c r="AK11" s="17">
        <f t="shared" si="6"/>
        <v>0</v>
      </c>
      <c r="AL11" s="7">
        <f t="shared" si="2"/>
        <v>1316</v>
      </c>
    </row>
    <row r="12" spans="1:38" ht="15.5" x14ac:dyDescent="0.35">
      <c r="A12" s="35" t="s">
        <v>41</v>
      </c>
      <c r="B12" s="1"/>
      <c r="C12" s="1"/>
      <c r="D12" s="1"/>
      <c r="E12" s="1"/>
      <c r="F12" s="1">
        <v>4756</v>
      </c>
      <c r="G12" s="1"/>
      <c r="H12" s="1"/>
      <c r="I12" s="1"/>
      <c r="J12" s="17">
        <f t="shared" ref="J12:J16" si="8">SUM(C12:I12)</f>
        <v>4756</v>
      </c>
      <c r="K12" s="1"/>
      <c r="L12" s="1"/>
      <c r="M12" s="1"/>
      <c r="N12" s="1"/>
      <c r="O12" s="1"/>
      <c r="P12" s="1"/>
      <c r="Q12" s="1"/>
      <c r="R12" s="17">
        <f t="shared" si="4"/>
        <v>0</v>
      </c>
      <c r="S12" s="1"/>
      <c r="T12" s="1"/>
      <c r="U12" s="1"/>
      <c r="V12" s="1"/>
      <c r="W12" s="1"/>
      <c r="X12" s="1"/>
      <c r="Y12" s="1"/>
      <c r="Z12" s="17">
        <f t="shared" si="1"/>
        <v>0</v>
      </c>
      <c r="AA12" s="1"/>
      <c r="AB12" s="1"/>
      <c r="AC12" s="1"/>
      <c r="AD12" s="1"/>
      <c r="AE12" s="1"/>
      <c r="AF12" s="1"/>
      <c r="AG12" s="1"/>
      <c r="AH12" s="17">
        <f t="shared" si="5"/>
        <v>0</v>
      </c>
      <c r="AI12" s="1"/>
      <c r="AJ12" s="1"/>
      <c r="AK12" s="17">
        <f t="shared" si="6"/>
        <v>0</v>
      </c>
      <c r="AL12" s="7">
        <f t="shared" ref="AL12:AL18" si="9">J12+R12+Z12+AH12+AK12</f>
        <v>4756</v>
      </c>
    </row>
    <row r="13" spans="1:38" ht="15.5" x14ac:dyDescent="0.35">
      <c r="A13" s="35" t="s">
        <v>33</v>
      </c>
      <c r="B13" s="1"/>
      <c r="C13" s="1"/>
      <c r="D13" s="1"/>
      <c r="E13" s="1"/>
      <c r="F13" s="1"/>
      <c r="G13" s="1"/>
      <c r="H13" s="1"/>
      <c r="I13" s="1"/>
      <c r="J13" s="17">
        <f t="shared" si="8"/>
        <v>0</v>
      </c>
      <c r="K13" s="1"/>
      <c r="L13" s="1">
        <v>4500</v>
      </c>
      <c r="M13" s="1"/>
      <c r="N13" s="1"/>
      <c r="O13" s="1"/>
      <c r="P13" s="1"/>
      <c r="Q13" s="1"/>
      <c r="R13" s="17">
        <f t="shared" si="4"/>
        <v>4500</v>
      </c>
      <c r="S13" s="1"/>
      <c r="T13" s="1"/>
      <c r="U13" s="1"/>
      <c r="V13" s="1"/>
      <c r="W13" s="1"/>
      <c r="X13" s="1"/>
      <c r="Y13" s="1"/>
      <c r="Z13" s="17">
        <f t="shared" si="1"/>
        <v>0</v>
      </c>
      <c r="AA13" s="1"/>
      <c r="AB13" s="1"/>
      <c r="AC13" s="1"/>
      <c r="AD13" s="1"/>
      <c r="AE13" s="1"/>
      <c r="AF13" s="1"/>
      <c r="AG13" s="1"/>
      <c r="AH13" s="17">
        <f t="shared" si="5"/>
        <v>0</v>
      </c>
      <c r="AI13" s="1"/>
      <c r="AJ13" s="1"/>
      <c r="AK13" s="17">
        <f t="shared" si="6"/>
        <v>0</v>
      </c>
      <c r="AL13" s="7">
        <f t="shared" si="9"/>
        <v>4500</v>
      </c>
    </row>
    <row r="14" spans="1:38" ht="15.5" x14ac:dyDescent="0.35">
      <c r="A14" s="35" t="s">
        <v>34</v>
      </c>
      <c r="B14" s="1"/>
      <c r="C14" s="1"/>
      <c r="D14" s="1"/>
      <c r="E14" s="1"/>
      <c r="F14" s="1"/>
      <c r="G14" s="1"/>
      <c r="H14" s="1"/>
      <c r="I14" s="1"/>
      <c r="J14" s="17">
        <f t="shared" si="8"/>
        <v>0</v>
      </c>
      <c r="K14" s="1"/>
      <c r="L14" s="1"/>
      <c r="M14" s="1"/>
      <c r="N14" s="1"/>
      <c r="O14" s="1"/>
      <c r="P14" s="1"/>
      <c r="Q14" s="1"/>
      <c r="R14" s="17">
        <f t="shared" si="4"/>
        <v>0</v>
      </c>
      <c r="S14" s="1"/>
      <c r="T14" s="1"/>
      <c r="U14" s="1"/>
      <c r="V14" s="1"/>
      <c r="W14" s="1"/>
      <c r="X14" s="1"/>
      <c r="Y14" s="1"/>
      <c r="Z14" s="17">
        <f t="shared" si="1"/>
        <v>0</v>
      </c>
      <c r="AA14" s="1"/>
      <c r="AB14" s="1"/>
      <c r="AC14" s="1"/>
      <c r="AD14" s="1"/>
      <c r="AE14" s="1"/>
      <c r="AF14" s="1"/>
      <c r="AG14" s="1"/>
      <c r="AH14" s="17">
        <f t="shared" si="5"/>
        <v>0</v>
      </c>
      <c r="AI14" s="1"/>
      <c r="AJ14" s="1"/>
      <c r="AK14" s="17">
        <f t="shared" si="6"/>
        <v>0</v>
      </c>
      <c r="AL14" s="7">
        <f t="shared" si="9"/>
        <v>0</v>
      </c>
    </row>
    <row r="15" spans="1:38" ht="15.5" x14ac:dyDescent="0.35">
      <c r="A15" s="12" t="s">
        <v>36</v>
      </c>
      <c r="B15" s="1"/>
      <c r="C15" s="1"/>
      <c r="D15" s="1"/>
      <c r="E15" s="1"/>
      <c r="F15" s="1"/>
      <c r="G15" s="1">
        <v>10000</v>
      </c>
      <c r="H15" s="1"/>
      <c r="I15" s="1"/>
      <c r="J15" s="17">
        <f t="shared" si="8"/>
        <v>10000</v>
      </c>
      <c r="K15" s="1"/>
      <c r="L15" s="1"/>
      <c r="M15" s="1"/>
      <c r="N15" s="1"/>
      <c r="O15" s="1">
        <v>200</v>
      </c>
      <c r="P15" s="1"/>
      <c r="Q15" s="1"/>
      <c r="R15" s="17">
        <f t="shared" si="4"/>
        <v>200</v>
      </c>
      <c r="S15" s="1"/>
      <c r="T15" s="1"/>
      <c r="U15" s="1"/>
      <c r="V15" s="1"/>
      <c r="W15" s="1"/>
      <c r="X15" s="1"/>
      <c r="Y15" s="1"/>
      <c r="Z15" s="17">
        <f t="shared" si="1"/>
        <v>0</v>
      </c>
      <c r="AA15" s="1"/>
      <c r="AB15" s="1"/>
      <c r="AC15" s="1"/>
      <c r="AD15" s="1"/>
      <c r="AE15" s="1"/>
      <c r="AF15" s="1"/>
      <c r="AG15" s="1"/>
      <c r="AH15" s="17">
        <f t="shared" si="5"/>
        <v>0</v>
      </c>
      <c r="AI15" s="1"/>
      <c r="AJ15" s="1"/>
      <c r="AK15" s="17">
        <f t="shared" si="6"/>
        <v>0</v>
      </c>
      <c r="AL15" s="7">
        <f t="shared" si="9"/>
        <v>10200</v>
      </c>
    </row>
    <row r="16" spans="1:38" ht="15.5" x14ac:dyDescent="0.35">
      <c r="A16" s="12" t="s">
        <v>37</v>
      </c>
      <c r="B16" s="1"/>
      <c r="C16" s="1"/>
      <c r="D16" s="1"/>
      <c r="E16" s="1"/>
      <c r="F16" s="1"/>
      <c r="G16" s="1"/>
      <c r="H16" s="1"/>
      <c r="I16" s="1"/>
      <c r="J16" s="17">
        <f t="shared" si="8"/>
        <v>0</v>
      </c>
      <c r="K16" s="1"/>
      <c r="L16" s="30">
        <v>2799</v>
      </c>
      <c r="M16" s="1"/>
      <c r="N16" s="1"/>
      <c r="O16" s="1"/>
      <c r="P16" s="1"/>
      <c r="Q16" s="1"/>
      <c r="R16" s="17">
        <f t="shared" si="4"/>
        <v>2799</v>
      </c>
      <c r="S16" s="1"/>
      <c r="T16" s="1"/>
      <c r="U16" s="1"/>
      <c r="V16" s="1">
        <v>290</v>
      </c>
      <c r="W16" s="1"/>
      <c r="X16" s="1"/>
      <c r="Y16" s="1"/>
      <c r="Z16" s="17">
        <f t="shared" si="1"/>
        <v>290</v>
      </c>
      <c r="AA16" s="1"/>
      <c r="AB16" s="1"/>
      <c r="AC16" s="1"/>
      <c r="AD16" s="1"/>
      <c r="AE16" s="1"/>
      <c r="AF16" s="1">
        <v>280</v>
      </c>
      <c r="AG16" s="1"/>
      <c r="AH16" s="17">
        <f t="shared" si="5"/>
        <v>280</v>
      </c>
      <c r="AI16" s="1"/>
      <c r="AJ16" s="1"/>
      <c r="AK16" s="17">
        <f t="shared" si="6"/>
        <v>0</v>
      </c>
      <c r="AL16" s="7">
        <f t="shared" si="9"/>
        <v>3369</v>
      </c>
    </row>
    <row r="17" spans="1:38" ht="15.5" x14ac:dyDescent="0.35">
      <c r="A17" s="13" t="s">
        <v>39</v>
      </c>
      <c r="B17" s="9"/>
      <c r="C17" s="9"/>
      <c r="D17" s="9">
        <v>2678</v>
      </c>
      <c r="E17" s="9">
        <f>865+280</f>
        <v>1145</v>
      </c>
      <c r="F17" s="9">
        <f>83</f>
        <v>83</v>
      </c>
      <c r="G17" s="9">
        <f>1112+100</f>
        <v>1212</v>
      </c>
      <c r="H17" s="9"/>
      <c r="I17" s="9"/>
      <c r="J17" s="17">
        <f>SUM(B17:I17)</f>
        <v>5118</v>
      </c>
      <c r="K17" s="9">
        <v>4000</v>
      </c>
      <c r="L17" s="9"/>
      <c r="M17" s="9"/>
      <c r="N17" s="9"/>
      <c r="O17" s="9"/>
      <c r="P17" s="9"/>
      <c r="Q17" s="9"/>
      <c r="R17" s="17">
        <f t="shared" si="4"/>
        <v>4000</v>
      </c>
      <c r="S17" s="9"/>
      <c r="T17" s="9"/>
      <c r="U17" s="9"/>
      <c r="V17" s="9"/>
      <c r="W17" s="9"/>
      <c r="X17" s="9"/>
      <c r="Y17" s="9"/>
      <c r="Z17" s="17">
        <f t="shared" si="1"/>
        <v>0</v>
      </c>
      <c r="AA17" s="9"/>
      <c r="AB17" s="9"/>
      <c r="AC17" s="9">
        <f>1110+649</f>
        <v>1759</v>
      </c>
      <c r="AD17" s="9">
        <v>350</v>
      </c>
      <c r="AE17" s="9">
        <f>3000</f>
        <v>3000</v>
      </c>
      <c r="AF17" s="9"/>
      <c r="AG17" s="9"/>
      <c r="AH17" s="17">
        <f t="shared" si="5"/>
        <v>5109</v>
      </c>
      <c r="AI17" s="9"/>
      <c r="AJ17" s="9"/>
      <c r="AK17" s="17">
        <f t="shared" si="6"/>
        <v>0</v>
      </c>
      <c r="AL17" s="7">
        <f t="shared" si="9"/>
        <v>14227</v>
      </c>
    </row>
    <row r="18" spans="1:38" ht="15.5" x14ac:dyDescent="0.35">
      <c r="A18" s="13" t="s">
        <v>40</v>
      </c>
      <c r="B18" s="9"/>
      <c r="C18" s="9"/>
      <c r="D18" s="9"/>
      <c r="E18" s="9">
        <f>-575</f>
        <v>-575</v>
      </c>
      <c r="F18" s="9">
        <f>-(117+100+736)</f>
        <v>-953</v>
      </c>
      <c r="G18" s="9">
        <f>-903</f>
        <v>-903</v>
      </c>
      <c r="H18" s="9"/>
      <c r="I18" s="9"/>
      <c r="J18" s="17">
        <f>SUM(B18:I18)</f>
        <v>-2431</v>
      </c>
      <c r="K18" s="9"/>
      <c r="L18" s="9">
        <f>-1166-291-488</f>
        <v>-1945</v>
      </c>
      <c r="M18" s="9"/>
      <c r="N18" s="9">
        <v>-25</v>
      </c>
      <c r="O18" s="9"/>
      <c r="P18" s="9"/>
      <c r="Q18" s="9"/>
      <c r="R18" s="17">
        <f>SUM(K18:Q18)</f>
        <v>-1970</v>
      </c>
      <c r="S18" s="9"/>
      <c r="T18" s="9"/>
      <c r="U18" s="9"/>
      <c r="V18" s="9"/>
      <c r="W18" s="9"/>
      <c r="X18" s="9"/>
      <c r="Y18" s="9"/>
      <c r="Z18" s="17">
        <f t="shared" si="1"/>
        <v>0</v>
      </c>
      <c r="AA18" s="9"/>
      <c r="AB18" s="9"/>
      <c r="AC18" s="9"/>
      <c r="AD18" s="9"/>
      <c r="AE18" s="9"/>
      <c r="AF18" s="9">
        <v>-2795</v>
      </c>
      <c r="AG18" s="9"/>
      <c r="AH18" s="18">
        <f>SUM(AA18:AG18)</f>
        <v>-2795</v>
      </c>
      <c r="AI18" s="9"/>
      <c r="AJ18" s="9"/>
      <c r="AK18" s="17">
        <f t="shared" si="6"/>
        <v>0</v>
      </c>
      <c r="AL18" s="7">
        <f t="shared" si="9"/>
        <v>-7196</v>
      </c>
    </row>
    <row r="19" spans="1:38" ht="15.5" x14ac:dyDescent="0.35">
      <c r="A19" s="32" t="s">
        <v>16</v>
      </c>
      <c r="B19" s="33">
        <f t="shared" ref="B19:AL19" si="10">SUM(B3:B18)</f>
        <v>114</v>
      </c>
      <c r="C19" s="33">
        <f t="shared" si="10"/>
        <v>134</v>
      </c>
      <c r="D19" s="33">
        <f t="shared" si="10"/>
        <v>2752</v>
      </c>
      <c r="E19" s="33">
        <f t="shared" si="10"/>
        <v>644</v>
      </c>
      <c r="F19" s="33">
        <f t="shared" si="10"/>
        <v>4155</v>
      </c>
      <c r="G19" s="33">
        <f t="shared" si="10"/>
        <v>10469</v>
      </c>
      <c r="H19" s="33">
        <f t="shared" si="10"/>
        <v>690.5</v>
      </c>
      <c r="I19" s="33">
        <f t="shared" si="10"/>
        <v>10</v>
      </c>
      <c r="J19" s="33">
        <f t="shared" si="10"/>
        <v>18968.5</v>
      </c>
      <c r="K19" s="33">
        <f t="shared" si="10"/>
        <v>4189</v>
      </c>
      <c r="L19" s="33">
        <f t="shared" si="10"/>
        <v>5618</v>
      </c>
      <c r="M19" s="33">
        <f t="shared" si="10"/>
        <v>330</v>
      </c>
      <c r="N19" s="33">
        <f t="shared" si="10"/>
        <v>171</v>
      </c>
      <c r="O19" s="33">
        <f t="shared" si="10"/>
        <v>422</v>
      </c>
      <c r="P19" s="33">
        <f t="shared" si="10"/>
        <v>316</v>
      </c>
      <c r="Q19" s="33">
        <f t="shared" si="10"/>
        <v>474</v>
      </c>
      <c r="R19" s="33">
        <f t="shared" si="10"/>
        <v>11520</v>
      </c>
      <c r="S19" s="33">
        <f t="shared" si="10"/>
        <v>600</v>
      </c>
      <c r="T19" s="33">
        <f t="shared" si="10"/>
        <v>0</v>
      </c>
      <c r="U19" s="33">
        <f t="shared" si="10"/>
        <v>99</v>
      </c>
      <c r="V19" s="33">
        <f t="shared" si="10"/>
        <v>1989</v>
      </c>
      <c r="W19" s="33">
        <f t="shared" si="10"/>
        <v>0</v>
      </c>
      <c r="X19" s="33">
        <f t="shared" si="10"/>
        <v>0</v>
      </c>
      <c r="Y19" s="33">
        <f t="shared" si="10"/>
        <v>335</v>
      </c>
      <c r="Z19" s="33">
        <f t="shared" si="10"/>
        <v>3023</v>
      </c>
      <c r="AA19" s="33">
        <f t="shared" si="10"/>
        <v>130</v>
      </c>
      <c r="AB19" s="33">
        <f t="shared" si="10"/>
        <v>0</v>
      </c>
      <c r="AC19" s="33">
        <f t="shared" si="10"/>
        <v>1759</v>
      </c>
      <c r="AD19" s="33">
        <f t="shared" si="10"/>
        <v>611</v>
      </c>
      <c r="AE19" s="33">
        <f t="shared" si="10"/>
        <v>3050</v>
      </c>
      <c r="AF19" s="33">
        <f t="shared" si="10"/>
        <v>-2302</v>
      </c>
      <c r="AG19" s="33">
        <f t="shared" si="10"/>
        <v>356</v>
      </c>
      <c r="AH19" s="33">
        <f t="shared" si="10"/>
        <v>3604</v>
      </c>
      <c r="AI19" s="33">
        <f t="shared" si="10"/>
        <v>65</v>
      </c>
      <c r="AJ19" s="33">
        <f t="shared" si="10"/>
        <v>470</v>
      </c>
      <c r="AK19" s="33">
        <f t="shared" si="10"/>
        <v>535</v>
      </c>
      <c r="AL19" s="34">
        <f t="shared" si="10"/>
        <v>37650.5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3364-9EEA-4A40-A58E-90299B86EC02}">
  <dimension ref="A1:F27"/>
  <sheetViews>
    <sheetView workbookViewId="0">
      <selection activeCell="F10" sqref="F10"/>
    </sheetView>
  </sheetViews>
  <sheetFormatPr defaultRowHeight="14" x14ac:dyDescent="0.3"/>
  <cols>
    <col min="1" max="1" width="11.75" style="56" customWidth="1"/>
    <col min="2" max="2" width="35.9140625" style="49" customWidth="1"/>
    <col min="3" max="3" width="27.83203125" style="49" customWidth="1"/>
    <col min="4" max="4" width="18.25" style="56" customWidth="1"/>
  </cols>
  <sheetData>
    <row r="1" spans="1:6" x14ac:dyDescent="0.3">
      <c r="A1" s="56" t="s">
        <v>128</v>
      </c>
    </row>
    <row r="2" spans="1:6" s="48" customFormat="1" ht="28" x14ac:dyDescent="0.3">
      <c r="A2" s="51" t="s">
        <v>122</v>
      </c>
      <c r="B2" s="47" t="s">
        <v>123</v>
      </c>
      <c r="C2" s="47" t="s">
        <v>124</v>
      </c>
      <c r="D2" s="51" t="s">
        <v>135</v>
      </c>
    </row>
    <row r="3" spans="1:6" x14ac:dyDescent="0.3">
      <c r="A3" s="52">
        <v>1</v>
      </c>
      <c r="B3" s="46" t="s">
        <v>127</v>
      </c>
      <c r="C3" s="46">
        <v>12000</v>
      </c>
      <c r="D3" s="52">
        <f>C3*2</f>
        <v>24000</v>
      </c>
    </row>
    <row r="4" spans="1:6" x14ac:dyDescent="0.3">
      <c r="A4" s="52">
        <v>2</v>
      </c>
      <c r="B4" s="46" t="s">
        <v>126</v>
      </c>
      <c r="C4" s="46">
        <v>7000</v>
      </c>
      <c r="D4" s="52">
        <f t="shared" ref="D4:D5" si="0">C4*12</f>
        <v>84000</v>
      </c>
      <c r="F4" s="71"/>
    </row>
    <row r="5" spans="1:6" x14ac:dyDescent="0.3">
      <c r="A5" s="52">
        <v>3</v>
      </c>
      <c r="B5" s="46" t="s">
        <v>125</v>
      </c>
      <c r="C5" s="46">
        <v>10000</v>
      </c>
      <c r="D5" s="52">
        <f t="shared" si="0"/>
        <v>120000</v>
      </c>
      <c r="F5" s="71"/>
    </row>
    <row r="6" spans="1:6" x14ac:dyDescent="0.3">
      <c r="C6" s="54" t="s">
        <v>16</v>
      </c>
      <c r="D6" s="57">
        <f>SUM(D3:D5)</f>
        <v>228000</v>
      </c>
    </row>
    <row r="8" spans="1:6" ht="28" x14ac:dyDescent="0.3">
      <c r="A8" s="56" t="s">
        <v>129</v>
      </c>
    </row>
    <row r="9" spans="1:6" x14ac:dyDescent="0.3">
      <c r="A9" s="55" t="s">
        <v>122</v>
      </c>
      <c r="B9" s="53" t="s">
        <v>130</v>
      </c>
      <c r="C9" s="53" t="s">
        <v>136</v>
      </c>
      <c r="D9" s="55"/>
    </row>
    <row r="10" spans="1:6" x14ac:dyDescent="0.3">
      <c r="A10" s="3">
        <v>1</v>
      </c>
      <c r="B10" s="54" t="s">
        <v>1</v>
      </c>
      <c r="C10" s="50">
        <f>1000000</f>
        <v>1000000</v>
      </c>
      <c r="D10" s="58">
        <f>C10/12</f>
        <v>83333.333333333328</v>
      </c>
    </row>
    <row r="11" spans="1:6" x14ac:dyDescent="0.3">
      <c r="A11" s="3">
        <v>2</v>
      </c>
      <c r="B11" s="54" t="s">
        <v>138</v>
      </c>
      <c r="C11" s="54"/>
      <c r="D11" s="3"/>
    </row>
    <row r="12" spans="1:6" x14ac:dyDescent="0.3">
      <c r="A12" s="3">
        <v>3</v>
      </c>
      <c r="B12" s="54"/>
      <c r="C12" s="54"/>
      <c r="D12" s="3"/>
    </row>
    <row r="13" spans="1:6" x14ac:dyDescent="0.3">
      <c r="A13" s="3">
        <v>4</v>
      </c>
      <c r="B13" s="54"/>
      <c r="C13" s="54"/>
      <c r="D13" s="3"/>
    </row>
    <row r="16" spans="1:6" x14ac:dyDescent="0.3">
      <c r="A16" s="3" t="s">
        <v>133</v>
      </c>
      <c r="B16" s="54" t="s">
        <v>123</v>
      </c>
      <c r="C16" s="54"/>
      <c r="D16" s="3"/>
    </row>
    <row r="17" spans="1:4" x14ac:dyDescent="0.3">
      <c r="A17" s="3">
        <v>1</v>
      </c>
      <c r="B17" s="54" t="s">
        <v>137</v>
      </c>
      <c r="C17" s="54"/>
      <c r="D17" s="3"/>
    </row>
    <row r="18" spans="1:4" x14ac:dyDescent="0.3">
      <c r="A18" s="3">
        <v>2</v>
      </c>
      <c r="B18" s="54" t="s">
        <v>139</v>
      </c>
      <c r="C18" s="54"/>
      <c r="D18" s="3"/>
    </row>
    <row r="19" spans="1:4" x14ac:dyDescent="0.3">
      <c r="A19" s="3">
        <v>3</v>
      </c>
      <c r="B19" s="54" t="s">
        <v>148</v>
      </c>
      <c r="C19" s="54"/>
      <c r="D19" s="3"/>
    </row>
    <row r="21" spans="1:4" x14ac:dyDescent="0.3">
      <c r="A21" s="56" t="s">
        <v>140</v>
      </c>
    </row>
    <row r="22" spans="1:4" x14ac:dyDescent="0.3">
      <c r="A22" s="3" t="s">
        <v>122</v>
      </c>
      <c r="B22" s="54"/>
      <c r="C22" s="54"/>
      <c r="D22" s="3"/>
    </row>
    <row r="23" spans="1:4" x14ac:dyDescent="0.3">
      <c r="A23" s="3">
        <v>1</v>
      </c>
      <c r="B23" s="54" t="s">
        <v>141</v>
      </c>
      <c r="C23" s="54"/>
      <c r="D23" s="3" t="s">
        <v>143</v>
      </c>
    </row>
    <row r="24" spans="1:4" x14ac:dyDescent="0.3">
      <c r="A24" s="3"/>
      <c r="B24" s="54"/>
      <c r="C24" s="54" t="s">
        <v>144</v>
      </c>
      <c r="D24" s="3"/>
    </row>
    <row r="25" spans="1:4" x14ac:dyDescent="0.3">
      <c r="A25" s="3"/>
      <c r="B25" s="54"/>
      <c r="C25" s="54"/>
      <c r="D25" s="3" t="s">
        <v>145</v>
      </c>
    </row>
    <row r="26" spans="1:4" ht="42" x14ac:dyDescent="0.3">
      <c r="A26" s="3"/>
      <c r="B26" s="54"/>
      <c r="C26" s="54"/>
      <c r="D26" s="3" t="s">
        <v>146</v>
      </c>
    </row>
    <row r="27" spans="1:4" ht="28" x14ac:dyDescent="0.3">
      <c r="A27" s="3"/>
      <c r="B27" s="54"/>
      <c r="C27" s="54"/>
      <c r="D27" s="3" t="s">
        <v>147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6EDB-EDE4-4740-9C1E-3159DA89EF50}">
  <dimension ref="A1:AH9"/>
  <sheetViews>
    <sheetView topLeftCell="A2" workbookViewId="0">
      <selection activeCell="I8" sqref="I8"/>
    </sheetView>
  </sheetViews>
  <sheetFormatPr defaultRowHeight="14" x14ac:dyDescent="0.3"/>
  <cols>
    <col min="1" max="1" width="19.25" style="63" customWidth="1"/>
    <col min="2" max="2" width="10.4140625" customWidth="1"/>
    <col min="7" max="7" width="16.4140625" customWidth="1"/>
    <col min="9" max="9" width="22.58203125" style="49" customWidth="1"/>
  </cols>
  <sheetData>
    <row r="1" spans="1:34" s="48" customFormat="1" x14ac:dyDescent="0.3">
      <c r="A1" s="23" t="s">
        <v>131</v>
      </c>
      <c r="B1" s="10">
        <v>44713</v>
      </c>
      <c r="C1" s="10">
        <v>44714</v>
      </c>
      <c r="D1" s="10">
        <v>44715</v>
      </c>
      <c r="E1" s="10">
        <v>44716</v>
      </c>
      <c r="F1" s="10">
        <v>44717</v>
      </c>
      <c r="G1" s="16" t="s">
        <v>156</v>
      </c>
      <c r="H1" s="10">
        <v>44718</v>
      </c>
      <c r="I1" s="62">
        <v>44719</v>
      </c>
      <c r="J1" s="10">
        <v>44720</v>
      </c>
      <c r="K1" s="10">
        <v>44721</v>
      </c>
      <c r="L1" s="10">
        <v>44722</v>
      </c>
      <c r="M1" s="10">
        <v>44723</v>
      </c>
      <c r="N1" s="10">
        <v>44724</v>
      </c>
      <c r="O1" s="16" t="s">
        <v>63</v>
      </c>
      <c r="P1" s="10">
        <v>44725</v>
      </c>
      <c r="Q1" s="10">
        <v>44726</v>
      </c>
      <c r="R1" s="10">
        <v>44727</v>
      </c>
      <c r="S1" s="10">
        <v>44728</v>
      </c>
      <c r="T1" s="10">
        <v>44729</v>
      </c>
      <c r="U1" s="10">
        <v>44730</v>
      </c>
      <c r="V1" s="10">
        <v>44731</v>
      </c>
      <c r="W1" s="16" t="s">
        <v>64</v>
      </c>
      <c r="X1" s="10">
        <v>44732</v>
      </c>
      <c r="Y1" s="10">
        <v>44733</v>
      </c>
      <c r="Z1" s="10">
        <v>44734</v>
      </c>
      <c r="AA1" s="10">
        <v>44735</v>
      </c>
      <c r="AB1" s="10">
        <v>44736</v>
      </c>
      <c r="AC1" s="10">
        <v>44737</v>
      </c>
      <c r="AD1" s="10">
        <v>44738</v>
      </c>
      <c r="AE1" s="10" t="s">
        <v>157</v>
      </c>
      <c r="AF1" s="10">
        <v>44739</v>
      </c>
      <c r="AG1" s="10">
        <v>44740</v>
      </c>
      <c r="AH1" s="10">
        <v>44741</v>
      </c>
    </row>
    <row r="2" spans="1:34" x14ac:dyDescent="0.3">
      <c r="A2" s="23"/>
      <c r="B2" s="59" t="s">
        <v>27</v>
      </c>
      <c r="C2" s="59" t="s">
        <v>28</v>
      </c>
      <c r="D2" s="59" t="s">
        <v>29</v>
      </c>
      <c r="E2" s="59" t="s">
        <v>30</v>
      </c>
      <c r="F2" s="59" t="s">
        <v>24</v>
      </c>
      <c r="G2" s="64"/>
      <c r="H2" s="59" t="s">
        <v>25</v>
      </c>
      <c r="I2" s="60" t="s">
        <v>26</v>
      </c>
      <c r="J2" s="59" t="s">
        <v>27</v>
      </c>
      <c r="K2" s="59" t="s">
        <v>28</v>
      </c>
      <c r="L2" s="59" t="s">
        <v>29</v>
      </c>
      <c r="M2" s="59" t="s">
        <v>30</v>
      </c>
      <c r="N2" s="59" t="s">
        <v>24</v>
      </c>
      <c r="O2" s="64"/>
      <c r="P2" s="59" t="s">
        <v>25</v>
      </c>
      <c r="Q2" s="59" t="s">
        <v>26</v>
      </c>
      <c r="R2" s="59" t="s">
        <v>27</v>
      </c>
      <c r="S2" s="59" t="s">
        <v>28</v>
      </c>
      <c r="T2" s="59" t="s">
        <v>29</v>
      </c>
      <c r="U2" s="59" t="s">
        <v>30</v>
      </c>
      <c r="V2" s="59" t="s">
        <v>24</v>
      </c>
      <c r="W2" s="64"/>
      <c r="X2" s="59" t="s">
        <v>25</v>
      </c>
      <c r="Y2" s="59" t="s">
        <v>26</v>
      </c>
      <c r="Z2" s="59" t="s">
        <v>27</v>
      </c>
      <c r="AA2" s="59" t="s">
        <v>28</v>
      </c>
      <c r="AB2" s="59" t="s">
        <v>29</v>
      </c>
      <c r="AC2" s="59" t="s">
        <v>30</v>
      </c>
      <c r="AD2" s="59" t="s">
        <v>24</v>
      </c>
      <c r="AE2" s="59"/>
      <c r="AF2" s="59" t="s">
        <v>25</v>
      </c>
      <c r="AG2" s="59" t="s">
        <v>26</v>
      </c>
      <c r="AH2" s="59" t="s">
        <v>27</v>
      </c>
    </row>
    <row r="3" spans="1:34" x14ac:dyDescent="0.3">
      <c r="A3" s="23" t="s">
        <v>154</v>
      </c>
      <c r="B3" s="59"/>
      <c r="C3" s="59"/>
      <c r="D3" s="59"/>
      <c r="E3" s="59"/>
      <c r="F3" s="59"/>
      <c r="G3" s="64"/>
      <c r="H3" s="59"/>
      <c r="I3" s="60"/>
      <c r="J3" s="59"/>
      <c r="K3" s="59"/>
      <c r="L3" s="59"/>
      <c r="M3" s="59"/>
      <c r="N3" s="59"/>
      <c r="O3" s="64"/>
      <c r="P3" s="59"/>
      <c r="Q3" s="59"/>
      <c r="R3" s="59"/>
      <c r="S3" s="59"/>
      <c r="T3" s="59"/>
      <c r="U3" s="59"/>
      <c r="V3" s="59"/>
      <c r="W3" s="64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4" s="70" customFormat="1" ht="70" x14ac:dyDescent="0.3">
      <c r="A4" s="65" t="s">
        <v>153</v>
      </c>
      <c r="B4" s="66"/>
      <c r="C4" s="66"/>
      <c r="D4" s="66"/>
      <c r="E4" s="66"/>
      <c r="F4" s="66"/>
      <c r="G4" s="67" t="s">
        <v>159</v>
      </c>
      <c r="H4" s="66"/>
      <c r="I4" s="68"/>
      <c r="J4" s="66"/>
      <c r="K4" s="66"/>
      <c r="L4" s="66"/>
      <c r="M4" s="66"/>
      <c r="N4" s="66"/>
      <c r="O4" s="69"/>
      <c r="P4" s="66"/>
      <c r="Q4" s="66"/>
      <c r="R4" s="66"/>
      <c r="S4" s="66"/>
      <c r="T4" s="66"/>
      <c r="U4" s="66"/>
      <c r="V4" s="66"/>
      <c r="W4" s="69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ht="42" x14ac:dyDescent="0.3">
      <c r="A5" s="23" t="s">
        <v>150</v>
      </c>
      <c r="B5" s="59"/>
      <c r="C5" s="59"/>
      <c r="D5" s="59"/>
      <c r="E5" s="59"/>
      <c r="F5" s="59"/>
      <c r="G5" s="64"/>
      <c r="H5" s="59"/>
      <c r="I5" s="61" t="s">
        <v>155</v>
      </c>
      <c r="J5" s="59"/>
      <c r="K5" s="59"/>
      <c r="L5" s="59"/>
      <c r="M5" s="59"/>
      <c r="N5" s="59"/>
      <c r="O5" s="64"/>
      <c r="P5" s="59"/>
      <c r="Q5" s="59"/>
      <c r="R5" s="59"/>
      <c r="S5" s="59"/>
      <c r="T5" s="59"/>
      <c r="U5" s="59"/>
      <c r="V5" s="59"/>
      <c r="W5" s="64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4" ht="84" x14ac:dyDescent="0.3">
      <c r="A6" s="23" t="s">
        <v>142</v>
      </c>
      <c r="B6" s="1"/>
      <c r="C6" s="1"/>
      <c r="D6" s="1"/>
      <c r="E6" s="1"/>
      <c r="F6" s="1"/>
      <c r="G6" s="17"/>
      <c r="H6" s="1"/>
      <c r="I6" s="3" t="s">
        <v>158</v>
      </c>
      <c r="J6" s="1"/>
      <c r="K6" s="1"/>
      <c r="L6" s="1"/>
      <c r="M6" s="1"/>
      <c r="N6" s="1"/>
      <c r="O6" s="17"/>
      <c r="P6" s="1"/>
      <c r="Q6" s="1"/>
      <c r="R6" s="1"/>
      <c r="S6" s="1"/>
      <c r="T6" s="1"/>
      <c r="U6" s="1"/>
      <c r="V6" s="1"/>
      <c r="W6" s="17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42" x14ac:dyDescent="0.3">
      <c r="A7" s="23" t="s">
        <v>149</v>
      </c>
      <c r="B7" s="1"/>
      <c r="C7" s="1"/>
      <c r="D7" s="1"/>
      <c r="E7" s="1"/>
      <c r="F7" s="1"/>
      <c r="G7" s="17"/>
      <c r="H7" s="1"/>
      <c r="I7" s="3" t="s">
        <v>160</v>
      </c>
      <c r="J7" s="1"/>
      <c r="K7" s="1"/>
      <c r="L7" s="1"/>
      <c r="M7" s="1"/>
      <c r="N7" s="1"/>
      <c r="O7" s="17"/>
      <c r="P7" s="1"/>
      <c r="Q7" s="1"/>
      <c r="R7" s="1"/>
      <c r="S7" s="1"/>
      <c r="T7" s="1"/>
      <c r="U7" s="1"/>
      <c r="V7" s="1"/>
      <c r="W7" s="17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8" x14ac:dyDescent="0.3">
      <c r="A8" s="23" t="s">
        <v>151</v>
      </c>
      <c r="B8" s="1"/>
      <c r="C8" s="1"/>
      <c r="D8" s="1"/>
      <c r="E8" s="1"/>
      <c r="F8" s="1"/>
      <c r="G8" s="17"/>
      <c r="H8" s="1"/>
      <c r="I8" s="54" t="s">
        <v>161</v>
      </c>
      <c r="J8" s="1"/>
      <c r="K8" s="1"/>
      <c r="L8" s="1"/>
      <c r="M8" s="1"/>
      <c r="N8" s="1"/>
      <c r="O8" s="17"/>
      <c r="P8" s="1"/>
      <c r="Q8" s="1"/>
      <c r="R8" s="1"/>
      <c r="S8" s="1"/>
      <c r="T8" s="1"/>
      <c r="U8" s="1"/>
      <c r="V8" s="1"/>
      <c r="W8" s="1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42" x14ac:dyDescent="0.3">
      <c r="A9" s="23" t="s">
        <v>152</v>
      </c>
      <c r="B9" s="1"/>
      <c r="C9" s="1"/>
      <c r="D9" s="1"/>
      <c r="E9" s="1"/>
      <c r="F9" s="1"/>
      <c r="G9" s="17"/>
      <c r="H9" s="1"/>
      <c r="I9" s="54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1"/>
      <c r="W9" s="1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</vt:lpstr>
      <vt:lpstr>Summary</vt:lpstr>
      <vt:lpstr>Input</vt:lpstr>
      <vt:lpstr>ActualExpe_July</vt:lpstr>
      <vt:lpstr>Chart_data</vt:lpstr>
      <vt:lpstr>ActualExpe_Jun</vt:lpstr>
      <vt:lpstr>ActualExpe_MAy</vt:lpstr>
      <vt:lpstr>My financial Goal</vt:lpstr>
      <vt:lpstr>Daily goals Vs what I did</vt:lpstr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Sunil Wagh</dc:creator>
  <cp:lastModifiedBy>Rajesh Sunil Wagh</cp:lastModifiedBy>
  <dcterms:created xsi:type="dcterms:W3CDTF">2022-05-07T07:14:33Z</dcterms:created>
  <dcterms:modified xsi:type="dcterms:W3CDTF">2022-07-22T05:42:42Z</dcterms:modified>
</cp:coreProperties>
</file>