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2-Year Loan" sheetId="7" r:id="rId1"/>
    <sheet name="4-Year Loan" sheetId="10" r:id="rId2"/>
    <sheet name="Your Own Loan" sheetId="11" r:id="rId3"/>
    <sheet name="How Did I Do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<sst xmlns="http://schemas.openxmlformats.org/spreadsheetml/2006/main" count="194" uniqueCount="160">
  <si>
    <t>2-Year Loan</t>
  </si>
  <si>
    <t>Loan Information</t>
  </si>
  <si>
    <t>Loan Amount</t>
  </si>
  <si>
    <t>Loan Fees</t>
  </si>
  <si>
    <t>Total Loan Amount</t>
  </si>
  <si>
    <t>APR</t>
  </si>
  <si>
    <t>Loan Term (months)</t>
  </si>
  <si>
    <t>Monthly Payment</t>
  </si>
  <si>
    <t>Total Payments</t>
  </si>
  <si>
    <t>Total Interest</t>
  </si>
  <si>
    <t>Amortization Schedule</t>
  </si>
  <si>
    <t>Month</t>
  </si>
  <si>
    <t>Beginning Balance</t>
  </si>
  <si>
    <t>To Interest</t>
  </si>
  <si>
    <t>To Principal</t>
  </si>
  <si>
    <t>Ending Balance</t>
  </si>
  <si>
    <t>4-Year Loan</t>
  </si>
  <si>
    <t>Your Own Loan</t>
  </si>
  <si>
    <t>Optional: Use this to keep track of one of your own loans.</t>
  </si>
  <si>
    <t>SPRING 2025 Term 4</t>
  </si>
  <si>
    <t xml:space="preserve">2-Year, C5 </t>
  </si>
  <si>
    <t>2-Year, C6</t>
  </si>
  <si>
    <t>2-Year, C7</t>
  </si>
  <si>
    <t>2-Year, C8</t>
  </si>
  <si>
    <t>2-Year, C9</t>
  </si>
  <si>
    <t>2-Year, C10</t>
  </si>
  <si>
    <t>2-Year, C11</t>
  </si>
  <si>
    <t>2-Year, C12</t>
  </si>
  <si>
    <t>2-Year, C16</t>
  </si>
  <si>
    <t>2-Year, D16</t>
  </si>
  <si>
    <t>2-Year, E16</t>
  </si>
  <si>
    <t>2-Year, F16</t>
  </si>
  <si>
    <t>2-Year, C17</t>
  </si>
  <si>
    <t>2-Year, D17</t>
  </si>
  <si>
    <t>2-Year, E17</t>
  </si>
  <si>
    <t>2-Year, F17</t>
  </si>
  <si>
    <t>2-Year, C18</t>
  </si>
  <si>
    <t>2-Year, D18</t>
  </si>
  <si>
    <t>2-Year, E18</t>
  </si>
  <si>
    <t>2-Year, F18</t>
  </si>
  <si>
    <t>2-Year, C19</t>
  </si>
  <si>
    <t>2-Year, D19</t>
  </si>
  <si>
    <t>2-Year, E19</t>
  </si>
  <si>
    <t>2-Year, F19</t>
  </si>
  <si>
    <t>2-Year, C20</t>
  </si>
  <si>
    <t>2-Year, D20</t>
  </si>
  <si>
    <t>2-Year, E20</t>
  </si>
  <si>
    <t>2-Year, F20</t>
  </si>
  <si>
    <t>2-Year, C21</t>
  </si>
  <si>
    <t>2-Year, D21</t>
  </si>
  <si>
    <t>2-Year, E21</t>
  </si>
  <si>
    <t>2-Year, F21</t>
  </si>
  <si>
    <t>2-Year, C22</t>
  </si>
  <si>
    <t>2-Year, D22</t>
  </si>
  <si>
    <t>2-Year, E22</t>
  </si>
  <si>
    <t>2-Year, F22</t>
  </si>
  <si>
    <t>2-Year, C23</t>
  </si>
  <si>
    <t>2-Year, D23</t>
  </si>
  <si>
    <t>2-Year, E23</t>
  </si>
  <si>
    <t>2-Year, F23</t>
  </si>
  <si>
    <t>2-Year, C24</t>
  </si>
  <si>
    <t>2-Year, D24</t>
  </si>
  <si>
    <t>2-Year, E24</t>
  </si>
  <si>
    <t>2-Year, F24</t>
  </si>
  <si>
    <t>2-Year, C25</t>
  </si>
  <si>
    <t>2-Year, D25</t>
  </si>
  <si>
    <t>2-Year, E25</t>
  </si>
  <si>
    <t>2-Year, F25</t>
  </si>
  <si>
    <t>2-Year, C26</t>
  </si>
  <si>
    <t>2-Year, D26</t>
  </si>
  <si>
    <t>2-Year, E26</t>
  </si>
  <si>
    <t>2-Year, F26</t>
  </si>
  <si>
    <t>2-Year, C27</t>
  </si>
  <si>
    <t>2-Year, D27</t>
  </si>
  <si>
    <t>2-Year, E27</t>
  </si>
  <si>
    <t>2-Year, F27</t>
  </si>
  <si>
    <t>2-Year, C28</t>
  </si>
  <si>
    <t>2-Year, D28</t>
  </si>
  <si>
    <t>2-Year, E28</t>
  </si>
  <si>
    <t>2-Year, F28</t>
  </si>
  <si>
    <t>2-Year, C29</t>
  </si>
  <si>
    <t>2-Year, D29</t>
  </si>
  <si>
    <t>2-Year, E29</t>
  </si>
  <si>
    <t>2-Year, F29</t>
  </si>
  <si>
    <t>2-Year, C30</t>
  </si>
  <si>
    <t>2-Year, D30</t>
  </si>
  <si>
    <t>2-Year, E30</t>
  </si>
  <si>
    <t>2-Year, F30</t>
  </si>
  <si>
    <t>This should continue until the 2 years are over.</t>
  </si>
  <si>
    <t>This should continue until the 2 years are over and you see a 0 balance</t>
  </si>
  <si>
    <t xml:space="preserve">4-Year, C5 </t>
  </si>
  <si>
    <t>4-Year, C6</t>
  </si>
  <si>
    <t>4-Year, C7</t>
  </si>
  <si>
    <t>4-Year, C8</t>
  </si>
  <si>
    <t>4-Year, C9</t>
  </si>
  <si>
    <t>4-Year, C10</t>
  </si>
  <si>
    <t>4-Year, C11</t>
  </si>
  <si>
    <t>4-Year, C12</t>
  </si>
  <si>
    <t>4-Year, C16</t>
  </si>
  <si>
    <t>4-Year, D16</t>
  </si>
  <si>
    <t>4-Year, E16</t>
  </si>
  <si>
    <t>4-Year, F16</t>
  </si>
  <si>
    <t>4-Year, C17</t>
  </si>
  <si>
    <t>4-Year, D17</t>
  </si>
  <si>
    <t>4-Year, E17</t>
  </si>
  <si>
    <t>4-Year, F17</t>
  </si>
  <si>
    <t>4-Year, C18</t>
  </si>
  <si>
    <t>4-Year, D18</t>
  </si>
  <si>
    <t>4-Year, E18</t>
  </si>
  <si>
    <t>4-Year, F18</t>
  </si>
  <si>
    <t>4-Year, C19</t>
  </si>
  <si>
    <t>4-Year, D19</t>
  </si>
  <si>
    <t>4-Year, E19</t>
  </si>
  <si>
    <t>4-Year, F19</t>
  </si>
  <si>
    <t>4-Year, C20</t>
  </si>
  <si>
    <t>4-Year, D20</t>
  </si>
  <si>
    <t>4-Year, E20</t>
  </si>
  <si>
    <t>4-Year, F20</t>
  </si>
  <si>
    <t>4-Year, C21</t>
  </si>
  <si>
    <t>4-Year, D21</t>
  </si>
  <si>
    <t>4-Year, E21</t>
  </si>
  <si>
    <t>4-Year, F21</t>
  </si>
  <si>
    <t>4-Year, C22</t>
  </si>
  <si>
    <t>4-Year, D22</t>
  </si>
  <si>
    <t>4-Year, E22</t>
  </si>
  <si>
    <t>4-Year, F22</t>
  </si>
  <si>
    <t>4-Year, C23</t>
  </si>
  <si>
    <t>4-Year, D23</t>
  </si>
  <si>
    <t>4-Year, E23</t>
  </si>
  <si>
    <t>4-Year, F23</t>
  </si>
  <si>
    <t>4-Year, C24</t>
  </si>
  <si>
    <t>4-Year, D24</t>
  </si>
  <si>
    <t>4-Year, E24</t>
  </si>
  <si>
    <t>4-Year, F24</t>
  </si>
  <si>
    <t>4-Year, C25</t>
  </si>
  <si>
    <t>4-Year, D25</t>
  </si>
  <si>
    <t>4-Year, E25</t>
  </si>
  <si>
    <t>4-Year, F25</t>
  </si>
  <si>
    <t>4-Year, C26</t>
  </si>
  <si>
    <t>4-Year, D26</t>
  </si>
  <si>
    <t>4-Year, E26</t>
  </si>
  <si>
    <t>4-Year, F26</t>
  </si>
  <si>
    <t>4-Year, C27</t>
  </si>
  <si>
    <t>4-Year, D27</t>
  </si>
  <si>
    <t>4-Year, E27</t>
  </si>
  <si>
    <t>4-Year, F27</t>
  </si>
  <si>
    <t>4-Year, C28</t>
  </si>
  <si>
    <t>4-Year, D28</t>
  </si>
  <si>
    <t>4-Year, E28</t>
  </si>
  <si>
    <t>4-Year, F28</t>
  </si>
  <si>
    <t>4-Year, C29</t>
  </si>
  <si>
    <t>4-Year, D29</t>
  </si>
  <si>
    <t>4-Year, E29</t>
  </si>
  <si>
    <t>4-Year, F29</t>
  </si>
  <si>
    <t>4-Year, C30</t>
  </si>
  <si>
    <t>4-Year, D30</t>
  </si>
  <si>
    <t>4-Year, E30</t>
  </si>
  <si>
    <t>4-Year, F30</t>
  </si>
  <si>
    <t>This should continue until the 4 years are over.</t>
  </si>
  <si>
    <t>This should continue until the 4 years are over and you see a 0 balance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</si>
</sst>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m/d;@"/>
    <numFmt numFmtId="178" formatCode="_(* #,##0.00_);_(* \(#,##0.00\);_(* &quot;-&quot;??_);_(@_)"/>
    <numFmt numFmtId="179" formatCode="_([$GHS]\ * #,##0.00_);_([$GHS]\ * \(#,##0.00\);_([$GHS]\ * &quot;-&quot;??_);_(@_)"/>
  </numFmts>
  <fonts count="24"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DF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178" fontId="0" fillId="0" borderId="2" xfId="2" applyNumberFormat="1" applyFont="1" applyFill="1" applyBorder="1"/>
    <xf numFmtId="9" fontId="0" fillId="0" borderId="2" xfId="3" applyFont="1" applyFill="1" applyBorder="1" applyAlignment="1">
      <alignment horizontal="center"/>
    </xf>
    <xf numFmtId="0" fontId="0" fillId="0" borderId="0" xfId="2" applyNumberFormat="1" applyFont="1" applyBorder="1"/>
    <xf numFmtId="1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right"/>
    </xf>
    <xf numFmtId="179" fontId="0" fillId="0" borderId="0" xfId="2" applyNumberFormat="1" applyFont="1" applyFill="1" applyBorder="1"/>
    <xf numFmtId="0" fontId="0" fillId="0" borderId="2" xfId="0" applyBorder="1" applyAlignment="1">
      <alignment horizontal="center"/>
    </xf>
    <xf numFmtId="179" fontId="0" fillId="3" borderId="2" xfId="2" applyNumberFormat="1" applyFont="1" applyFill="1" applyBorder="1"/>
    <xf numFmtId="179" fontId="0" fillId="4" borderId="2" xfId="2" applyNumberFormat="1" applyFont="1" applyFill="1" applyBorder="1"/>
    <xf numFmtId="9" fontId="0" fillId="3" borderId="2" xfId="3" applyNumberFormat="1" applyFon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79" fontId="0" fillId="5" borderId="2" xfId="2" applyNumberFormat="1" applyFont="1" applyFill="1" applyBorder="1"/>
    <xf numFmtId="179" fontId="0" fillId="5" borderId="2" xfId="0" applyNumberFormat="1" applyFill="1" applyBorder="1"/>
    <xf numFmtId="179" fontId="0" fillId="0" borderId="0" xfId="0" applyNumberFormat="1"/>
    <xf numFmtId="9" fontId="0" fillId="3" borderId="2" xfId="3" applyNumberFormat="1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FFDFF0"/>
      <color rgb="00FFBF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2"/>
  <sheetViews>
    <sheetView tabSelected="1" workbookViewId="0">
      <selection activeCell="F8" sqref="F8"/>
    </sheetView>
  </sheetViews>
  <sheetFormatPr defaultColWidth="11" defaultRowHeight="15.6"/>
  <cols>
    <col min="1" max="1" width="3.16666666666667" customWidth="1"/>
    <col min="2" max="2" width="17.5" customWidth="1"/>
    <col min="3" max="5" width="16.8333333333333" customWidth="1"/>
    <col min="6" max="6" width="16.8333333333333" style="3" customWidth="1"/>
    <col min="7" max="7" width="10.8333333333333" style="4" customWidth="1"/>
    <col min="8" max="8" width="10.8333333333333" style="5" customWidth="1"/>
    <col min="9" max="9" width="10.8333333333333" style="5"/>
    <col min="10" max="11" width="10.8333333333333" style="5" customWidth="1"/>
  </cols>
  <sheetData>
    <row r="2" ht="23.4" spans="2:2">
      <c r="B2" s="6" t="s">
        <v>0</v>
      </c>
    </row>
    <row r="3" ht="16" customHeight="1" spans="6:6">
      <c r="F3" s="5"/>
    </row>
    <row r="4" ht="16" customHeight="1" spans="2:11">
      <c r="B4" s="8" t="s">
        <v>1</v>
      </c>
      <c r="C4" s="8"/>
      <c r="F4"/>
      <c r="G4"/>
      <c r="H4"/>
      <c r="I4"/>
      <c r="J4"/>
      <c r="K4"/>
    </row>
    <row r="5" ht="16" customHeight="1" spans="2:11">
      <c r="B5" s="9" t="s">
        <v>2</v>
      </c>
      <c r="C5" s="18">
        <v>1800</v>
      </c>
      <c r="F5"/>
      <c r="G5"/>
      <c r="H5"/>
      <c r="I5"/>
      <c r="J5"/>
      <c r="K5"/>
    </row>
    <row r="6" ht="16" customHeight="1" spans="2:11">
      <c r="B6" s="9" t="s">
        <v>3</v>
      </c>
      <c r="C6" s="18">
        <v>50</v>
      </c>
      <c r="F6"/>
      <c r="G6"/>
      <c r="H6"/>
      <c r="I6"/>
      <c r="J6"/>
      <c r="K6"/>
    </row>
    <row r="7" ht="16" customHeight="1" spans="2:11">
      <c r="B7" s="9" t="s">
        <v>4</v>
      </c>
      <c r="C7" s="19">
        <f>C5+C6</f>
        <v>1850</v>
      </c>
      <c r="F7"/>
      <c r="G7"/>
      <c r="H7"/>
      <c r="I7"/>
      <c r="J7"/>
      <c r="K7"/>
    </row>
    <row r="8" ht="16" customHeight="1" spans="2:11">
      <c r="B8" s="9" t="s">
        <v>5</v>
      </c>
      <c r="C8" s="25">
        <v>0.23</v>
      </c>
      <c r="F8"/>
      <c r="G8" s="12"/>
      <c r="H8"/>
      <c r="I8"/>
      <c r="J8"/>
      <c r="K8"/>
    </row>
    <row r="9" ht="16" customHeight="1" spans="2:11">
      <c r="B9" s="9" t="s">
        <v>6</v>
      </c>
      <c r="C9" s="21">
        <f>2*12</f>
        <v>24</v>
      </c>
      <c r="F9"/>
      <c r="G9" s="12"/>
      <c r="H9"/>
      <c r="I9"/>
      <c r="J9"/>
      <c r="K9"/>
    </row>
    <row r="10" ht="16" customHeight="1" spans="2:11">
      <c r="B10" s="9" t="s">
        <v>7</v>
      </c>
      <c r="C10" s="19">
        <f>PMT(C8/12,C9,-C7)</f>
        <v>96.8906161552401</v>
      </c>
      <c r="F10"/>
      <c r="G10" s="12"/>
      <c r="H10"/>
      <c r="I10"/>
      <c r="J10"/>
      <c r="K10"/>
    </row>
    <row r="11" ht="16" customHeight="1" spans="2:11">
      <c r="B11" s="9" t="s">
        <v>8</v>
      </c>
      <c r="C11" s="19">
        <f>C10*C9</f>
        <v>2325.37478772576</v>
      </c>
      <c r="H11"/>
      <c r="I11"/>
      <c r="J11"/>
      <c r="K11"/>
    </row>
    <row r="12" ht="16" customHeight="1" spans="2:11">
      <c r="B12" s="9" t="s">
        <v>9</v>
      </c>
      <c r="C12" s="19">
        <f>C11-C7</f>
        <v>475.374787725762</v>
      </c>
      <c r="F12"/>
      <c r="G12"/>
      <c r="H12"/>
      <c r="I12"/>
      <c r="J12"/>
      <c r="K12"/>
    </row>
    <row r="13" ht="16" customHeight="1" spans="3:11">
      <c r="C13" s="12"/>
      <c r="F13"/>
      <c r="G13"/>
      <c r="H13"/>
      <c r="I13"/>
      <c r="J13"/>
      <c r="K13"/>
    </row>
    <row r="14" ht="16" customHeight="1" spans="2:11">
      <c r="B14" s="14" t="s">
        <v>10</v>
      </c>
      <c r="C14" s="14"/>
      <c r="D14" s="15"/>
      <c r="E14" s="16"/>
      <c r="F14"/>
      <c r="G14"/>
      <c r="H14"/>
      <c r="I14"/>
      <c r="J14"/>
      <c r="K14"/>
    </row>
    <row r="15" ht="16" customHeight="1" spans="2:11">
      <c r="B15" s="17" t="s">
        <v>11</v>
      </c>
      <c r="C15" s="17" t="s">
        <v>12</v>
      </c>
      <c r="D15" s="17" t="s">
        <v>13</v>
      </c>
      <c r="E15" s="17" t="s">
        <v>14</v>
      </c>
      <c r="F15" s="17" t="s">
        <v>15</v>
      </c>
      <c r="G15"/>
      <c r="H15"/>
      <c r="I15"/>
      <c r="J15"/>
      <c r="K15"/>
    </row>
    <row r="16" ht="16" customHeight="1" spans="2:11">
      <c r="B16" s="17">
        <v>1</v>
      </c>
      <c r="C16" s="22">
        <f>C$7</f>
        <v>1850</v>
      </c>
      <c r="D16" s="22">
        <f>C16*(C$8/12)</f>
        <v>35.4583333333333</v>
      </c>
      <c r="E16" s="22">
        <f>C$10-D16</f>
        <v>61.4322828219067</v>
      </c>
      <c r="F16" s="22">
        <f>C16-E16</f>
        <v>1788.56771717809</v>
      </c>
      <c r="G16"/>
      <c r="H16"/>
      <c r="I16"/>
      <c r="J16"/>
      <c r="K16"/>
    </row>
    <row r="17" ht="16" customHeight="1" spans="2:11">
      <c r="B17" s="17">
        <v>2</v>
      </c>
      <c r="C17" s="23">
        <f>F16</f>
        <v>1788.56771717809</v>
      </c>
      <c r="D17" s="22">
        <f>C17*(C$8/12)</f>
        <v>34.2808812459135</v>
      </c>
      <c r="E17" s="22">
        <f>C$10-D17</f>
        <v>62.6097349093266</v>
      </c>
      <c r="F17" s="22">
        <f>C17-E17</f>
        <v>1725.95798226877</v>
      </c>
      <c r="G17"/>
      <c r="H17"/>
      <c r="I17"/>
      <c r="J17"/>
      <c r="K17"/>
    </row>
    <row r="18" ht="16" customHeight="1" spans="2:11">
      <c r="B18" s="26">
        <v>3</v>
      </c>
      <c r="C18" s="23">
        <f>F17</f>
        <v>1725.95798226877</v>
      </c>
      <c r="D18" s="22">
        <f>C18*(C$8/12)</f>
        <v>33.080861326818</v>
      </c>
      <c r="E18" s="22">
        <f>C$10-D18</f>
        <v>63.809754828422</v>
      </c>
      <c r="F18" s="22">
        <f>C18-E18</f>
        <v>1662.14822744034</v>
      </c>
      <c r="G18"/>
      <c r="H18"/>
      <c r="I18"/>
      <c r="J18"/>
      <c r="K18"/>
    </row>
    <row r="19" ht="16" customHeight="1" spans="2:11">
      <c r="B19" s="17">
        <v>4</v>
      </c>
      <c r="C19" s="23">
        <f>F18</f>
        <v>1662.14822744034</v>
      </c>
      <c r="D19" s="22">
        <f>C19*(C$8/12)</f>
        <v>31.8578410259399</v>
      </c>
      <c r="E19" s="22">
        <f>C$10-D19</f>
        <v>65.0327751293001</v>
      </c>
      <c r="F19" s="22">
        <f>C19-E19</f>
        <v>1597.11545231104</v>
      </c>
      <c r="G19"/>
      <c r="H19"/>
      <c r="I19"/>
      <c r="J19"/>
      <c r="K19"/>
    </row>
    <row r="20" ht="16" customHeight="1" spans="2:11">
      <c r="B20" s="17">
        <v>5</v>
      </c>
      <c r="C20" s="23">
        <f>F19</f>
        <v>1597.11545231104</v>
      </c>
      <c r="D20" s="22">
        <f>C20*(C$8/12)</f>
        <v>30.6113795026284</v>
      </c>
      <c r="E20" s="22">
        <f>C$10-D20</f>
        <v>66.2792366526117</v>
      </c>
      <c r="F20" s="22">
        <f>C20-E20</f>
        <v>1530.83621565843</v>
      </c>
      <c r="G20"/>
      <c r="H20"/>
      <c r="I20"/>
      <c r="J20"/>
      <c r="K20"/>
    </row>
    <row r="21" ht="16" customHeight="1" spans="2:11">
      <c r="B21" s="17">
        <v>6</v>
      </c>
      <c r="C21" s="23">
        <f t="shared" ref="C21:C45" si="0">F20</f>
        <v>1530.83621565843</v>
      </c>
      <c r="D21" s="22">
        <f t="shared" ref="D21:D45" si="1">C21*(C$8/12)</f>
        <v>29.3410274667866</v>
      </c>
      <c r="E21" s="22">
        <f t="shared" ref="E21:E45" si="2">C$10-D21</f>
        <v>67.5495886884534</v>
      </c>
      <c r="F21" s="22">
        <f t="shared" ref="F21:F45" si="3">C21-E21</f>
        <v>1463.28662696998</v>
      </c>
      <c r="G21"/>
      <c r="H21"/>
      <c r="I21"/>
      <c r="J21"/>
      <c r="K21"/>
    </row>
    <row r="22" spans="2:11">
      <c r="B22" s="17">
        <v>7</v>
      </c>
      <c r="C22" s="23">
        <f t="shared" si="0"/>
        <v>1463.28662696998</v>
      </c>
      <c r="D22" s="22">
        <f t="shared" si="1"/>
        <v>28.0463270169246</v>
      </c>
      <c r="E22" s="22">
        <f t="shared" si="2"/>
        <v>68.8442891383155</v>
      </c>
      <c r="F22" s="22">
        <f t="shared" si="3"/>
        <v>1394.44233783166</v>
      </c>
      <c r="G22"/>
      <c r="H22"/>
      <c r="I22"/>
      <c r="J22"/>
      <c r="K22"/>
    </row>
    <row r="23" spans="2:11">
      <c r="B23" s="26">
        <v>8</v>
      </c>
      <c r="C23" s="23">
        <f t="shared" si="0"/>
        <v>1394.44233783166</v>
      </c>
      <c r="D23" s="22">
        <f t="shared" si="1"/>
        <v>26.7268114751069</v>
      </c>
      <c r="E23" s="22">
        <f t="shared" si="2"/>
        <v>70.1638046801332</v>
      </c>
      <c r="F23" s="22">
        <f t="shared" si="3"/>
        <v>1324.27853315153</v>
      </c>
      <c r="G23"/>
      <c r="H23"/>
      <c r="I23"/>
      <c r="J23"/>
      <c r="K23"/>
    </row>
    <row r="24" spans="2:11">
      <c r="B24" s="17">
        <v>9</v>
      </c>
      <c r="C24" s="23">
        <f t="shared" si="0"/>
        <v>1324.27853315153</v>
      </c>
      <c r="D24" s="22">
        <f t="shared" si="1"/>
        <v>25.3820052187377</v>
      </c>
      <c r="E24" s="22">
        <f t="shared" si="2"/>
        <v>71.5086109365024</v>
      </c>
      <c r="F24" s="22">
        <f t="shared" si="3"/>
        <v>1252.76992221503</v>
      </c>
      <c r="G24"/>
      <c r="H24"/>
      <c r="I24"/>
      <c r="J24"/>
      <c r="K24"/>
    </row>
    <row r="25" spans="2:11">
      <c r="B25" s="17">
        <v>10</v>
      </c>
      <c r="C25" s="23">
        <f t="shared" si="0"/>
        <v>1252.76992221503</v>
      </c>
      <c r="D25" s="22">
        <f t="shared" si="1"/>
        <v>24.0114235091214</v>
      </c>
      <c r="E25" s="22">
        <f t="shared" si="2"/>
        <v>72.8791926461187</v>
      </c>
      <c r="F25" s="22">
        <f t="shared" si="3"/>
        <v>1179.89072956891</v>
      </c>
      <c r="G25"/>
      <c r="H25"/>
      <c r="I25"/>
      <c r="J25"/>
      <c r="K25"/>
    </row>
    <row r="26" spans="2:11">
      <c r="B26" s="17">
        <v>11</v>
      </c>
      <c r="C26" s="23">
        <f t="shared" si="0"/>
        <v>1179.89072956891</v>
      </c>
      <c r="D26" s="22">
        <f t="shared" si="1"/>
        <v>22.6145723167374</v>
      </c>
      <c r="E26" s="22">
        <f t="shared" si="2"/>
        <v>74.2760438385026</v>
      </c>
      <c r="F26" s="22">
        <f t="shared" si="3"/>
        <v>1105.61468573041</v>
      </c>
      <c r="G26"/>
      <c r="H26"/>
      <c r="I26"/>
      <c r="J26"/>
      <c r="K26"/>
    </row>
    <row r="27" spans="2:11">
      <c r="B27" s="17">
        <v>12</v>
      </c>
      <c r="C27" s="23">
        <f t="shared" si="0"/>
        <v>1105.61468573041</v>
      </c>
      <c r="D27" s="22">
        <f t="shared" si="1"/>
        <v>21.1909481431661</v>
      </c>
      <c r="E27" s="22">
        <f t="shared" si="2"/>
        <v>75.6996680120739</v>
      </c>
      <c r="F27" s="22">
        <f t="shared" si="3"/>
        <v>1029.91501771833</v>
      </c>
      <c r="G27"/>
      <c r="H27"/>
      <c r="I27"/>
      <c r="J27"/>
      <c r="K27"/>
    </row>
    <row r="28" spans="2:11">
      <c r="B28" s="26">
        <v>13</v>
      </c>
      <c r="C28" s="23">
        <f t="shared" si="0"/>
        <v>1029.91501771833</v>
      </c>
      <c r="D28" s="22">
        <f t="shared" si="1"/>
        <v>19.7400378396014</v>
      </c>
      <c r="E28" s="22">
        <f t="shared" si="2"/>
        <v>77.1505783156387</v>
      </c>
      <c r="F28" s="22">
        <f t="shared" si="3"/>
        <v>952.764439402695</v>
      </c>
      <c r="G28"/>
      <c r="H28"/>
      <c r="I28"/>
      <c r="J28"/>
      <c r="K28"/>
    </row>
    <row r="29" spans="2:11">
      <c r="B29" s="17">
        <v>14</v>
      </c>
      <c r="C29" s="23">
        <f t="shared" si="0"/>
        <v>952.764439402695</v>
      </c>
      <c r="D29" s="22">
        <f t="shared" si="1"/>
        <v>18.261318421885</v>
      </c>
      <c r="E29" s="22">
        <f t="shared" si="2"/>
        <v>78.6292977333551</v>
      </c>
      <c r="F29" s="22">
        <f t="shared" si="3"/>
        <v>874.13514166934</v>
      </c>
      <c r="G29"/>
      <c r="H29"/>
      <c r="I29"/>
      <c r="J29"/>
      <c r="K29"/>
    </row>
    <row r="30" spans="2:11">
      <c r="B30" s="17">
        <v>15</v>
      </c>
      <c r="C30" s="23">
        <f t="shared" si="0"/>
        <v>874.13514166934</v>
      </c>
      <c r="D30" s="22">
        <f t="shared" si="1"/>
        <v>16.7542568819957</v>
      </c>
      <c r="E30" s="22">
        <f t="shared" si="2"/>
        <v>80.1363592732444</v>
      </c>
      <c r="F30" s="22">
        <f t="shared" si="3"/>
        <v>793.998782396095</v>
      </c>
      <c r="G30"/>
      <c r="H30"/>
      <c r="I30"/>
      <c r="J30"/>
      <c r="K30"/>
    </row>
    <row r="31" spans="2:11">
      <c r="B31" s="17">
        <v>16</v>
      </c>
      <c r="C31" s="23">
        <f t="shared" si="0"/>
        <v>793.998782396095</v>
      </c>
      <c r="D31" s="22">
        <f t="shared" si="1"/>
        <v>15.2183099959252</v>
      </c>
      <c r="E31" s="22">
        <f t="shared" si="2"/>
        <v>81.6723061593149</v>
      </c>
      <c r="F31" s="22">
        <f t="shared" si="3"/>
        <v>712.32647623678</v>
      </c>
      <c r="G31"/>
      <c r="H31"/>
      <c r="I31"/>
      <c r="J31"/>
      <c r="K31"/>
    </row>
    <row r="32" spans="2:11">
      <c r="B32" s="17">
        <v>17</v>
      </c>
      <c r="C32" s="23">
        <f t="shared" si="0"/>
        <v>712.32647623678</v>
      </c>
      <c r="D32" s="22">
        <f t="shared" si="1"/>
        <v>13.6529241278716</v>
      </c>
      <c r="E32" s="22">
        <f t="shared" si="2"/>
        <v>83.2376920273684</v>
      </c>
      <c r="F32" s="22">
        <f t="shared" si="3"/>
        <v>629.088784209412</v>
      </c>
      <c r="G32"/>
      <c r="H32"/>
      <c r="I32"/>
      <c r="J32"/>
      <c r="K32"/>
    </row>
    <row r="33" spans="2:11">
      <c r="B33" s="26">
        <v>18</v>
      </c>
      <c r="C33" s="23">
        <f t="shared" si="0"/>
        <v>629.088784209412</v>
      </c>
      <c r="D33" s="22">
        <f t="shared" si="1"/>
        <v>12.0575350306804</v>
      </c>
      <c r="E33" s="22">
        <f t="shared" si="2"/>
        <v>84.8330811245597</v>
      </c>
      <c r="F33" s="22">
        <f t="shared" si="3"/>
        <v>544.255703084852</v>
      </c>
      <c r="G33"/>
      <c r="H33"/>
      <c r="I33"/>
      <c r="J33"/>
      <c r="K33"/>
    </row>
    <row r="34" spans="2:6">
      <c r="B34" s="17">
        <v>19</v>
      </c>
      <c r="C34" s="23">
        <f t="shared" si="0"/>
        <v>544.255703084852</v>
      </c>
      <c r="D34" s="22">
        <f t="shared" si="1"/>
        <v>10.4315676424597</v>
      </c>
      <c r="E34" s="22">
        <f t="shared" si="2"/>
        <v>86.4590485127804</v>
      </c>
      <c r="F34" s="22">
        <f t="shared" si="3"/>
        <v>457.796654572072</v>
      </c>
    </row>
    <row r="35" spans="2:6">
      <c r="B35" s="17">
        <v>20</v>
      </c>
      <c r="C35" s="23">
        <f t="shared" si="0"/>
        <v>457.796654572072</v>
      </c>
      <c r="D35" s="22">
        <f t="shared" si="1"/>
        <v>8.77443587929804</v>
      </c>
      <c r="E35" s="22">
        <f t="shared" si="2"/>
        <v>88.116180275942</v>
      </c>
      <c r="F35" s="22">
        <f t="shared" si="3"/>
        <v>369.68047429613</v>
      </c>
    </row>
    <row r="36" spans="2:6">
      <c r="B36" s="17">
        <v>21</v>
      </c>
      <c r="C36" s="23">
        <f t="shared" si="0"/>
        <v>369.68047429613</v>
      </c>
      <c r="D36" s="22">
        <f t="shared" si="1"/>
        <v>7.08554242400916</v>
      </c>
      <c r="E36" s="22">
        <f t="shared" si="2"/>
        <v>89.8050737312309</v>
      </c>
      <c r="F36" s="22">
        <f t="shared" si="3"/>
        <v>279.875400564899</v>
      </c>
    </row>
    <row r="37" spans="2:6">
      <c r="B37" s="17">
        <v>22</v>
      </c>
      <c r="C37" s="23">
        <f t="shared" si="0"/>
        <v>279.875400564899</v>
      </c>
      <c r="D37" s="22">
        <f t="shared" si="1"/>
        <v>5.36427851082723</v>
      </c>
      <c r="E37" s="22">
        <f t="shared" si="2"/>
        <v>91.5263376444128</v>
      </c>
      <c r="F37" s="22">
        <f t="shared" si="3"/>
        <v>188.349062920486</v>
      </c>
    </row>
    <row r="38" spans="2:6">
      <c r="B38" s="26">
        <v>23</v>
      </c>
      <c r="C38" s="23">
        <f t="shared" si="0"/>
        <v>188.349062920486</v>
      </c>
      <c r="D38" s="22">
        <f t="shared" si="1"/>
        <v>3.61002370597598</v>
      </c>
      <c r="E38" s="22">
        <f t="shared" si="2"/>
        <v>93.2805924492641</v>
      </c>
      <c r="F38" s="22">
        <f t="shared" si="3"/>
        <v>95.068470471222</v>
      </c>
    </row>
    <row r="39" spans="2:6">
      <c r="B39" s="17">
        <v>24</v>
      </c>
      <c r="C39" s="23">
        <f t="shared" si="0"/>
        <v>95.068470471222</v>
      </c>
      <c r="D39" s="22">
        <f t="shared" si="1"/>
        <v>1.82214568403176</v>
      </c>
      <c r="E39" s="22">
        <f t="shared" si="2"/>
        <v>95.0684704712083</v>
      </c>
      <c r="F39" s="22">
        <f t="shared" si="3"/>
        <v>1.37276856548851e-11</v>
      </c>
    </row>
    <row r="40" spans="2:6">
      <c r="B40" s="17">
        <v>25</v>
      </c>
      <c r="C40" s="23">
        <f t="shared" si="0"/>
        <v>1.37276856548851e-11</v>
      </c>
      <c r="D40" s="22">
        <f t="shared" si="1"/>
        <v>2.63113975051965e-13</v>
      </c>
      <c r="E40" s="22">
        <f t="shared" si="2"/>
        <v>96.8906161552398</v>
      </c>
      <c r="F40" s="22">
        <f t="shared" si="3"/>
        <v>-96.8906161552261</v>
      </c>
    </row>
    <row r="41" spans="2:6">
      <c r="B41" s="17">
        <v>26</v>
      </c>
      <c r="C41" s="23">
        <f t="shared" si="0"/>
        <v>-96.8906161552261</v>
      </c>
      <c r="D41" s="22">
        <f t="shared" si="1"/>
        <v>-1.85707014297517</v>
      </c>
      <c r="E41" s="22">
        <f t="shared" si="2"/>
        <v>98.7476862982152</v>
      </c>
      <c r="F41" s="22">
        <f t="shared" si="3"/>
        <v>-195.638302453441</v>
      </c>
    </row>
    <row r="42" spans="2:6">
      <c r="B42" s="17">
        <v>27</v>
      </c>
      <c r="C42" s="23">
        <f t="shared" si="0"/>
        <v>-195.638302453441</v>
      </c>
      <c r="D42" s="22">
        <f t="shared" si="1"/>
        <v>-3.74973413035763</v>
      </c>
      <c r="E42" s="22">
        <f t="shared" si="2"/>
        <v>100.640350285598</v>
      </c>
      <c r="F42" s="22">
        <f t="shared" si="3"/>
        <v>-296.278652739039</v>
      </c>
    </row>
    <row r="43" spans="2:6">
      <c r="B43" s="26">
        <v>28</v>
      </c>
      <c r="C43" s="23">
        <f t="shared" si="0"/>
        <v>-296.278652739039</v>
      </c>
      <c r="D43" s="22">
        <f t="shared" si="1"/>
        <v>-5.67867417749825</v>
      </c>
      <c r="E43" s="22">
        <f t="shared" si="2"/>
        <v>102.569290332738</v>
      </c>
      <c r="F43" s="22">
        <f t="shared" si="3"/>
        <v>-398.847943071777</v>
      </c>
    </row>
    <row r="44" spans="2:6">
      <c r="B44" s="17">
        <v>29</v>
      </c>
      <c r="C44" s="23">
        <f t="shared" si="0"/>
        <v>-398.847943071777</v>
      </c>
      <c r="D44" s="22">
        <f t="shared" si="1"/>
        <v>-7.6445855755424</v>
      </c>
      <c r="E44" s="22">
        <f t="shared" si="2"/>
        <v>104.535201730782</v>
      </c>
      <c r="F44" s="22">
        <f t="shared" si="3"/>
        <v>-503.38314480256</v>
      </c>
    </row>
    <row r="45" spans="2:6">
      <c r="B45" s="17">
        <v>30</v>
      </c>
      <c r="C45" s="23">
        <f t="shared" si="0"/>
        <v>-503.38314480256</v>
      </c>
      <c r="D45" s="22">
        <f t="shared" si="1"/>
        <v>-9.64817694204906</v>
      </c>
      <c r="E45" s="22">
        <f t="shared" si="2"/>
        <v>106.538793097289</v>
      </c>
      <c r="F45" s="22">
        <f t="shared" si="3"/>
        <v>-609.921937899849</v>
      </c>
    </row>
    <row r="46" spans="6:6">
      <c r="F46" s="5"/>
    </row>
    <row r="47" spans="6:6">
      <c r="F47" s="5"/>
    </row>
    <row r="48" spans="6:6">
      <c r="F48" s="5"/>
    </row>
    <row r="49" spans="6:6">
      <c r="F49" s="5"/>
    </row>
    <row r="50" spans="6:6">
      <c r="F50" s="5"/>
    </row>
    <row r="51" spans="6:6">
      <c r="F51" s="5"/>
    </row>
    <row r="52" spans="6:6">
      <c r="F52" s="5"/>
    </row>
    <row r="53" spans="6:6">
      <c r="F53" s="5"/>
    </row>
    <row r="54" spans="6:6">
      <c r="F54" s="5"/>
    </row>
    <row r="55" spans="6:6">
      <c r="F55" s="5"/>
    </row>
    <row r="56" spans="6:6">
      <c r="F56" s="5"/>
    </row>
    <row r="57" spans="6:6">
      <c r="F57" s="5"/>
    </row>
    <row r="58" spans="6:6">
      <c r="F58" s="5"/>
    </row>
    <row r="59" spans="6:6">
      <c r="F59" s="5"/>
    </row>
    <row r="60" spans="6:6">
      <c r="F60" s="5"/>
    </row>
    <row r="61" spans="6:6">
      <c r="F61" s="5"/>
    </row>
    <row r="62" spans="6:6">
      <c r="F62" s="5"/>
    </row>
    <row r="63" spans="6:6">
      <c r="F63" s="5"/>
    </row>
    <row r="64" spans="6:6">
      <c r="F64" s="5"/>
    </row>
    <row r="65" spans="6:6">
      <c r="F65" s="5"/>
    </row>
    <row r="66" spans="6:6">
      <c r="F66" s="5"/>
    </row>
    <row r="67" spans="6:6">
      <c r="F67" s="5"/>
    </row>
    <row r="68" spans="6:6">
      <c r="F68" s="5"/>
    </row>
    <row r="69" spans="6:6">
      <c r="F69" s="5"/>
    </row>
    <row r="70" spans="6:6">
      <c r="F70" s="5"/>
    </row>
    <row r="71" spans="6:6">
      <c r="F71" s="5"/>
    </row>
    <row r="72" spans="6:6">
      <c r="F72" s="5"/>
    </row>
  </sheetData>
  <mergeCells count="2">
    <mergeCell ref="B4:C4"/>
    <mergeCell ref="B14:C1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2"/>
  <sheetViews>
    <sheetView topLeftCell="A27" workbookViewId="0">
      <selection activeCell="G20" sqref="G20"/>
    </sheetView>
  </sheetViews>
  <sheetFormatPr defaultColWidth="11" defaultRowHeight="15.6"/>
  <cols>
    <col min="1" max="1" width="3.16666666666667" customWidth="1"/>
    <col min="2" max="2" width="17.5" customWidth="1"/>
    <col min="3" max="5" width="16.8333333333333" customWidth="1"/>
    <col min="6" max="6" width="16.8333333333333" style="3" customWidth="1"/>
    <col min="7" max="7" width="10.8333333333333" style="4" customWidth="1"/>
    <col min="8" max="8" width="10.8333333333333" style="5" customWidth="1"/>
    <col min="9" max="9" width="10.8333333333333" style="5"/>
    <col min="10" max="11" width="10.8333333333333" style="5" customWidth="1"/>
  </cols>
  <sheetData>
    <row r="2" ht="23.4" spans="2:2">
      <c r="B2" s="6" t="s">
        <v>16</v>
      </c>
    </row>
    <row r="3" ht="16" customHeight="1" spans="6:6">
      <c r="F3" s="5"/>
    </row>
    <row r="4" ht="16" customHeight="1" spans="2:11">
      <c r="B4" s="8" t="s">
        <v>1</v>
      </c>
      <c r="C4" s="8"/>
      <c r="F4"/>
      <c r="G4"/>
      <c r="H4"/>
      <c r="I4"/>
      <c r="J4"/>
      <c r="K4"/>
    </row>
    <row r="5" ht="16" customHeight="1" spans="2:11">
      <c r="B5" s="9" t="s">
        <v>2</v>
      </c>
      <c r="C5" s="18">
        <v>1800</v>
      </c>
      <c r="F5"/>
      <c r="G5"/>
      <c r="H5"/>
      <c r="I5"/>
      <c r="J5"/>
      <c r="K5"/>
    </row>
    <row r="6" ht="16" customHeight="1" spans="2:11">
      <c r="B6" s="9" t="s">
        <v>3</v>
      </c>
      <c r="C6" s="18">
        <v>80</v>
      </c>
      <c r="F6"/>
      <c r="G6"/>
      <c r="H6"/>
      <c r="I6"/>
      <c r="J6"/>
      <c r="K6"/>
    </row>
    <row r="7" ht="16" customHeight="1" spans="2:11">
      <c r="B7" s="9" t="s">
        <v>4</v>
      </c>
      <c r="C7" s="19">
        <f>C5+C6</f>
        <v>1880</v>
      </c>
      <c r="F7"/>
      <c r="G7"/>
      <c r="H7"/>
      <c r="I7"/>
      <c r="J7"/>
      <c r="K7"/>
    </row>
    <row r="8" ht="16" customHeight="1" spans="2:11">
      <c r="B8" s="9" t="s">
        <v>5</v>
      </c>
      <c r="C8" s="20">
        <v>0.31</v>
      </c>
      <c r="F8"/>
      <c r="G8" s="12"/>
      <c r="H8"/>
      <c r="I8"/>
      <c r="J8"/>
      <c r="K8"/>
    </row>
    <row r="9" ht="16" customHeight="1" spans="2:11">
      <c r="B9" s="9" t="s">
        <v>6</v>
      </c>
      <c r="C9" s="21">
        <f>4*12</f>
        <v>48</v>
      </c>
      <c r="F9"/>
      <c r="G9" s="12"/>
      <c r="H9"/>
      <c r="I9"/>
      <c r="J9"/>
      <c r="K9"/>
    </row>
    <row r="10" ht="16" customHeight="1" spans="2:11">
      <c r="B10" s="9" t="s">
        <v>7</v>
      </c>
      <c r="C10" s="19">
        <f>PMT(C8/12,C9,-C7)</f>
        <v>68.7890660098966</v>
      </c>
      <c r="F10"/>
      <c r="G10" s="12"/>
      <c r="H10"/>
      <c r="I10"/>
      <c r="J10"/>
      <c r="K10"/>
    </row>
    <row r="11" ht="16" customHeight="1" spans="2:11">
      <c r="B11" s="9" t="s">
        <v>8</v>
      </c>
      <c r="C11" s="19">
        <f>C10*C9</f>
        <v>3301.87516847504</v>
      </c>
      <c r="H11"/>
      <c r="I11"/>
      <c r="J11"/>
      <c r="K11"/>
    </row>
    <row r="12" ht="16" customHeight="1" spans="2:11">
      <c r="B12" s="9" t="s">
        <v>9</v>
      </c>
      <c r="C12" s="19">
        <f>C11-C7</f>
        <v>1421.87516847504</v>
      </c>
      <c r="F12"/>
      <c r="G12"/>
      <c r="H12"/>
      <c r="I12"/>
      <c r="J12"/>
      <c r="K12"/>
    </row>
    <row r="13" ht="16" customHeight="1" spans="3:11">
      <c r="C13" s="12"/>
      <c r="F13"/>
      <c r="G13"/>
      <c r="H13"/>
      <c r="I13"/>
      <c r="J13"/>
      <c r="K13"/>
    </row>
    <row r="14" ht="16" customHeight="1" spans="2:11">
      <c r="B14" s="14" t="s">
        <v>10</v>
      </c>
      <c r="C14" s="14"/>
      <c r="D14" s="15"/>
      <c r="E14" s="16"/>
      <c r="F14"/>
      <c r="G14"/>
      <c r="H14"/>
      <c r="I14"/>
      <c r="J14"/>
      <c r="K14"/>
    </row>
    <row r="15" ht="16" customHeight="1" spans="2:11">
      <c r="B15" s="17" t="s">
        <v>11</v>
      </c>
      <c r="C15" s="17" t="s">
        <v>12</v>
      </c>
      <c r="D15" s="17" t="s">
        <v>13</v>
      </c>
      <c r="E15" s="17" t="s">
        <v>14</v>
      </c>
      <c r="F15" s="17" t="s">
        <v>15</v>
      </c>
      <c r="G15"/>
      <c r="H15"/>
      <c r="I15"/>
      <c r="J15"/>
      <c r="K15"/>
    </row>
    <row r="16" ht="16" customHeight="1" spans="2:11">
      <c r="B16" s="17">
        <v>1</v>
      </c>
      <c r="C16" s="22">
        <f>C$7</f>
        <v>1880</v>
      </c>
      <c r="D16" s="22">
        <f>C16*(C$8/12)</f>
        <v>48.5666666666667</v>
      </c>
      <c r="E16" s="22">
        <f>C$10-D16</f>
        <v>20.2223993432299</v>
      </c>
      <c r="F16" s="22">
        <f>C16-E16</f>
        <v>1859.77760065677</v>
      </c>
      <c r="G16"/>
      <c r="H16"/>
      <c r="I16"/>
      <c r="J16"/>
      <c r="K16"/>
    </row>
    <row r="17" ht="16" customHeight="1" spans="2:11">
      <c r="B17" s="17">
        <v>2</v>
      </c>
      <c r="C17" s="23">
        <f>F16</f>
        <v>1859.77760065677</v>
      </c>
      <c r="D17" s="22">
        <f>C17*(C$8/12)</f>
        <v>48.0442546836332</v>
      </c>
      <c r="E17" s="22">
        <f>C$10-D17</f>
        <v>20.7448113262634</v>
      </c>
      <c r="F17" s="22">
        <f>C17-E17</f>
        <v>1839.03278933051</v>
      </c>
      <c r="G17"/>
      <c r="H17"/>
      <c r="I17"/>
      <c r="J17"/>
      <c r="K17"/>
    </row>
    <row r="18" ht="16" customHeight="1" spans="2:11">
      <c r="B18" s="17">
        <v>3</v>
      </c>
      <c r="C18" s="23">
        <f t="shared" ref="C18:C45" si="0">F17</f>
        <v>1839.03278933051</v>
      </c>
      <c r="D18" s="22">
        <f t="shared" ref="D18:D45" si="1">C18*(C$8/12)</f>
        <v>47.5083470577048</v>
      </c>
      <c r="E18" s="22">
        <f t="shared" ref="E18:E45" si="2">C$10-D18</f>
        <v>21.2807189521918</v>
      </c>
      <c r="F18" s="22">
        <f t="shared" ref="F18:F45" si="3">C18-E18</f>
        <v>1817.75207037832</v>
      </c>
      <c r="G18"/>
      <c r="H18"/>
      <c r="I18"/>
      <c r="J18"/>
      <c r="K18"/>
    </row>
    <row r="19" ht="16" customHeight="1" spans="2:11">
      <c r="B19" s="17">
        <v>4</v>
      </c>
      <c r="C19" s="23">
        <f t="shared" si="0"/>
        <v>1817.75207037832</v>
      </c>
      <c r="D19" s="22">
        <f t="shared" si="1"/>
        <v>46.9585951514398</v>
      </c>
      <c r="E19" s="22">
        <f t="shared" si="2"/>
        <v>21.8304708584568</v>
      </c>
      <c r="F19" s="22">
        <f t="shared" si="3"/>
        <v>1795.92159951986</v>
      </c>
      <c r="G19"/>
      <c r="H19"/>
      <c r="I19"/>
      <c r="J19"/>
      <c r="K19"/>
    </row>
    <row r="20" ht="16" customHeight="1" spans="2:11">
      <c r="B20" s="17">
        <v>5</v>
      </c>
      <c r="C20" s="23">
        <f t="shared" si="0"/>
        <v>1795.92159951986</v>
      </c>
      <c r="D20" s="22">
        <f t="shared" si="1"/>
        <v>46.3946413209297</v>
      </c>
      <c r="E20" s="22">
        <f t="shared" si="2"/>
        <v>22.3944246889669</v>
      </c>
      <c r="F20" s="22">
        <f t="shared" si="3"/>
        <v>1773.52717483089</v>
      </c>
      <c r="G20"/>
      <c r="H20"/>
      <c r="I20"/>
      <c r="J20"/>
      <c r="K20"/>
    </row>
    <row r="21" ht="16" customHeight="1" spans="2:11">
      <c r="B21" s="17">
        <v>6</v>
      </c>
      <c r="C21" s="23">
        <f t="shared" si="0"/>
        <v>1773.52717483089</v>
      </c>
      <c r="D21" s="22">
        <f t="shared" si="1"/>
        <v>45.8161186831314</v>
      </c>
      <c r="E21" s="22">
        <f t="shared" si="2"/>
        <v>22.9729473267652</v>
      </c>
      <c r="F21" s="22">
        <f t="shared" si="3"/>
        <v>1750.55422750413</v>
      </c>
      <c r="G21"/>
      <c r="H21"/>
      <c r="I21"/>
      <c r="J21"/>
      <c r="K21"/>
    </row>
    <row r="22" spans="2:11">
      <c r="B22" s="17">
        <v>7</v>
      </c>
      <c r="C22" s="23">
        <f t="shared" si="0"/>
        <v>1750.55422750413</v>
      </c>
      <c r="D22" s="22">
        <f t="shared" si="1"/>
        <v>45.2226508771899</v>
      </c>
      <c r="E22" s="22">
        <f t="shared" si="2"/>
        <v>23.5664151327067</v>
      </c>
      <c r="F22" s="22">
        <f t="shared" si="3"/>
        <v>1726.98781237142</v>
      </c>
      <c r="G22"/>
      <c r="H22"/>
      <c r="I22"/>
      <c r="J22"/>
      <c r="K22"/>
    </row>
    <row r="23" spans="2:11">
      <c r="B23" s="17">
        <v>8</v>
      </c>
      <c r="C23" s="23">
        <f t="shared" si="0"/>
        <v>1726.98781237142</v>
      </c>
      <c r="D23" s="22">
        <f t="shared" si="1"/>
        <v>44.613851819595</v>
      </c>
      <c r="E23" s="22">
        <f t="shared" si="2"/>
        <v>24.1752141903016</v>
      </c>
      <c r="F23" s="22">
        <f t="shared" si="3"/>
        <v>1702.81259818112</v>
      </c>
      <c r="G23"/>
      <c r="H23"/>
      <c r="I23"/>
      <c r="J23"/>
      <c r="K23"/>
    </row>
    <row r="24" spans="2:11">
      <c r="B24" s="17">
        <v>9</v>
      </c>
      <c r="C24" s="23">
        <f t="shared" si="0"/>
        <v>1702.81259818112</v>
      </c>
      <c r="D24" s="22">
        <f t="shared" si="1"/>
        <v>43.9893254530122</v>
      </c>
      <c r="E24" s="22">
        <f t="shared" si="2"/>
        <v>24.7997405568844</v>
      </c>
      <c r="F24" s="22">
        <f t="shared" si="3"/>
        <v>1678.01285762423</v>
      </c>
      <c r="G24"/>
      <c r="H24"/>
      <c r="I24"/>
      <c r="J24"/>
      <c r="K24"/>
    </row>
    <row r="25" spans="2:11">
      <c r="B25" s="17">
        <v>10</v>
      </c>
      <c r="C25" s="23">
        <f t="shared" si="0"/>
        <v>1678.01285762423</v>
      </c>
      <c r="D25" s="22">
        <f t="shared" si="1"/>
        <v>43.348665488626</v>
      </c>
      <c r="E25" s="22">
        <f t="shared" si="2"/>
        <v>25.4404005212706</v>
      </c>
      <c r="F25" s="22">
        <f t="shared" si="3"/>
        <v>1652.57245710296</v>
      </c>
      <c r="G25"/>
      <c r="H25"/>
      <c r="I25"/>
      <c r="J25"/>
      <c r="K25"/>
    </row>
    <row r="26" spans="2:11">
      <c r="B26" s="17">
        <v>11</v>
      </c>
      <c r="C26" s="23">
        <f t="shared" si="0"/>
        <v>1652.57245710296</v>
      </c>
      <c r="D26" s="22">
        <f t="shared" si="1"/>
        <v>42.6914551418265</v>
      </c>
      <c r="E26" s="22">
        <f t="shared" si="2"/>
        <v>26.09761086807</v>
      </c>
      <c r="F26" s="22">
        <f t="shared" si="3"/>
        <v>1626.47484623489</v>
      </c>
      <c r="G26"/>
      <c r="H26"/>
      <c r="I26"/>
      <c r="J26"/>
      <c r="K26"/>
    </row>
    <row r="27" spans="2:11">
      <c r="B27" s="17">
        <v>12</v>
      </c>
      <c r="C27" s="23">
        <f t="shared" si="0"/>
        <v>1626.47484623489</v>
      </c>
      <c r="D27" s="22">
        <f t="shared" si="1"/>
        <v>42.0172668610681</v>
      </c>
      <c r="E27" s="22">
        <f t="shared" si="2"/>
        <v>26.7717991488285</v>
      </c>
      <c r="F27" s="22">
        <f t="shared" si="3"/>
        <v>1599.70304708606</v>
      </c>
      <c r="G27"/>
      <c r="H27"/>
      <c r="I27"/>
      <c r="J27"/>
      <c r="K27"/>
    </row>
    <row r="28" spans="2:11">
      <c r="B28" s="17">
        <v>13</v>
      </c>
      <c r="C28" s="23">
        <f t="shared" si="0"/>
        <v>1599.70304708606</v>
      </c>
      <c r="D28" s="22">
        <f t="shared" si="1"/>
        <v>41.3256620497233</v>
      </c>
      <c r="E28" s="22">
        <f t="shared" si="2"/>
        <v>27.4634039601733</v>
      </c>
      <c r="F28" s="22">
        <f t="shared" si="3"/>
        <v>1572.23964312589</v>
      </c>
      <c r="G28"/>
      <c r="H28"/>
      <c r="I28"/>
      <c r="J28"/>
      <c r="K28"/>
    </row>
    <row r="29" spans="2:11">
      <c r="B29" s="17">
        <v>14</v>
      </c>
      <c r="C29" s="23">
        <f t="shared" si="0"/>
        <v>1572.23964312589</v>
      </c>
      <c r="D29" s="22">
        <f t="shared" si="1"/>
        <v>40.6161907807522</v>
      </c>
      <c r="E29" s="22">
        <f t="shared" si="2"/>
        <v>28.1728752291444</v>
      </c>
      <c r="F29" s="22">
        <f t="shared" si="3"/>
        <v>1544.06676789675</v>
      </c>
      <c r="G29"/>
      <c r="H29"/>
      <c r="I29"/>
      <c r="J29"/>
      <c r="K29"/>
    </row>
    <row r="30" spans="2:11">
      <c r="B30" s="17">
        <v>15</v>
      </c>
      <c r="C30" s="23">
        <f t="shared" si="0"/>
        <v>1544.06676789675</v>
      </c>
      <c r="D30" s="22">
        <f t="shared" si="1"/>
        <v>39.8883915039993</v>
      </c>
      <c r="E30" s="22">
        <f t="shared" si="2"/>
        <v>28.9006745058973</v>
      </c>
      <c r="F30" s="22">
        <f t="shared" si="3"/>
        <v>1515.16609339085</v>
      </c>
      <c r="G30"/>
      <c r="H30"/>
      <c r="I30"/>
      <c r="J30"/>
      <c r="K30"/>
    </row>
    <row r="31" spans="2:11">
      <c r="B31" s="17">
        <v>16</v>
      </c>
      <c r="C31" s="23">
        <f t="shared" si="0"/>
        <v>1515.16609339085</v>
      </c>
      <c r="D31" s="22">
        <f t="shared" si="1"/>
        <v>39.1417907459303</v>
      </c>
      <c r="E31" s="22">
        <f t="shared" si="2"/>
        <v>29.6472752639663</v>
      </c>
      <c r="F31" s="22">
        <f t="shared" si="3"/>
        <v>1485.51881812688</v>
      </c>
      <c r="G31"/>
      <c r="H31"/>
      <c r="I31"/>
      <c r="J31"/>
      <c r="K31"/>
    </row>
    <row r="32" spans="2:11">
      <c r="B32" s="17">
        <v>17</v>
      </c>
      <c r="C32" s="23">
        <f t="shared" si="0"/>
        <v>1485.51881812688</v>
      </c>
      <c r="D32" s="22">
        <f t="shared" si="1"/>
        <v>38.3759028016111</v>
      </c>
      <c r="E32" s="22">
        <f t="shared" si="2"/>
        <v>30.4131632082854</v>
      </c>
      <c r="F32" s="22">
        <f t="shared" si="3"/>
        <v>1455.1056549186</v>
      </c>
      <c r="G32"/>
      <c r="H32"/>
      <c r="I32"/>
      <c r="J32"/>
      <c r="K32"/>
    </row>
    <row r="33" spans="2:11">
      <c r="B33" s="17">
        <v>18</v>
      </c>
      <c r="C33" s="23">
        <f t="shared" si="0"/>
        <v>1455.1056549186</v>
      </c>
      <c r="D33" s="22">
        <f t="shared" si="1"/>
        <v>37.5902294187304</v>
      </c>
      <c r="E33" s="22">
        <f t="shared" si="2"/>
        <v>31.1988365911661</v>
      </c>
      <c r="F33" s="22">
        <f t="shared" si="3"/>
        <v>1423.90681832743</v>
      </c>
      <c r="G33"/>
      <c r="H33"/>
      <c r="I33"/>
      <c r="J33"/>
      <c r="K33"/>
    </row>
    <row r="34" spans="2:6">
      <c r="B34" s="17">
        <v>19</v>
      </c>
      <c r="C34" s="23">
        <f t="shared" si="0"/>
        <v>1423.90681832743</v>
      </c>
      <c r="D34" s="22">
        <f t="shared" si="1"/>
        <v>36.7842594734587</v>
      </c>
      <c r="E34" s="22">
        <f t="shared" si="2"/>
        <v>32.0048065364379</v>
      </c>
      <c r="F34" s="22">
        <f t="shared" si="3"/>
        <v>1391.90201179099</v>
      </c>
    </row>
    <row r="35" spans="2:6">
      <c r="B35" s="17">
        <v>20</v>
      </c>
      <c r="C35" s="23">
        <f t="shared" si="0"/>
        <v>1391.90201179099</v>
      </c>
      <c r="D35" s="22">
        <f t="shared" si="1"/>
        <v>35.957468637934</v>
      </c>
      <c r="E35" s="22">
        <f t="shared" si="2"/>
        <v>32.8315973719626</v>
      </c>
      <c r="F35" s="22">
        <f t="shared" si="3"/>
        <v>1359.07041441903</v>
      </c>
    </row>
    <row r="36" spans="2:6">
      <c r="B36" s="17">
        <v>21</v>
      </c>
      <c r="C36" s="23">
        <f t="shared" si="0"/>
        <v>1359.07041441903</v>
      </c>
      <c r="D36" s="22">
        <f t="shared" si="1"/>
        <v>35.1093190391583</v>
      </c>
      <c r="E36" s="22">
        <f t="shared" si="2"/>
        <v>33.6797469707383</v>
      </c>
      <c r="F36" s="22">
        <f t="shared" si="3"/>
        <v>1325.39066744829</v>
      </c>
    </row>
    <row r="37" spans="2:6">
      <c r="B37" s="17">
        <v>22</v>
      </c>
      <c r="C37" s="23">
        <f t="shared" si="0"/>
        <v>1325.39066744829</v>
      </c>
      <c r="D37" s="22">
        <f t="shared" si="1"/>
        <v>34.2392589090809</v>
      </c>
      <c r="E37" s="22">
        <f t="shared" si="2"/>
        <v>34.5498071008157</v>
      </c>
      <c r="F37" s="22">
        <f t="shared" si="3"/>
        <v>1290.84086034748</v>
      </c>
    </row>
    <row r="38" spans="2:6">
      <c r="B38" s="17">
        <v>23</v>
      </c>
      <c r="C38" s="23">
        <f t="shared" si="0"/>
        <v>1290.84086034748</v>
      </c>
      <c r="D38" s="22">
        <f t="shared" si="1"/>
        <v>33.3467222256432</v>
      </c>
      <c r="E38" s="22">
        <f t="shared" si="2"/>
        <v>35.4423437842534</v>
      </c>
      <c r="F38" s="22">
        <f t="shared" si="3"/>
        <v>1255.39851656322</v>
      </c>
    </row>
    <row r="39" spans="2:6">
      <c r="B39" s="17">
        <v>24</v>
      </c>
      <c r="C39" s="23">
        <f t="shared" si="0"/>
        <v>1255.39851656322</v>
      </c>
      <c r="D39" s="22">
        <f t="shared" si="1"/>
        <v>32.4311283445499</v>
      </c>
      <c r="E39" s="22">
        <f t="shared" si="2"/>
        <v>36.3579376653466</v>
      </c>
      <c r="F39" s="22">
        <f t="shared" si="3"/>
        <v>1219.04057889788</v>
      </c>
    </row>
    <row r="40" spans="2:6">
      <c r="B40" s="17">
        <v>25</v>
      </c>
      <c r="C40" s="23">
        <f t="shared" si="0"/>
        <v>1219.04057889788</v>
      </c>
      <c r="D40" s="22">
        <f t="shared" si="1"/>
        <v>31.4918816215285</v>
      </c>
      <c r="E40" s="22">
        <f t="shared" si="2"/>
        <v>37.2971843883681</v>
      </c>
      <c r="F40" s="22">
        <f t="shared" si="3"/>
        <v>1181.74339450951</v>
      </c>
    </row>
    <row r="41" spans="2:6">
      <c r="B41" s="17">
        <v>26</v>
      </c>
      <c r="C41" s="23">
        <f t="shared" si="0"/>
        <v>1181.74339450951</v>
      </c>
      <c r="D41" s="22">
        <f t="shared" si="1"/>
        <v>30.528371024829</v>
      </c>
      <c r="E41" s="22">
        <f t="shared" si="2"/>
        <v>38.2606949850676</v>
      </c>
      <c r="F41" s="22">
        <f t="shared" si="3"/>
        <v>1143.48269952444</v>
      </c>
    </row>
    <row r="42" spans="2:6">
      <c r="B42" s="17">
        <v>27</v>
      </c>
      <c r="C42" s="23">
        <f t="shared" si="0"/>
        <v>1143.48269952444</v>
      </c>
      <c r="D42" s="22">
        <f t="shared" si="1"/>
        <v>29.5399697377147</v>
      </c>
      <c r="E42" s="22">
        <f t="shared" si="2"/>
        <v>39.2490962721818</v>
      </c>
      <c r="F42" s="22">
        <f t="shared" si="3"/>
        <v>1104.23360325226</v>
      </c>
    </row>
    <row r="43" spans="2:6">
      <c r="B43" s="17">
        <v>28</v>
      </c>
      <c r="C43" s="23">
        <f t="shared" si="0"/>
        <v>1104.23360325226</v>
      </c>
      <c r="D43" s="22">
        <f t="shared" si="1"/>
        <v>28.5260347506834</v>
      </c>
      <c r="E43" s="22">
        <f t="shared" si="2"/>
        <v>40.2630312592132</v>
      </c>
      <c r="F43" s="22">
        <f t="shared" si="3"/>
        <v>1063.97057199305</v>
      </c>
    </row>
    <row r="44" spans="2:6">
      <c r="B44" s="17">
        <v>29</v>
      </c>
      <c r="C44" s="23">
        <f t="shared" si="0"/>
        <v>1063.97057199305</v>
      </c>
      <c r="D44" s="22">
        <f t="shared" si="1"/>
        <v>27.4859064431537</v>
      </c>
      <c r="E44" s="22">
        <f t="shared" si="2"/>
        <v>41.3031595667429</v>
      </c>
      <c r="F44" s="22">
        <f t="shared" si="3"/>
        <v>1022.6674124263</v>
      </c>
    </row>
    <row r="45" spans="2:6">
      <c r="B45" s="17">
        <v>30</v>
      </c>
      <c r="C45" s="23">
        <f t="shared" si="0"/>
        <v>1022.6674124263</v>
      </c>
      <c r="D45" s="22">
        <f t="shared" si="1"/>
        <v>26.4189081543462</v>
      </c>
      <c r="E45" s="22">
        <f t="shared" si="2"/>
        <v>42.3701578555504</v>
      </c>
      <c r="F45" s="22">
        <f t="shared" si="3"/>
        <v>980.297254570753</v>
      </c>
    </row>
    <row r="46" spans="2:6">
      <c r="B46" s="17"/>
      <c r="C46" s="24"/>
      <c r="D46" s="16"/>
      <c r="E46" s="16"/>
      <c r="F46" s="16"/>
    </row>
    <row r="47" spans="2:6">
      <c r="B47" s="5"/>
      <c r="C47" s="24"/>
      <c r="D47" s="16"/>
      <c r="E47" s="16"/>
      <c r="F47" s="16"/>
    </row>
    <row r="48" spans="2:6">
      <c r="B48" s="5"/>
      <c r="C48" s="24"/>
      <c r="D48" s="16"/>
      <c r="E48" s="16"/>
      <c r="F48" s="16"/>
    </row>
    <row r="49" spans="2:6">
      <c r="B49" s="5"/>
      <c r="C49" s="24"/>
      <c r="D49" s="16"/>
      <c r="E49" s="16"/>
      <c r="F49" s="16"/>
    </row>
    <row r="50" spans="2:6">
      <c r="B50" s="5"/>
      <c r="C50" s="24"/>
      <c r="D50" s="16"/>
      <c r="E50" s="16"/>
      <c r="F50" s="16"/>
    </row>
    <row r="51" spans="2:6">
      <c r="B51" s="5"/>
      <c r="C51" s="24"/>
      <c r="D51" s="16"/>
      <c r="E51" s="16"/>
      <c r="F51" s="16"/>
    </row>
    <row r="52" spans="2:6">
      <c r="B52" s="5"/>
      <c r="C52" s="24"/>
      <c r="D52" s="16"/>
      <c r="E52" s="16"/>
      <c r="F52" s="16"/>
    </row>
    <row r="53" spans="2:6">
      <c r="B53" s="5"/>
      <c r="C53" s="24"/>
      <c r="D53" s="16"/>
      <c r="E53" s="16"/>
      <c r="F53" s="16"/>
    </row>
    <row r="54" spans="2:6">
      <c r="B54" s="5"/>
      <c r="C54" s="24"/>
      <c r="D54" s="16"/>
      <c r="E54" s="16"/>
      <c r="F54" s="16"/>
    </row>
    <row r="55" spans="2:6">
      <c r="B55" s="5"/>
      <c r="C55" s="24"/>
      <c r="D55" s="16"/>
      <c r="E55" s="16"/>
      <c r="F55" s="16"/>
    </row>
    <row r="56" spans="2:6">
      <c r="B56" s="5"/>
      <c r="C56" s="24"/>
      <c r="D56" s="16"/>
      <c r="E56" s="16"/>
      <c r="F56" s="16"/>
    </row>
    <row r="57" spans="2:6">
      <c r="B57" s="5"/>
      <c r="C57" s="24"/>
      <c r="D57" s="16"/>
      <c r="E57" s="16"/>
      <c r="F57" s="16"/>
    </row>
    <row r="58" spans="2:6">
      <c r="B58" s="5"/>
      <c r="C58" s="24"/>
      <c r="D58" s="16"/>
      <c r="E58" s="16"/>
      <c r="F58" s="16"/>
    </row>
    <row r="59" spans="2:6">
      <c r="B59" s="5"/>
      <c r="C59" s="24"/>
      <c r="D59" s="16"/>
      <c r="E59" s="16"/>
      <c r="F59" s="16"/>
    </row>
    <row r="60" spans="2:6">
      <c r="B60" s="5"/>
      <c r="C60" s="24"/>
      <c r="D60" s="16"/>
      <c r="E60" s="16"/>
      <c r="F60" s="16"/>
    </row>
    <row r="61" spans="2:6">
      <c r="B61" s="5"/>
      <c r="C61" s="24"/>
      <c r="D61" s="16"/>
      <c r="E61" s="16"/>
      <c r="F61" s="16"/>
    </row>
    <row r="62" spans="2:6">
      <c r="B62" s="5"/>
      <c r="C62" s="24"/>
      <c r="D62" s="16"/>
      <c r="E62" s="16"/>
      <c r="F62" s="16"/>
    </row>
    <row r="63" spans="2:6">
      <c r="B63" s="5"/>
      <c r="C63" s="24"/>
      <c r="D63" s="16"/>
      <c r="E63" s="16"/>
      <c r="F63" s="16"/>
    </row>
    <row r="64" spans="6:6">
      <c r="F64" s="5"/>
    </row>
    <row r="65" spans="6:6">
      <c r="F65" s="5"/>
    </row>
    <row r="66" spans="6:6">
      <c r="F66" s="5"/>
    </row>
    <row r="67" spans="6:6">
      <c r="F67" s="5"/>
    </row>
    <row r="68" spans="6:6">
      <c r="F68" s="5"/>
    </row>
    <row r="69" spans="6:6">
      <c r="F69" s="5"/>
    </row>
    <row r="70" spans="6:6">
      <c r="F70" s="5"/>
    </row>
    <row r="71" spans="6:6">
      <c r="F71" s="5"/>
    </row>
    <row r="72" spans="6:6">
      <c r="F72" s="5"/>
    </row>
  </sheetData>
  <mergeCells count="2">
    <mergeCell ref="B4:C4"/>
    <mergeCell ref="B14:C14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2"/>
  <sheetViews>
    <sheetView workbookViewId="0">
      <selection activeCell="E23" sqref="E23"/>
    </sheetView>
  </sheetViews>
  <sheetFormatPr defaultColWidth="11" defaultRowHeight="15.6"/>
  <cols>
    <col min="1" max="1" width="3.16666666666667" customWidth="1"/>
    <col min="2" max="2" width="17.5" customWidth="1"/>
    <col min="3" max="5" width="16.8333333333333" customWidth="1"/>
    <col min="6" max="6" width="16.8333333333333" style="3" customWidth="1"/>
    <col min="7" max="7" width="10.8333333333333" style="4" customWidth="1"/>
    <col min="8" max="8" width="10.8333333333333" style="5" customWidth="1"/>
    <col min="9" max="9" width="10.8333333333333" style="5"/>
    <col min="10" max="11" width="10.8333333333333" style="5" customWidth="1"/>
  </cols>
  <sheetData>
    <row r="2" ht="23.4" spans="2:4">
      <c r="B2" s="6" t="s">
        <v>17</v>
      </c>
      <c r="D2" s="7" t="s">
        <v>18</v>
      </c>
    </row>
    <row r="3" ht="16" customHeight="1" spans="6:6">
      <c r="F3" s="5"/>
    </row>
    <row r="4" ht="16" customHeight="1" spans="2:11">
      <c r="B4" s="8" t="s">
        <v>1</v>
      </c>
      <c r="C4" s="8"/>
      <c r="F4"/>
      <c r="G4"/>
      <c r="H4"/>
      <c r="I4"/>
      <c r="J4"/>
      <c r="K4"/>
    </row>
    <row r="5" ht="16" customHeight="1" spans="2:11">
      <c r="B5" s="9" t="s">
        <v>2</v>
      </c>
      <c r="C5" s="10"/>
      <c r="F5"/>
      <c r="G5"/>
      <c r="H5"/>
      <c r="I5"/>
      <c r="J5"/>
      <c r="K5"/>
    </row>
    <row r="6" ht="16" customHeight="1" spans="2:11">
      <c r="B6" s="9" t="s">
        <v>3</v>
      </c>
      <c r="C6" s="10"/>
      <c r="F6"/>
      <c r="G6"/>
      <c r="H6"/>
      <c r="I6"/>
      <c r="J6"/>
      <c r="K6"/>
    </row>
    <row r="7" ht="16" customHeight="1" spans="2:11">
      <c r="B7" s="9" t="s">
        <v>4</v>
      </c>
      <c r="C7" s="10"/>
      <c r="F7"/>
      <c r="G7"/>
      <c r="H7"/>
      <c r="I7"/>
      <c r="J7"/>
      <c r="K7"/>
    </row>
    <row r="8" ht="16" customHeight="1" spans="2:11">
      <c r="B8" s="9" t="s">
        <v>5</v>
      </c>
      <c r="C8" s="11"/>
      <c r="F8"/>
      <c r="G8" s="12"/>
      <c r="H8"/>
      <c r="I8"/>
      <c r="J8"/>
      <c r="K8"/>
    </row>
    <row r="9" ht="16" customHeight="1" spans="2:11">
      <c r="B9" s="9" t="s">
        <v>6</v>
      </c>
      <c r="C9" s="13"/>
      <c r="F9"/>
      <c r="G9" s="12"/>
      <c r="H9"/>
      <c r="I9"/>
      <c r="J9"/>
      <c r="K9"/>
    </row>
    <row r="10" ht="16" customHeight="1" spans="2:11">
      <c r="B10" s="9" t="s">
        <v>7</v>
      </c>
      <c r="C10" s="10"/>
      <c r="F10"/>
      <c r="G10" s="12"/>
      <c r="H10"/>
      <c r="I10"/>
      <c r="J10"/>
      <c r="K10"/>
    </row>
    <row r="11" ht="16" customHeight="1" spans="2:11">
      <c r="B11" s="9" t="s">
        <v>8</v>
      </c>
      <c r="C11" s="10"/>
      <c r="H11"/>
      <c r="I11"/>
      <c r="J11"/>
      <c r="K11"/>
    </row>
    <row r="12" ht="16" customHeight="1" spans="2:11">
      <c r="B12" s="9" t="s">
        <v>9</v>
      </c>
      <c r="C12" s="10"/>
      <c r="F12"/>
      <c r="G12"/>
      <c r="H12"/>
      <c r="I12"/>
      <c r="J12"/>
      <c r="K12"/>
    </row>
    <row r="13" ht="16" customHeight="1" spans="3:11">
      <c r="C13" s="12"/>
      <c r="F13"/>
      <c r="G13"/>
      <c r="H13"/>
      <c r="I13"/>
      <c r="J13"/>
      <c r="K13"/>
    </row>
    <row r="14" ht="16" customHeight="1" spans="2:11">
      <c r="B14" s="14" t="s">
        <v>10</v>
      </c>
      <c r="C14" s="14"/>
      <c r="D14" s="15"/>
      <c r="E14" s="16"/>
      <c r="F14"/>
      <c r="G14"/>
      <c r="H14"/>
      <c r="I14"/>
      <c r="J14"/>
      <c r="K14"/>
    </row>
    <row r="15" ht="16" customHeight="1" spans="2:11">
      <c r="B15" s="17" t="s">
        <v>11</v>
      </c>
      <c r="C15" s="17" t="s">
        <v>12</v>
      </c>
      <c r="D15" s="17" t="s">
        <v>13</v>
      </c>
      <c r="E15" s="17" t="s">
        <v>14</v>
      </c>
      <c r="F15" s="17" t="s">
        <v>15</v>
      </c>
      <c r="G15"/>
      <c r="H15"/>
      <c r="I15"/>
      <c r="J15"/>
      <c r="K15"/>
    </row>
    <row r="16" ht="16" customHeight="1" spans="2:11">
      <c r="B16" s="17">
        <v>1</v>
      </c>
      <c r="C16" s="10"/>
      <c r="D16" s="10"/>
      <c r="E16" s="10"/>
      <c r="F16" s="10"/>
      <c r="G16"/>
      <c r="H16"/>
      <c r="I16"/>
      <c r="J16"/>
      <c r="K16"/>
    </row>
    <row r="17" ht="16" customHeight="1" spans="2:11">
      <c r="B17" s="17">
        <v>2</v>
      </c>
      <c r="C17" s="10"/>
      <c r="D17" s="10"/>
      <c r="E17" s="10"/>
      <c r="F17" s="10"/>
      <c r="G17"/>
      <c r="H17"/>
      <c r="I17"/>
      <c r="J17"/>
      <c r="K17"/>
    </row>
    <row r="18" ht="16" customHeight="1" spans="2:11">
      <c r="B18" s="17">
        <v>3</v>
      </c>
      <c r="C18" s="10"/>
      <c r="D18" s="10"/>
      <c r="E18" s="10"/>
      <c r="F18" s="10"/>
      <c r="G18"/>
      <c r="H18"/>
      <c r="I18"/>
      <c r="J18"/>
      <c r="K18"/>
    </row>
    <row r="19" ht="16" customHeight="1" spans="2:11">
      <c r="B19" s="17">
        <v>4</v>
      </c>
      <c r="C19" s="10"/>
      <c r="D19" s="10"/>
      <c r="E19" s="10"/>
      <c r="F19" s="10"/>
      <c r="G19"/>
      <c r="H19"/>
      <c r="I19"/>
      <c r="J19"/>
      <c r="K19"/>
    </row>
    <row r="20" ht="16" customHeight="1" spans="2:11">
      <c r="B20" s="17">
        <v>5</v>
      </c>
      <c r="C20" s="10"/>
      <c r="D20" s="10"/>
      <c r="E20" s="10"/>
      <c r="F20" s="10"/>
      <c r="G20"/>
      <c r="H20"/>
      <c r="I20"/>
      <c r="J20"/>
      <c r="K20"/>
    </row>
    <row r="21" ht="16" customHeight="1" spans="6:11">
      <c r="F21"/>
      <c r="G21"/>
      <c r="H21"/>
      <c r="I21"/>
      <c r="J21"/>
      <c r="K21"/>
    </row>
    <row r="22" spans="6:11">
      <c r="F22"/>
      <c r="G22"/>
      <c r="H22"/>
      <c r="I22"/>
      <c r="J22"/>
      <c r="K22"/>
    </row>
    <row r="23" spans="6:11">
      <c r="F23"/>
      <c r="G23"/>
      <c r="H23"/>
      <c r="I23"/>
      <c r="J23"/>
      <c r="K23"/>
    </row>
    <row r="24" spans="6:11">
      <c r="F24"/>
      <c r="G24"/>
      <c r="H24"/>
      <c r="I24"/>
      <c r="J24"/>
      <c r="K24"/>
    </row>
    <row r="25" spans="6:11">
      <c r="F25"/>
      <c r="G25"/>
      <c r="H25"/>
      <c r="I25"/>
      <c r="J25"/>
      <c r="K25"/>
    </row>
    <row r="26" spans="6:11">
      <c r="F26"/>
      <c r="G26"/>
      <c r="H26"/>
      <c r="I26"/>
      <c r="J26"/>
      <c r="K26"/>
    </row>
    <row r="27" spans="6:11">
      <c r="F27"/>
      <c r="G27"/>
      <c r="H27"/>
      <c r="I27"/>
      <c r="J27"/>
      <c r="K27"/>
    </row>
    <row r="28" spans="6:11">
      <c r="F28"/>
      <c r="G28"/>
      <c r="H28"/>
      <c r="I28"/>
      <c r="J28"/>
      <c r="K28"/>
    </row>
    <row r="29" spans="6:11">
      <c r="F29"/>
      <c r="G29"/>
      <c r="H29"/>
      <c r="I29"/>
      <c r="J29"/>
      <c r="K29"/>
    </row>
    <row r="30" spans="6:11">
      <c r="F30"/>
      <c r="G30"/>
      <c r="H30"/>
      <c r="I30"/>
      <c r="J30"/>
      <c r="K30"/>
    </row>
    <row r="31" spans="6:11">
      <c r="F31"/>
      <c r="G31"/>
      <c r="H31"/>
      <c r="I31"/>
      <c r="J31"/>
      <c r="K31"/>
    </row>
    <row r="32" spans="6:11">
      <c r="F32"/>
      <c r="G32"/>
      <c r="H32"/>
      <c r="I32"/>
      <c r="J32"/>
      <c r="K32"/>
    </row>
    <row r="33" spans="6:11">
      <c r="F33"/>
      <c r="G33"/>
      <c r="H33"/>
      <c r="I33"/>
      <c r="J33"/>
      <c r="K33"/>
    </row>
    <row r="34" spans="6:6">
      <c r="F34" s="5"/>
    </row>
    <row r="35" spans="6:6">
      <c r="F35" s="5"/>
    </row>
    <row r="36" spans="6:6">
      <c r="F36" s="5"/>
    </row>
    <row r="37" spans="6:6">
      <c r="F37" s="5"/>
    </row>
    <row r="38" spans="6:6">
      <c r="F38" s="5"/>
    </row>
    <row r="39" spans="6:6">
      <c r="F39" s="5"/>
    </row>
    <row r="40" spans="6:6">
      <c r="F40" s="5"/>
    </row>
    <row r="41" spans="6:6">
      <c r="F41" s="5"/>
    </row>
    <row r="42" spans="6:6">
      <c r="F42" s="5"/>
    </row>
    <row r="43" spans="6:6">
      <c r="F43" s="5"/>
    </row>
    <row r="44" spans="6:6">
      <c r="F44" s="5"/>
    </row>
    <row r="45" spans="6:6">
      <c r="F45" s="5"/>
    </row>
    <row r="46" spans="6:6">
      <c r="F46" s="5"/>
    </row>
    <row r="47" spans="6:6">
      <c r="F47" s="5"/>
    </row>
    <row r="48" spans="6:6">
      <c r="F48" s="5"/>
    </row>
    <row r="49" spans="6:6">
      <c r="F49" s="5"/>
    </row>
    <row r="50" spans="6:6">
      <c r="F50" s="5"/>
    </row>
    <row r="51" spans="6:6">
      <c r="F51" s="5"/>
    </row>
    <row r="52" spans="6:6">
      <c r="F52" s="5"/>
    </row>
    <row r="53" spans="6:6">
      <c r="F53" s="5"/>
    </row>
    <row r="54" spans="6:6">
      <c r="F54" s="5"/>
    </row>
    <row r="55" spans="6:6">
      <c r="F55" s="5"/>
    </row>
    <row r="56" spans="6:6">
      <c r="F56" s="5"/>
    </row>
    <row r="57" spans="6:6">
      <c r="F57" s="5"/>
    </row>
    <row r="58" spans="6:6">
      <c r="F58" s="5"/>
    </row>
    <row r="59" spans="6:6">
      <c r="F59" s="5"/>
    </row>
    <row r="60" spans="6:6">
      <c r="F60" s="5"/>
    </row>
    <row r="61" spans="6:6">
      <c r="F61" s="5"/>
    </row>
    <row r="62" spans="6:6">
      <c r="F62" s="5"/>
    </row>
    <row r="63" spans="6:6">
      <c r="F63" s="5"/>
    </row>
    <row r="64" spans="6:6">
      <c r="F64" s="5"/>
    </row>
    <row r="65" spans="6:6">
      <c r="F65" s="5"/>
    </row>
    <row r="66" spans="6:6">
      <c r="F66" s="5"/>
    </row>
    <row r="67" spans="6:6">
      <c r="F67" s="5"/>
    </row>
    <row r="68" spans="6:6">
      <c r="F68" s="5"/>
    </row>
    <row r="69" spans="6:6">
      <c r="F69" s="5"/>
    </row>
    <row r="70" spans="6:6">
      <c r="F70" s="5"/>
    </row>
    <row r="71" spans="6:6">
      <c r="F71" s="5"/>
    </row>
    <row r="72" spans="6:6">
      <c r="F72" s="5"/>
    </row>
  </sheetData>
  <mergeCells count="2">
    <mergeCell ref="B4:C4"/>
    <mergeCell ref="B14:C14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opLeftCell="A28" workbookViewId="0">
      <selection activeCell="E5" sqref="E5"/>
    </sheetView>
  </sheetViews>
  <sheetFormatPr defaultColWidth="8.83333333333333" defaultRowHeight="15.6"/>
  <cols>
    <col min="1" max="1" width="10.1666666666667" customWidth="1"/>
    <col min="3" max="4" width="12.5" customWidth="1"/>
    <col min="5" max="6" width="12.6666666666667" customWidth="1"/>
    <col min="7" max="8" width="12" customWidth="1"/>
    <col min="9" max="9" width="13.1666666666667" customWidth="1"/>
  </cols>
  <sheetData>
    <row r="1" spans="1:3">
      <c r="A1" s="1" t="s">
        <v>19</v>
      </c>
      <c r="B1" s="1"/>
      <c r="C1" s="1"/>
    </row>
    <row r="3" spans="1:2">
      <c r="A3" t="s">
        <v>20</v>
      </c>
      <c r="B3" t="str">
        <f>IF('2-Year Loan'!C5-1800=0,"Correct","Error")</f>
        <v>Correct</v>
      </c>
    </row>
    <row r="4" spans="1:2">
      <c r="A4" t="s">
        <v>21</v>
      </c>
      <c r="B4" t="str">
        <f>IF('2-Year Loan'!C6-50=0,"Correct","Error")</f>
        <v>Correct</v>
      </c>
    </row>
    <row r="5" spans="1:2">
      <c r="A5" t="s">
        <v>22</v>
      </c>
      <c r="B5" t="str">
        <f>IF('2-Year Loan'!C7-1850=0,"Correct","Error")</f>
        <v>Correct</v>
      </c>
    </row>
    <row r="6" spans="1:2">
      <c r="A6" t="s">
        <v>23</v>
      </c>
      <c r="B6" t="str">
        <f>IF('2-Year Loan'!C8-0.23=0,"Correct","Error")</f>
        <v>Correct</v>
      </c>
    </row>
    <row r="7" spans="1:2">
      <c r="A7" t="s">
        <v>24</v>
      </c>
      <c r="B7" t="str">
        <f>IF('2-Year Loan'!C9-24=0,"Correct","Error")</f>
        <v>Correct</v>
      </c>
    </row>
    <row r="8" spans="1:2">
      <c r="A8" t="s">
        <v>25</v>
      </c>
      <c r="B8" t="str">
        <f>IF(ROUND('2-Year Loan'!C10,2)=96.89,"Correct","Error")</f>
        <v>Correct</v>
      </c>
    </row>
    <row r="9" spans="1:2">
      <c r="A9" t="s">
        <v>26</v>
      </c>
      <c r="B9" t="str">
        <f>IF(ROUND('2-Year Loan'!C11,1)=2325.4,"Correct","Error")</f>
        <v>Correct</v>
      </c>
    </row>
    <row r="10" spans="1:2">
      <c r="A10" t="s">
        <v>27</v>
      </c>
      <c r="B10" t="str">
        <f>IF(ROUND('2-Year Loan'!C12,2)=475.37,"Correct","Error")</f>
        <v>Correct</v>
      </c>
    </row>
    <row r="11" spans="3:10">
      <c r="C11" t="s">
        <v>28</v>
      </c>
      <c r="D11" t="str">
        <f>IF(ROUND('2-Year Loan'!C16,2)=1850,"Correct","Error")</f>
        <v>Correct</v>
      </c>
      <c r="E11" t="s">
        <v>29</v>
      </c>
      <c r="F11" t="str">
        <f>IF(ROUND('2-Year Loan'!D16,2)=35.46,"Correct","Error")</f>
        <v>Correct</v>
      </c>
      <c r="G11" t="s">
        <v>30</v>
      </c>
      <c r="H11" t="str">
        <f>IF(ROUND('2-Year Loan'!E16,2)=61.43,"Correct","Error")</f>
        <v>Correct</v>
      </c>
      <c r="I11" t="s">
        <v>31</v>
      </c>
      <c r="J11" t="str">
        <f>IF(ROUND('2-Year Loan'!F16,2)=1788.57,"Correct","Error")</f>
        <v>Correct</v>
      </c>
    </row>
    <row r="12" spans="3:10">
      <c r="C12" t="s">
        <v>32</v>
      </c>
      <c r="D12" t="str">
        <f>IF(ROUND('2-Year Loan'!C17,2)=1788.57,"Correct","Error")</f>
        <v>Correct</v>
      </c>
      <c r="E12" t="s">
        <v>33</v>
      </c>
      <c r="F12" t="str">
        <f>IF(ROUND('2-Year Loan'!D17,2)=34.28,"Correct","Error")</f>
        <v>Correct</v>
      </c>
      <c r="G12" t="s">
        <v>34</v>
      </c>
      <c r="H12" t="str">
        <f>IF(ROUND('2-Year Loan'!E17,2)=62.61,"Correct","Error")</f>
        <v>Correct</v>
      </c>
      <c r="I12" t="s">
        <v>35</v>
      </c>
      <c r="J12" t="str">
        <f>IF(ROUND('2-Year Loan'!F17,2)=1725.96,"Correct","Error")</f>
        <v>Correct</v>
      </c>
    </row>
    <row r="13" spans="3:10">
      <c r="C13" t="s">
        <v>36</v>
      </c>
      <c r="D13" t="str">
        <f>IF(ROUND('2-Year Loan'!C18,2)=1725.96,"Correct","Error")</f>
        <v>Correct</v>
      </c>
      <c r="E13" t="s">
        <v>37</v>
      </c>
      <c r="F13" t="str">
        <f>IF(ROUND('2-Year Loan'!D18,2)=33.08,"Correct","Error")</f>
        <v>Correct</v>
      </c>
      <c r="G13" t="s">
        <v>38</v>
      </c>
      <c r="H13" t="str">
        <f>IF(ROUND('2-Year Loan'!E18,2)=63.81,"Correct","Error")</f>
        <v>Correct</v>
      </c>
      <c r="I13" t="s">
        <v>39</v>
      </c>
      <c r="J13" t="str">
        <f>IF(ROUND('2-Year Loan'!F18,2)=1662.15,"Correct","Error")</f>
        <v>Correct</v>
      </c>
    </row>
    <row r="14" spans="3:10">
      <c r="C14" t="s">
        <v>40</v>
      </c>
      <c r="D14" t="str">
        <f>IF(ROUND('2-Year Loan'!C19,2)=1662.15,"Correct","Error")</f>
        <v>Correct</v>
      </c>
      <c r="E14" t="s">
        <v>41</v>
      </c>
      <c r="F14" t="str">
        <f>IF(ROUND('2-Year Loan'!D19,2)=31.86,"Correct","Error")</f>
        <v>Correct</v>
      </c>
      <c r="G14" t="s">
        <v>42</v>
      </c>
      <c r="H14" t="str">
        <f>IF(ROUND('2-Year Loan'!E19,2)=65.03,"Correct","Error")</f>
        <v>Correct</v>
      </c>
      <c r="I14" t="s">
        <v>43</v>
      </c>
      <c r="J14" t="str">
        <f>IF(ROUND('2-Year Loan'!F19,2)=1597.12,"Correct","Error")</f>
        <v>Correct</v>
      </c>
    </row>
    <row r="15" spans="3:10">
      <c r="C15" t="s">
        <v>44</v>
      </c>
      <c r="D15" t="str">
        <f>IF(ROUND('2-Year Loan'!C20,2)=1597.12,"Correct","Error")</f>
        <v>Correct</v>
      </c>
      <c r="E15" t="s">
        <v>45</v>
      </c>
      <c r="F15" t="str">
        <f>IF(ROUND('2-Year Loan'!D20,2)=30.61,"Correct","Error")</f>
        <v>Correct</v>
      </c>
      <c r="G15" t="s">
        <v>46</v>
      </c>
      <c r="H15" t="str">
        <f>IF(ROUND('2-Year Loan'!E20,2)=66.28,"Correct","Error")</f>
        <v>Correct</v>
      </c>
      <c r="I15" t="s">
        <v>47</v>
      </c>
      <c r="J15" t="str">
        <f>IF(ROUND('2-Year Loan'!F20,2)=1530.84,"Correct","Error")</f>
        <v>Correct</v>
      </c>
    </row>
    <row r="16" spans="3:10">
      <c r="C16" t="s">
        <v>48</v>
      </c>
      <c r="D16" t="str">
        <f>IF(ROUND('2-Year Loan'!C21,2)=1530.84,"Correct","Error")</f>
        <v>Correct</v>
      </c>
      <c r="E16" t="s">
        <v>49</v>
      </c>
      <c r="F16" t="str">
        <f>IF(ROUND('2-Year Loan'!D21,2)=29.34,"Correct","Error")</f>
        <v>Correct</v>
      </c>
      <c r="G16" t="s">
        <v>50</v>
      </c>
      <c r="H16" t="str">
        <f>IF(ROUND('2-Year Loan'!E21,2)=67.55,"Correct","Error")</f>
        <v>Correct</v>
      </c>
      <c r="I16" t="s">
        <v>51</v>
      </c>
      <c r="J16" t="str">
        <f>IF(ROUND('2-Year Loan'!F21,2)=1463.29,"Correct","Error")</f>
        <v>Correct</v>
      </c>
    </row>
    <row r="17" spans="3:10">
      <c r="C17" t="s">
        <v>52</v>
      </c>
      <c r="D17" t="str">
        <f>IF(ROUND('2-Year Loan'!C22,2)=1463.29,"Correct","Error")</f>
        <v>Correct</v>
      </c>
      <c r="E17" t="s">
        <v>53</v>
      </c>
      <c r="F17" t="str">
        <f>IF(ROUND('2-Year Loan'!D22,2)=28.05,"Correct","Error")</f>
        <v>Correct</v>
      </c>
      <c r="G17" t="s">
        <v>54</v>
      </c>
      <c r="H17" t="str">
        <f>IF(ROUND('2-Year Loan'!E22,2)=68.84,"Correct","Error")</f>
        <v>Correct</v>
      </c>
      <c r="I17" t="s">
        <v>55</v>
      </c>
      <c r="J17" t="str">
        <f>IF(ROUND('2-Year Loan'!F22,0)=1394,"Correct","Error")</f>
        <v>Correct</v>
      </c>
    </row>
    <row r="18" spans="3:10">
      <c r="C18" t="s">
        <v>56</v>
      </c>
      <c r="D18" t="str">
        <f>IF(ROUND('2-Year Loan'!C23,2)=1394.44,"Correct","Error")</f>
        <v>Correct</v>
      </c>
      <c r="E18" t="s">
        <v>57</v>
      </c>
      <c r="F18" t="str">
        <f>IF(ROUND('2-Year Loan'!D23,2)=26.73,"Correct","Error")</f>
        <v>Correct</v>
      </c>
      <c r="G18" t="s">
        <v>58</v>
      </c>
      <c r="H18" t="str">
        <f>IF(ROUND('2-Year Loan'!E23,2)=70.16,"Correct","Error")</f>
        <v>Correct</v>
      </c>
      <c r="I18" t="s">
        <v>59</v>
      </c>
      <c r="J18" t="str">
        <f>IF(ROUND('2-Year Loan'!F23,2)=1324.28,"Correct","Error")</f>
        <v>Correct</v>
      </c>
    </row>
    <row r="19" spans="3:10">
      <c r="C19" t="s">
        <v>60</v>
      </c>
      <c r="D19" t="str">
        <f>IF(ROUND('2-Year Loan'!C24,2)=1324.28,"Correct","Error")</f>
        <v>Correct</v>
      </c>
      <c r="E19" t="s">
        <v>61</v>
      </c>
      <c r="F19" t="str">
        <f>IF(ROUND('2-Year Loan'!D24,2)=25.38,"Correct","Error")</f>
        <v>Correct</v>
      </c>
      <c r="G19" t="s">
        <v>62</v>
      </c>
      <c r="H19" t="str">
        <f>IF(ROUND('2-Year Loan'!E24,2)=71.51,"Correct","Error")</f>
        <v>Correct</v>
      </c>
      <c r="I19" t="s">
        <v>63</v>
      </c>
      <c r="J19" t="str">
        <f>IF(ROUND('2-Year Loan'!F24,1)=1252.8,"Correct","Error")</f>
        <v>Correct</v>
      </c>
    </row>
    <row r="20" spans="3:10">
      <c r="C20" t="s">
        <v>64</v>
      </c>
      <c r="D20" t="str">
        <f>IF(ROUND('2-Year Loan'!C25,2)=1252.77,"Correct","Error")</f>
        <v>Correct</v>
      </c>
      <c r="E20" t="s">
        <v>65</v>
      </c>
      <c r="F20" t="str">
        <f>IF(ROUND('2-Year Loan'!D25,2)=24.01,"Correct","Error")</f>
        <v>Correct</v>
      </c>
      <c r="G20" t="s">
        <v>66</v>
      </c>
      <c r="H20" t="str">
        <f>IF(ROUND('2-Year Loan'!E25,2)=72.88,"Correct","Error")</f>
        <v>Correct</v>
      </c>
      <c r="I20" t="s">
        <v>67</v>
      </c>
      <c r="J20" t="str">
        <f>IF(ROUND('2-Year Loan'!F25,1)=1179.9,"Correct","Error")</f>
        <v>Correct</v>
      </c>
    </row>
    <row r="21" spans="3:10">
      <c r="C21" t="s">
        <v>68</v>
      </c>
      <c r="D21" t="str">
        <f>IF(ROUND('2-Year Loan'!C26,2)=1179.89,"Correct","Error")</f>
        <v>Correct</v>
      </c>
      <c r="E21" t="s">
        <v>69</v>
      </c>
      <c r="F21" t="str">
        <f>IF(ROUND('2-Year Loan'!D26,2)=22.61,"Correct","Error")</f>
        <v>Correct</v>
      </c>
      <c r="G21" t="s">
        <v>70</v>
      </c>
      <c r="H21" t="str">
        <f>IF(ROUND('2-Year Loan'!E26,2)=74.28,"Correct","Error")</f>
        <v>Correct</v>
      </c>
      <c r="I21" t="s">
        <v>71</v>
      </c>
      <c r="J21" t="str">
        <f>IF(ROUND('2-Year Loan'!F26,1)=1105.6,"Correct","Error")</f>
        <v>Correct</v>
      </c>
    </row>
    <row r="22" spans="3:10">
      <c r="C22" t="s">
        <v>72</v>
      </c>
      <c r="D22" t="str">
        <f>IF(ROUND('2-Year Loan'!C27,2)=1105.61,"Correct","Error")</f>
        <v>Correct</v>
      </c>
      <c r="E22" t="s">
        <v>73</v>
      </c>
      <c r="F22" t="str">
        <f>IF(ROUND('2-Year Loan'!D27,2)=21.19,"Correct","Error")</f>
        <v>Correct</v>
      </c>
      <c r="G22" t="s">
        <v>74</v>
      </c>
      <c r="H22" t="str">
        <f>IF(ROUND('2-Year Loan'!E27,2)=75.7,"Correct","Error")</f>
        <v>Correct</v>
      </c>
      <c r="I22" t="s">
        <v>75</v>
      </c>
      <c r="J22" t="str">
        <f>IF(ROUND('2-Year Loan'!F27,1)=1029.9,"Correct","Error")</f>
        <v>Correct</v>
      </c>
    </row>
    <row r="23" spans="3:10">
      <c r="C23" t="s">
        <v>76</v>
      </c>
      <c r="D23" t="str">
        <f>IF(ROUND('2-Year Loan'!C28,2)=1029.92,"Correct","Error")</f>
        <v>Correct</v>
      </c>
      <c r="E23" t="s">
        <v>77</v>
      </c>
      <c r="F23" t="str">
        <f>IF(ROUND('2-Year Loan'!D28,2)=19.74,"Correct","Error")</f>
        <v>Correct</v>
      </c>
      <c r="G23" t="s">
        <v>78</v>
      </c>
      <c r="H23" t="str">
        <f>IF(ROUND('2-Year Loan'!E28,2)=77.15,"Correct","Error")</f>
        <v>Correct</v>
      </c>
      <c r="I23" t="s">
        <v>79</v>
      </c>
      <c r="J23" t="str">
        <f>IF(ROUND('2-Year Loan'!F28,1)=952.8,"Correct","Error")</f>
        <v>Correct</v>
      </c>
    </row>
    <row r="24" spans="3:10">
      <c r="C24" t="s">
        <v>80</v>
      </c>
      <c r="D24" t="str">
        <f>IF(ROUND('2-Year Loan'!C29,2)=952.76,"Correct","Error")</f>
        <v>Correct</v>
      </c>
      <c r="E24" t="s">
        <v>81</v>
      </c>
      <c r="F24" t="str">
        <f>IF(ROUND('2-Year Loan'!D29,2)=18.26,"Correct","Error")</f>
        <v>Correct</v>
      </c>
      <c r="G24" t="s">
        <v>82</v>
      </c>
      <c r="H24" t="str">
        <f>IF(ROUND('2-Year Loan'!E29,2)=78.63,"Correct","Error")</f>
        <v>Correct</v>
      </c>
      <c r="I24" t="s">
        <v>83</v>
      </c>
      <c r="J24" t="str">
        <f>IF(ROUND('2-Year Loan'!F29,1)=874.1,"Correct","Error")</f>
        <v>Correct</v>
      </c>
    </row>
    <row r="25" spans="3:10">
      <c r="C25" t="s">
        <v>84</v>
      </c>
      <c r="D25" t="str">
        <f>IF(ROUND('2-Year Loan'!C30,2)=874.14,"Correct","Error")</f>
        <v>Correct</v>
      </c>
      <c r="E25" t="s">
        <v>85</v>
      </c>
      <c r="F25" t="str">
        <f>IF(ROUND('2-Year Loan'!D30,2)=16.75,"Correct","Error")</f>
        <v>Correct</v>
      </c>
      <c r="G25" t="s">
        <v>86</v>
      </c>
      <c r="H25" t="str">
        <f>IF(ROUND('2-Year Loan'!E30,2)=80.14,"Correct","Error")</f>
        <v>Correct</v>
      </c>
      <c r="I25" t="s">
        <v>87</v>
      </c>
      <c r="J25" t="str">
        <f>IF(ROUND('2-Year Loan'!F30,1)=794,"Correct","Error")</f>
        <v>Correct</v>
      </c>
    </row>
    <row r="26" ht="93.75" customHeight="1" spans="3:9">
      <c r="C26" s="2" t="s">
        <v>88</v>
      </c>
      <c r="D26" s="2"/>
      <c r="E26" s="2" t="s">
        <v>88</v>
      </c>
      <c r="F26" s="2"/>
      <c r="G26" s="2" t="s">
        <v>88</v>
      </c>
      <c r="H26" s="2"/>
      <c r="I26" s="2" t="s">
        <v>89</v>
      </c>
    </row>
    <row r="28" spans="1:2">
      <c r="A28" t="s">
        <v>90</v>
      </c>
      <c r="B28" t="str">
        <f>IF('4-Year Loan'!C5-1800=0,"Correct","Error")</f>
        <v>Correct</v>
      </c>
    </row>
    <row r="29" spans="1:2">
      <c r="A29" t="s">
        <v>91</v>
      </c>
      <c r="B29" t="str">
        <f>IF('4-Year Loan'!C6-80=0,"Correct","Error")</f>
        <v>Correct</v>
      </c>
    </row>
    <row r="30" spans="1:2">
      <c r="A30" t="s">
        <v>92</v>
      </c>
      <c r="B30" t="str">
        <f>IF('4-Year Loan'!C7-1880=0,"Correct","Error")</f>
        <v>Correct</v>
      </c>
    </row>
    <row r="31" spans="1:2">
      <c r="A31" t="s">
        <v>93</v>
      </c>
      <c r="B31" t="str">
        <f>IF('4-Year Loan'!C8-0.31=0,"Correct","Error")</f>
        <v>Correct</v>
      </c>
    </row>
    <row r="32" spans="1:2">
      <c r="A32" t="s">
        <v>94</v>
      </c>
      <c r="B32" t="str">
        <f>IF('4-Year Loan'!C9-48=0,"Correct","Error")</f>
        <v>Correct</v>
      </c>
    </row>
    <row r="33" spans="1:2">
      <c r="A33" t="s">
        <v>95</v>
      </c>
      <c r="B33" t="str">
        <f>IF(ROUND('4-Year Loan'!C10,2)=68.79,"Correct","Error")</f>
        <v>Correct</v>
      </c>
    </row>
    <row r="34" spans="1:2">
      <c r="A34" t="s">
        <v>96</v>
      </c>
      <c r="B34" t="str">
        <f>IF(ROUND('4-Year Loan'!C11,1)=3301.9,"Correct","Error")</f>
        <v>Correct</v>
      </c>
    </row>
    <row r="35" spans="1:2">
      <c r="A35" t="s">
        <v>97</v>
      </c>
      <c r="B35" t="str">
        <f>IF(ROUND('4-Year Loan'!C12,1)=1421.9,"Correct","Error")</f>
        <v>Correct</v>
      </c>
    </row>
    <row r="36" spans="3:10">
      <c r="C36" t="s">
        <v>98</v>
      </c>
      <c r="D36" t="str">
        <f>IF(ROUND('4-Year Loan'!C16,2)=1880,"Correct","Error")</f>
        <v>Correct</v>
      </c>
      <c r="E36" t="s">
        <v>99</v>
      </c>
      <c r="F36" t="str">
        <f>IF(ROUND('4-Year Loan'!D16,2)=48.57,"Correct","Error")</f>
        <v>Correct</v>
      </c>
      <c r="G36" t="s">
        <v>100</v>
      </c>
      <c r="H36" t="str">
        <f>IF(ROUND('4-Year Loan'!E16,2)=20.22,"Correct","Error")</f>
        <v>Correct</v>
      </c>
      <c r="I36" t="s">
        <v>101</v>
      </c>
      <c r="J36" t="str">
        <f>IF(ROUND('4-Year Loan'!F16,1)=1859.8,"Correct","Error")</f>
        <v>Correct</v>
      </c>
    </row>
    <row r="37" spans="3:10">
      <c r="C37" t="s">
        <v>102</v>
      </c>
      <c r="D37" t="str">
        <f>IF(ROUND('4-Year Loan'!C17,2)=1859.78,"Correct","Error")</f>
        <v>Correct</v>
      </c>
      <c r="E37" t="s">
        <v>103</v>
      </c>
      <c r="F37" t="str">
        <f>IF(ROUND('4-Year Loan'!D17,2)=48.04,"Correct","Error")</f>
        <v>Correct</v>
      </c>
      <c r="G37" t="s">
        <v>104</v>
      </c>
      <c r="H37" t="str">
        <f>IF(ROUND('4-Year Loan'!E17,2)=20.74,"Correct","Error")</f>
        <v>Correct</v>
      </c>
      <c r="I37" t="s">
        <v>105</v>
      </c>
      <c r="J37" t="str">
        <f>IF(ROUND('4-Year Loan'!F17,1)=1839,"Correct","Error")</f>
        <v>Correct</v>
      </c>
    </row>
    <row r="38" spans="3:10">
      <c r="C38" t="s">
        <v>106</v>
      </c>
      <c r="D38" t="str">
        <f>IF(ROUND('4-Year Loan'!C18,2)=1839.03,"Correct","Error")</f>
        <v>Correct</v>
      </c>
      <c r="E38" t="s">
        <v>107</v>
      </c>
      <c r="F38" t="str">
        <f>IF(ROUND('4-Year Loan'!D18,2)=47.51,"Correct","Error")</f>
        <v>Correct</v>
      </c>
      <c r="G38" t="s">
        <v>108</v>
      </c>
      <c r="H38" t="str">
        <f>IF(ROUND('4-Year Loan'!E18,2)=21.28,"Correct","Error")</f>
        <v>Correct</v>
      </c>
      <c r="I38" t="s">
        <v>109</v>
      </c>
      <c r="J38" t="str">
        <f>IF(ROUND('4-Year Loan'!F18,1)=1817.8,"Correct","Error")</f>
        <v>Correct</v>
      </c>
    </row>
    <row r="39" spans="3:10">
      <c r="C39" t="s">
        <v>110</v>
      </c>
      <c r="D39" t="str">
        <f>IF(ROUND('4-Year Loan'!C19,2)=1817.75,"Correct","Error")</f>
        <v>Correct</v>
      </c>
      <c r="E39" t="s">
        <v>111</v>
      </c>
      <c r="F39" t="str">
        <f>IF(ROUND('4-Year Loan'!D19,2)=46.96,"Correct","Error")</f>
        <v>Correct</v>
      </c>
      <c r="G39" t="s">
        <v>112</v>
      </c>
      <c r="H39" t="str">
        <f>IF(ROUND('4-Year Loan'!E19,2)=21.83,"Correct","Error")</f>
        <v>Correct</v>
      </c>
      <c r="I39" t="s">
        <v>113</v>
      </c>
      <c r="J39" t="str">
        <f>IF(ROUND('4-Year Loan'!F19,1)=1795.9,"Correct","Error")</f>
        <v>Correct</v>
      </c>
    </row>
    <row r="40" spans="3:10">
      <c r="C40" t="s">
        <v>114</v>
      </c>
      <c r="D40" t="str">
        <f>IF(ROUND('4-Year Loan'!C20,2)=1795.92,"Correct","Error")</f>
        <v>Correct</v>
      </c>
      <c r="E40" t="s">
        <v>115</v>
      </c>
      <c r="F40" t="str">
        <f>IF(ROUND('4-Year Loan'!D20,2)=46.39,"Correct","Error")</f>
        <v>Correct</v>
      </c>
      <c r="G40" t="s">
        <v>116</v>
      </c>
      <c r="H40" t="str">
        <f>IF(ROUND('4-Year Loan'!E20,2)=22.39,"Correct","Error")</f>
        <v>Correct</v>
      </c>
      <c r="I40" t="s">
        <v>117</v>
      </c>
      <c r="J40" t="str">
        <f>IF(ROUND('4-Year Loan'!F20,1)=1773.5,"Correct","Error")</f>
        <v>Correct</v>
      </c>
    </row>
    <row r="41" spans="3:10">
      <c r="C41" t="s">
        <v>118</v>
      </c>
      <c r="D41" t="str">
        <f>IF(ROUND('4-Year Loan'!C21,2)=1773.53,"Correct","Error")</f>
        <v>Correct</v>
      </c>
      <c r="E41" t="s">
        <v>119</v>
      </c>
      <c r="F41" t="str">
        <f>IF(ROUND('4-Year Loan'!D21,2)=45.82,"Correct","Error")</f>
        <v>Correct</v>
      </c>
      <c r="G41" t="s">
        <v>120</v>
      </c>
      <c r="H41" t="str">
        <f>IF(ROUND('4-Year Loan'!E21,2)=22.97,"Correct","Error")</f>
        <v>Correct</v>
      </c>
      <c r="I41" t="s">
        <v>121</v>
      </c>
      <c r="J41" t="str">
        <f>IF(ROUND('4-Year Loan'!F21,1)=1750.6,"Correct","Error")</f>
        <v>Correct</v>
      </c>
    </row>
    <row r="42" spans="3:10">
      <c r="C42" t="s">
        <v>122</v>
      </c>
      <c r="D42" t="str">
        <f>IF(ROUND('4-Year Loan'!C22,2)=1750.55,"Correct","Error")</f>
        <v>Correct</v>
      </c>
      <c r="E42" t="s">
        <v>123</v>
      </c>
      <c r="F42" t="str">
        <f>IF(ROUND('4-Year Loan'!D22,2)=45.22,"Correct","Error")</f>
        <v>Correct</v>
      </c>
      <c r="G42" t="s">
        <v>124</v>
      </c>
      <c r="H42" t="str">
        <f>IF(ROUND('4-Year Loan'!E22,2)=23.57,"Correct","Error")</f>
        <v>Correct</v>
      </c>
      <c r="I42" t="s">
        <v>125</v>
      </c>
      <c r="J42" t="str">
        <f>IF(ROUND('4-Year Loan'!F22,1)=1727,"Correct","Error")</f>
        <v>Correct</v>
      </c>
    </row>
    <row r="43" spans="3:10">
      <c r="C43" t="s">
        <v>126</v>
      </c>
      <c r="D43" t="str">
        <f>IF(ROUND('4-Year Loan'!C23,2)=1726.99,"Correct","Error")</f>
        <v>Correct</v>
      </c>
      <c r="E43" t="s">
        <v>127</v>
      </c>
      <c r="F43" t="str">
        <f>IF(ROUND('4-Year Loan'!D23,2)=44.61,"Correct","Error")</f>
        <v>Correct</v>
      </c>
      <c r="G43" t="s">
        <v>128</v>
      </c>
      <c r="H43" t="str">
        <f>IF(ROUND('4-Year Loan'!E23,2)=24.18,"Correct","Error")</f>
        <v>Correct</v>
      </c>
      <c r="I43" t="s">
        <v>129</v>
      </c>
      <c r="J43" t="str">
        <f>IF(ROUND('4-Year Loan'!F23,1)=1702.8,"Correct","Error")</f>
        <v>Correct</v>
      </c>
    </row>
    <row r="44" spans="3:10">
      <c r="C44" t="s">
        <v>130</v>
      </c>
      <c r="D44" t="str">
        <f>IF(ROUND('4-Year Loan'!C24,2)=1702.81,"Correct","Error")</f>
        <v>Correct</v>
      </c>
      <c r="E44" t="s">
        <v>131</v>
      </c>
      <c r="F44" t="str">
        <f>IF(ROUND('4-Year Loan'!D24,2)=43.99,"Correct","Error")</f>
        <v>Correct</v>
      </c>
      <c r="G44" t="s">
        <v>132</v>
      </c>
      <c r="H44" t="str">
        <f>IF(ROUND('4-Year Loan'!E24,2)=24.8,"Correct","Error")</f>
        <v>Correct</v>
      </c>
      <c r="I44" t="s">
        <v>133</v>
      </c>
      <c r="J44" t="str">
        <f>IF(ROUND('4-Year Loan'!F24,1)=1678,"Correct","Error")</f>
        <v>Correct</v>
      </c>
    </row>
    <row r="45" spans="3:10">
      <c r="C45" t="s">
        <v>134</v>
      </c>
      <c r="D45" t="str">
        <f>IF(ROUND('4-Year Loan'!C25,2)=1678.01,"Correct","Error")</f>
        <v>Correct</v>
      </c>
      <c r="E45" t="s">
        <v>135</v>
      </c>
      <c r="F45" t="str">
        <f>IF(ROUND('4-Year Loan'!D25,2)=43.35,"Correct","Error")</f>
        <v>Correct</v>
      </c>
      <c r="G45" t="s">
        <v>136</v>
      </c>
      <c r="H45" t="str">
        <f>IF(ROUND('4-Year Loan'!E25,2)=25.44,"Correct","Error")</f>
        <v>Correct</v>
      </c>
      <c r="I45" t="s">
        <v>137</v>
      </c>
      <c r="J45" t="str">
        <f>IF(ROUND('4-Year Loan'!F25,1)=1652.6,"Correct","Error")</f>
        <v>Correct</v>
      </c>
    </row>
    <row r="46" spans="3:10">
      <c r="C46" t="s">
        <v>138</v>
      </c>
      <c r="D46" t="str">
        <f>IF(ROUND('4-Year Loan'!C26,2)=1652.57,"Correct","Error")</f>
        <v>Correct</v>
      </c>
      <c r="E46" t="s">
        <v>139</v>
      </c>
      <c r="F46" t="str">
        <f>IF(ROUND('4-Year Loan'!D26,2)=42.69,"Correct","Error")</f>
        <v>Correct</v>
      </c>
      <c r="G46" t="s">
        <v>140</v>
      </c>
      <c r="H46" t="str">
        <f>IF(ROUND('4-Year Loan'!E26,2)=26.1,"Correct","Error")</f>
        <v>Correct</v>
      </c>
      <c r="I46" t="s">
        <v>141</v>
      </c>
      <c r="J46" t="str">
        <f>IF(ROUND('4-Year Loan'!F26,1)=1626.5,"Correct","Error")</f>
        <v>Correct</v>
      </c>
    </row>
    <row r="47" spans="3:10">
      <c r="C47" t="s">
        <v>142</v>
      </c>
      <c r="D47" t="str">
        <f>IF(ROUND('4-Year Loan'!C27,2)=1626.47,"Correct","Error")</f>
        <v>Correct</v>
      </c>
      <c r="E47" t="s">
        <v>143</v>
      </c>
      <c r="F47" t="str">
        <f>IF(ROUND('4-Year Loan'!D27,2)=42.02,"Correct","Error")</f>
        <v>Correct</v>
      </c>
      <c r="G47" t="s">
        <v>144</v>
      </c>
      <c r="H47" t="str">
        <f>IF(ROUND('4-Year Loan'!E27,2)=26.77,"Correct","Error")</f>
        <v>Correct</v>
      </c>
      <c r="I47" t="s">
        <v>145</v>
      </c>
      <c r="J47" t="str">
        <f>IF(ROUND('4-Year Loan'!F27,1)=1599.7,"Correct","Error")</f>
        <v>Correct</v>
      </c>
    </row>
    <row r="48" spans="3:10">
      <c r="C48" t="s">
        <v>146</v>
      </c>
      <c r="D48" t="str">
        <f>IF(ROUND('4-Year Loan'!C28,2)=1599.7,"Correct","Error")</f>
        <v>Correct</v>
      </c>
      <c r="E48" t="s">
        <v>147</v>
      </c>
      <c r="F48" t="str">
        <f>IF(ROUND('4-Year Loan'!D28,2)=41.33,"Correct","Error")</f>
        <v>Correct</v>
      </c>
      <c r="G48" t="s">
        <v>148</v>
      </c>
      <c r="H48" t="str">
        <f>IF(ROUND('4-Year Loan'!E28,2)=27.46,"Correct","Error")</f>
        <v>Correct</v>
      </c>
      <c r="I48" t="s">
        <v>149</v>
      </c>
      <c r="J48" t="str">
        <f>IF(ROUND('4-Year Loan'!F28,1)=1572.2,"Correct","Error")</f>
        <v>Correct</v>
      </c>
    </row>
    <row r="49" spans="3:10">
      <c r="C49" t="s">
        <v>150</v>
      </c>
      <c r="D49" t="str">
        <f>IF(ROUND('4-Year Loan'!C29,2)=1572.24,"Correct","Error")</f>
        <v>Correct</v>
      </c>
      <c r="E49" t="s">
        <v>151</v>
      </c>
      <c r="F49" t="str">
        <f>IF(ROUND('4-Year Loan'!D29,2)=40.62,"Correct","Error")</f>
        <v>Correct</v>
      </c>
      <c r="G49" t="s">
        <v>152</v>
      </c>
      <c r="H49" t="str">
        <f>IF(ROUND('4-Year Loan'!E29,2)=28.17,"Correct","Error")</f>
        <v>Correct</v>
      </c>
      <c r="I49" t="s">
        <v>153</v>
      </c>
      <c r="J49" t="str">
        <f>IF(ROUND('4-Year Loan'!F29,1)=1544.1,"Correct","Error")</f>
        <v>Correct</v>
      </c>
    </row>
    <row r="50" spans="3:10">
      <c r="C50" t="s">
        <v>154</v>
      </c>
      <c r="D50" t="str">
        <f>IF(ROUND('4-Year Loan'!C30,2)=1544.07,"Correct","Error")</f>
        <v>Correct</v>
      </c>
      <c r="E50" t="s">
        <v>155</v>
      </c>
      <c r="F50" t="str">
        <f>IF(ROUND('4-Year Loan'!D30,2)=39.89,"Correct","Error")</f>
        <v>Correct</v>
      </c>
      <c r="G50" t="s">
        <v>156</v>
      </c>
      <c r="H50" t="str">
        <f>IF(ROUND('4-Year Loan'!E30,2)=28.9,"Correct","Error")</f>
        <v>Correct</v>
      </c>
      <c r="I50" t="s">
        <v>157</v>
      </c>
      <c r="J50" t="str">
        <f>IF(ROUND('4-Year Loan'!F30,1)=1515.2,"Correct","Error")</f>
        <v>Correct</v>
      </c>
    </row>
    <row r="51" ht="93.6" spans="3:9">
      <c r="C51" s="2" t="s">
        <v>158</v>
      </c>
      <c r="D51" s="2"/>
      <c r="E51" s="2" t="s">
        <v>158</v>
      </c>
      <c r="F51" s="2"/>
      <c r="G51" s="2" t="s">
        <v>158</v>
      </c>
      <c r="H51" s="2"/>
      <c r="I51" s="2" t="s">
        <v>159</v>
      </c>
    </row>
  </sheetData>
  <sheetProtection algorithmName="SHA-512" hashValue="zbUKLcL7QjFNctJweua13RBRkEmCywf+NtozUTcUfcVxHBhFRE6GP9wfKPcaewottqc+AxWLhl/S/q7CDn1owQ==" saltValue="qCzCbt7kLtUL+qnptfwTPA==" spinCount="100000" sheet="1" selectLockedCells="1" selectUnlockedCells="1" objects="1" scenarios="1"/>
  <mergeCells count="1">
    <mergeCell ref="A1:C1"/>
  </mergeCells>
  <conditionalFormatting sqref="F9">
    <cfRule type="containsText" dxfId="0" priority="3" operator="between" text="Error">
      <formula>NOT(ISERROR(SEARCH("Error",F9)))</formula>
    </cfRule>
  </conditionalFormatting>
  <conditionalFormatting sqref="J26">
    <cfRule type="containsText" dxfId="0" priority="4" operator="between" text="Error">
      <formula>NOT(ISERROR(SEARCH("Error",J26)))</formula>
    </cfRule>
  </conditionalFormatting>
  <conditionalFormatting sqref="A3:J52">
    <cfRule type="containsText" dxfId="1" priority="1" operator="between" text="Correct">
      <formula>NOT(ISERROR(SEARCH("Correct",A3)))</formula>
    </cfRule>
  </conditionalFormatting>
  <conditionalFormatting sqref="A3:K54">
    <cfRule type="containsText" dxfId="0" priority="2" operator="between" text="Error">
      <formula>NOT(ISERROR(SEARCH("Error",A3)))</formula>
    </cfRule>
  </conditionalFormatting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7" master="" otherUserPermission="visible"/>
  <rangeList sheetStid="10" master="" otherUserPermission="visible"/>
  <rangeList sheetStid="11" master="" otherUserPermission="visible"/>
  <rangeList sheetStid="1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2-Year Loan</vt:lpstr>
      <vt:lpstr>4-Year Loan</vt:lpstr>
      <vt:lpstr>Your Own Loan</vt:lpstr>
      <vt:lpstr>How Did I 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JayR Lims</cp:lastModifiedBy>
  <dcterms:created xsi:type="dcterms:W3CDTF">2023-04-03T22:50:00Z</dcterms:created>
  <dcterms:modified xsi:type="dcterms:W3CDTF">2025-07-27T15:00:54Z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2025-07-01T12:35:06Z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42804ae1-d2e9-40b7-a4a3-45811234298b</vt:lpwstr>
  </property>
  <property fmtid="{D5CDD505-2E9C-101B-9397-08002B2CF9AE}" pid="7" name="MSIP_Label_defa4170-0d19-0005-0004-bc88714345d2_ActionId">
    <vt:lpwstr>7d6d0d9b-53b1-425e-918a-637f6ae08f2b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  <property fmtid="{D5CDD505-2E9C-101B-9397-08002B2CF9AE}" pid="10" name="ICV">
    <vt:lpwstr>DD5E9272C7A249BE98681AC46AAE588F_12</vt:lpwstr>
  </property>
  <property fmtid="{D5CDD505-2E9C-101B-9397-08002B2CF9AE}" pid="11" name="KSOProductBuildVer">
    <vt:lpwstr>1033-12.2.0.21931</vt:lpwstr>
  </property>
</Properties>
</file>