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Chocolate Factory(Excel)\"/>
    </mc:Choice>
  </mc:AlternateContent>
  <bookViews>
    <workbookView xWindow="0" yWindow="0" windowWidth="20490" windowHeight="7650" firstSheet="7" activeTab="11"/>
  </bookViews>
  <sheets>
    <sheet name="Data" sheetId="1" r:id="rId1"/>
    <sheet name="India Staff" sheetId="2" r:id="rId2"/>
    <sheet name="All Staff" sheetId="3" r:id="rId3"/>
    <sheet name="Male vs Female" sheetId="5" r:id="rId4"/>
    <sheet name="Bonus" sheetId="7" r:id="rId5"/>
    <sheet name="Salary Spread" sheetId="8" r:id="rId6"/>
    <sheet name="Salary vs Rating" sheetId="10" r:id="rId7"/>
    <sheet name="Employee Trend" sheetId="12" r:id="rId8"/>
    <sheet name="NZ VS INDIA(Report Card)" sheetId="13" r:id="rId9"/>
    <sheet name="employee and department" sheetId="14" r:id="rId10"/>
    <sheet name="Sheet3" sheetId="17" r:id="rId11"/>
    <sheet name="mapping" sheetId="11" r:id="rId12"/>
  </sheets>
  <definedNames>
    <definedName name="_xlnm._FilterDatabase" localSheetId="0" hidden="1">Data!$C$5:$I$105</definedName>
    <definedName name="_xlnm._FilterDatabase" localSheetId="1" hidden="1">'India Staff'!$B$2:$H$114</definedName>
    <definedName name="_xlchart.0" hidden="1">'All Staff'!$G$1</definedName>
    <definedName name="_xlchart.1" hidden="1">'All Staff'!$G$2:$G$184</definedName>
    <definedName name="_xlchart.2" hidden="1">'All Staff'!$G$1</definedName>
    <definedName name="_xlchart.3" hidden="1">'All Staff'!$G$2:$G$184</definedName>
    <definedName name="_xlchart.4" hidden="1">'All Staff'!$G$1</definedName>
    <definedName name="_xlchart.5" hidden="1">'All Staff'!$G$2:$G$184</definedName>
    <definedName name="_xlchart.6" hidden="1">'All Staff'!$G$1</definedName>
    <definedName name="_xlchart.7" hidden="1">'All Staff'!$G$2:$G$184</definedName>
    <definedName name="_xlchart.8" hidden="1">'All Staff'!$G$1</definedName>
    <definedName name="_xlchart.9" hidden="1">'All Staff'!$G$2:$G$184</definedName>
    <definedName name="_xlcn.WorksheetConnection_blankdatafile.xlsxStaff1" hidden="1">Staff[]</definedName>
    <definedName name="ExternalData_1" localSheetId="2" hidden="1">'All Staff'!$A$1:$H$184</definedName>
    <definedName name="Slicer_Country">#N/A</definedName>
  </definedNames>
  <calcPr calcId="162913"/>
  <pivotCaches>
    <pivotCache cacheId="0" r:id="rId13"/>
    <pivotCache cacheId="2" r:id="rId14"/>
    <pivotCache cacheId="3" r:id="rId15"/>
    <pivotCache cacheId="13" r:id="rId16"/>
  </pivotCaches>
  <extLst>
    <ext xmlns:x14="http://schemas.microsoft.com/office/spreadsheetml/2009/9/main" uri="{876F7934-8845-4945-9796-88D515C7AA90}">
      <x14:pivotCaches>
        <pivotCache cacheId="4"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3" l="1"/>
  <c r="L3" i="13"/>
  <c r="J3" i="13"/>
  <c r="G3" i="13"/>
  <c r="E3" i="13"/>
  <c r="C3" i="13"/>
  <c r="P6" i="12" l="1"/>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5" i="12"/>
  <c r="O18" i="3" l="1"/>
  <c r="P10" i="3" l="1"/>
  <c r="P7" i="3"/>
  <c r="P8" i="3"/>
  <c r="P3" i="3"/>
  <c r="I162" i="3"/>
  <c r="J162" i="3" s="1"/>
  <c r="I18" i="3"/>
  <c r="J18" i="3" s="1"/>
  <c r="I142" i="3"/>
  <c r="J142" i="3" s="1"/>
  <c r="I20" i="3"/>
  <c r="J20" i="3" s="1"/>
  <c r="I175" i="3"/>
  <c r="J175" i="3" s="1"/>
  <c r="I46" i="3"/>
  <c r="J46" i="3" s="1"/>
  <c r="I130" i="3"/>
  <c r="J130" i="3" s="1"/>
  <c r="I124" i="3"/>
  <c r="J124" i="3" s="1"/>
  <c r="I90" i="3"/>
  <c r="J90" i="3" s="1"/>
  <c r="I156" i="3"/>
  <c r="J156" i="3" s="1"/>
  <c r="I146" i="3"/>
  <c r="J146" i="3" s="1"/>
  <c r="I134" i="3"/>
  <c r="J134" i="3" s="1"/>
  <c r="I24" i="3"/>
  <c r="J24" i="3" s="1"/>
  <c r="I8" i="3"/>
  <c r="J8" i="3" s="1"/>
  <c r="I163" i="3"/>
  <c r="J163" i="3" s="1"/>
  <c r="I32" i="3"/>
  <c r="J32" i="3" s="1"/>
  <c r="I181" i="3"/>
  <c r="J181" i="3" s="1"/>
  <c r="I82" i="3"/>
  <c r="J82" i="3" s="1"/>
  <c r="I108" i="3"/>
  <c r="J108" i="3" s="1"/>
  <c r="I102" i="3"/>
  <c r="J102" i="3" s="1"/>
  <c r="I44" i="3"/>
  <c r="J44" i="3" s="1"/>
  <c r="I120" i="3"/>
  <c r="J120" i="3" s="1"/>
  <c r="I6" i="3"/>
  <c r="J6" i="3" s="1"/>
  <c r="I92" i="3"/>
  <c r="J92" i="3" s="1"/>
  <c r="I10" i="3"/>
  <c r="J10" i="3" s="1"/>
  <c r="I140" i="3"/>
  <c r="J140" i="3" s="1"/>
  <c r="I50" i="3"/>
  <c r="J50" i="3" s="1"/>
  <c r="I171" i="3"/>
  <c r="J171" i="3" s="1"/>
  <c r="I12" i="3"/>
  <c r="J12" i="3" s="1"/>
  <c r="I160" i="3"/>
  <c r="J160" i="3" s="1"/>
  <c r="I22" i="3"/>
  <c r="J22" i="3" s="1"/>
  <c r="I70" i="3"/>
  <c r="J70" i="3" s="1"/>
  <c r="I138" i="3"/>
  <c r="J138" i="3" s="1"/>
  <c r="I110" i="3"/>
  <c r="J110" i="3" s="1"/>
  <c r="I34" i="3"/>
  <c r="J34" i="3" s="1"/>
  <c r="I158" i="3"/>
  <c r="J158" i="3" s="1"/>
  <c r="I183" i="3"/>
  <c r="J183" i="3" s="1"/>
  <c r="I165" i="3"/>
  <c r="J165" i="3" s="1"/>
  <c r="I173" i="3"/>
  <c r="J173" i="3" s="1"/>
  <c r="I30" i="3"/>
  <c r="J30" i="3" s="1"/>
  <c r="I98" i="3"/>
  <c r="J98" i="3" s="1"/>
  <c r="I36" i="3"/>
  <c r="J36" i="3" s="1"/>
  <c r="I114" i="3"/>
  <c r="J114" i="3" s="1"/>
  <c r="I2" i="3"/>
  <c r="J2" i="3" s="1"/>
  <c r="I94" i="3"/>
  <c r="J94" i="3" s="1"/>
  <c r="I52" i="3"/>
  <c r="J52" i="3" s="1"/>
  <c r="I148" i="3"/>
  <c r="J148" i="3" s="1"/>
  <c r="I48" i="3"/>
  <c r="J48" i="3" s="1"/>
  <c r="I126" i="3"/>
  <c r="J126" i="3" s="1"/>
  <c r="I84" i="3"/>
  <c r="J84" i="3" s="1"/>
  <c r="I100" i="3"/>
  <c r="J100" i="3" s="1"/>
  <c r="I122" i="3"/>
  <c r="J122" i="3" s="1"/>
  <c r="I60" i="3"/>
  <c r="J60" i="3" s="1"/>
  <c r="I177" i="3"/>
  <c r="J177" i="3" s="1"/>
  <c r="I66" i="3"/>
  <c r="J66" i="3" s="1"/>
  <c r="I64" i="3"/>
  <c r="J64" i="3" s="1"/>
  <c r="I128" i="3"/>
  <c r="J128" i="3" s="1"/>
  <c r="I28" i="3"/>
  <c r="J28" i="3" s="1"/>
  <c r="I112" i="3"/>
  <c r="J112" i="3" s="1"/>
  <c r="I118" i="3"/>
  <c r="J118" i="3" s="1"/>
  <c r="I76" i="3"/>
  <c r="J76" i="3" s="1"/>
  <c r="I38" i="3"/>
  <c r="J38" i="3" s="1"/>
  <c r="I16" i="3"/>
  <c r="J16" i="3" s="1"/>
  <c r="I154" i="3"/>
  <c r="J154" i="3" s="1"/>
  <c r="I136" i="3"/>
  <c r="J136" i="3" s="1"/>
  <c r="I14" i="3"/>
  <c r="J14" i="3" s="1"/>
  <c r="I88" i="3"/>
  <c r="J88" i="3" s="1"/>
  <c r="I167" i="3"/>
  <c r="J167" i="3" s="1"/>
  <c r="I116" i="3"/>
  <c r="J116" i="3" s="1"/>
  <c r="I39" i="3"/>
  <c r="J39" i="3" s="1"/>
  <c r="I78" i="3"/>
  <c r="J78" i="3" s="1"/>
  <c r="I72" i="3"/>
  <c r="J72" i="3" s="1"/>
  <c r="I80" i="3"/>
  <c r="J80" i="3" s="1"/>
  <c r="I58" i="3"/>
  <c r="J58" i="3" s="1"/>
  <c r="I150" i="3"/>
  <c r="J150" i="3" s="1"/>
  <c r="I179" i="3"/>
  <c r="J179" i="3" s="1"/>
  <c r="I104" i="3"/>
  <c r="J104" i="3" s="1"/>
  <c r="I169" i="3"/>
  <c r="J169" i="3" s="1"/>
  <c r="I144" i="3"/>
  <c r="J144" i="3" s="1"/>
  <c r="I74" i="3"/>
  <c r="J74" i="3" s="1"/>
  <c r="I4" i="3"/>
  <c r="J4" i="3" s="1"/>
  <c r="I62" i="3"/>
  <c r="J62" i="3" s="1"/>
  <c r="I152" i="3"/>
  <c r="J152" i="3" s="1"/>
  <c r="I68" i="3"/>
  <c r="J68" i="3" s="1"/>
  <c r="I96" i="3"/>
  <c r="J96" i="3" s="1"/>
  <c r="I42" i="3"/>
  <c r="J42" i="3" s="1"/>
  <c r="I106" i="3"/>
  <c r="J106" i="3" s="1"/>
  <c r="I54" i="3"/>
  <c r="J54" i="3" s="1"/>
  <c r="I86" i="3"/>
  <c r="J86" i="3" s="1"/>
  <c r="I56" i="3"/>
  <c r="J56" i="3" s="1"/>
  <c r="I26" i="3"/>
  <c r="J26" i="3" s="1"/>
  <c r="I132" i="3"/>
  <c r="J132" i="3" s="1"/>
  <c r="I166" i="3"/>
  <c r="J166" i="3" s="1"/>
  <c r="I87" i="3"/>
  <c r="J87" i="3" s="1"/>
  <c r="I37" i="3"/>
  <c r="J37" i="3" s="1"/>
  <c r="I176" i="3"/>
  <c r="J176" i="3" s="1"/>
  <c r="I40" i="3"/>
  <c r="J40" i="3" s="1"/>
  <c r="I161" i="3"/>
  <c r="J161" i="3" s="1"/>
  <c r="I27" i="3"/>
  <c r="J27" i="3" s="1"/>
  <c r="I63" i="3"/>
  <c r="J63" i="3" s="1"/>
  <c r="I43" i="3"/>
  <c r="J43" i="3" s="1"/>
  <c r="I184" i="3"/>
  <c r="J184" i="3" s="1"/>
  <c r="I159" i="3"/>
  <c r="J159" i="3" s="1"/>
  <c r="I69" i="3"/>
  <c r="J69" i="3" s="1"/>
  <c r="I79" i="3"/>
  <c r="J79" i="3" s="1"/>
  <c r="I153" i="3"/>
  <c r="J153" i="3" s="1"/>
  <c r="I19" i="3"/>
  <c r="J19" i="3" s="1"/>
  <c r="I137" i="3"/>
  <c r="J137" i="3" s="1"/>
  <c r="I9" i="3"/>
  <c r="J9" i="3" s="1"/>
  <c r="I49" i="3"/>
  <c r="J49" i="3" s="1"/>
  <c r="I15" i="3"/>
  <c r="J15" i="3" s="1"/>
  <c r="I99" i="3"/>
  <c r="J99" i="3" s="1"/>
  <c r="I53" i="3"/>
  <c r="J53" i="3" s="1"/>
  <c r="I73" i="3"/>
  <c r="J73" i="3" s="1"/>
  <c r="I51" i="3"/>
  <c r="J51" i="3" s="1"/>
  <c r="I31" i="3"/>
  <c r="J31" i="3" s="1"/>
  <c r="I65" i="3"/>
  <c r="J65" i="3" s="1"/>
  <c r="I93" i="3"/>
  <c r="J93" i="3" s="1"/>
  <c r="I119" i="3"/>
  <c r="J119" i="3" s="1"/>
  <c r="I5" i="3"/>
  <c r="J5" i="3" s="1"/>
  <c r="I101" i="3"/>
  <c r="J101" i="3" s="1"/>
  <c r="I59" i="3"/>
  <c r="J59" i="3" s="1"/>
  <c r="I97" i="3"/>
  <c r="J97" i="3" s="1"/>
  <c r="I178" i="3"/>
  <c r="J178" i="3" s="1"/>
  <c r="I107" i="3"/>
  <c r="J107" i="3" s="1"/>
  <c r="I157" i="3"/>
  <c r="J157" i="3" s="1"/>
  <c r="I33" i="3"/>
  <c r="J33" i="3" s="1"/>
  <c r="I139" i="3"/>
  <c r="J139" i="3" s="1"/>
  <c r="I133" i="3"/>
  <c r="J133" i="3" s="1"/>
  <c r="I143" i="3"/>
  <c r="J143" i="3" s="1"/>
  <c r="I29" i="3"/>
  <c r="J29" i="3" s="1"/>
  <c r="I35" i="3"/>
  <c r="J35" i="3" s="1"/>
  <c r="I105" i="3"/>
  <c r="J105" i="3" s="1"/>
  <c r="I117" i="3"/>
  <c r="J117" i="3" s="1"/>
  <c r="I113" i="3"/>
  <c r="J113" i="3" s="1"/>
  <c r="I129" i="3"/>
  <c r="J129" i="3" s="1"/>
  <c r="I164" i="3"/>
  <c r="J164" i="3" s="1"/>
  <c r="I109" i="3"/>
  <c r="J109" i="3" s="1"/>
  <c r="I77" i="3"/>
  <c r="J77" i="3" s="1"/>
  <c r="I111" i="3"/>
  <c r="J111" i="3" s="1"/>
  <c r="I55" i="3"/>
  <c r="J55" i="3" s="1"/>
  <c r="I182" i="3"/>
  <c r="J182" i="3" s="1"/>
  <c r="I25" i="3"/>
  <c r="J25" i="3" s="1"/>
  <c r="I21" i="3"/>
  <c r="J21" i="3" s="1"/>
  <c r="I174" i="3"/>
  <c r="J174" i="3" s="1"/>
  <c r="I83" i="3"/>
  <c r="J83" i="3" s="1"/>
  <c r="I89" i="3"/>
  <c r="J89" i="3" s="1"/>
  <c r="I155" i="3"/>
  <c r="J155" i="3" s="1"/>
  <c r="I168" i="3"/>
  <c r="J168" i="3" s="1"/>
  <c r="I81" i="3"/>
  <c r="J81" i="3" s="1"/>
  <c r="I180" i="3"/>
  <c r="J180" i="3" s="1"/>
  <c r="I103" i="3"/>
  <c r="J103" i="3" s="1"/>
  <c r="I172" i="3"/>
  <c r="J172" i="3" s="1"/>
  <c r="I125" i="3"/>
  <c r="J125" i="3" s="1"/>
  <c r="I149" i="3"/>
  <c r="J149" i="3" s="1"/>
  <c r="I45" i="3"/>
  <c r="J45" i="3" s="1"/>
  <c r="I123" i="3"/>
  <c r="J123" i="3" s="1"/>
  <c r="I47" i="3"/>
  <c r="J47" i="3" s="1"/>
  <c r="I131" i="3"/>
  <c r="J131" i="3" s="1"/>
  <c r="I71" i="3"/>
  <c r="J71" i="3" s="1"/>
  <c r="I23" i="3"/>
  <c r="J23" i="3" s="1"/>
  <c r="I61" i="3"/>
  <c r="J61" i="3" s="1"/>
  <c r="I145" i="3"/>
  <c r="J145" i="3" s="1"/>
  <c r="I121" i="3"/>
  <c r="J121" i="3" s="1"/>
  <c r="I141" i="3"/>
  <c r="J141" i="3" s="1"/>
  <c r="I170" i="3"/>
  <c r="J170" i="3" s="1"/>
  <c r="I3" i="3"/>
  <c r="J3" i="3" s="1"/>
  <c r="I151" i="3"/>
  <c r="J151" i="3" s="1"/>
  <c r="I11" i="3"/>
  <c r="J11" i="3" s="1"/>
  <c r="I127" i="3"/>
  <c r="J127" i="3" s="1"/>
  <c r="I7" i="3"/>
  <c r="J7" i="3" s="1"/>
  <c r="I147" i="3"/>
  <c r="J147" i="3" s="1"/>
  <c r="I135" i="3"/>
  <c r="J135" i="3" s="1"/>
  <c r="I115" i="3"/>
  <c r="J115" i="3" s="1"/>
  <c r="I17" i="3"/>
  <c r="J17" i="3" s="1"/>
  <c r="I57" i="3"/>
  <c r="J57" i="3" s="1"/>
  <c r="I67" i="3"/>
  <c r="J67" i="3" s="1"/>
  <c r="I13" i="3"/>
  <c r="J13" i="3" s="1"/>
  <c r="I95" i="3"/>
  <c r="J95" i="3" s="1"/>
  <c r="I91" i="3"/>
  <c r="J91" i="3" s="1"/>
  <c r="I75" i="3"/>
  <c r="J75" i="3" s="1"/>
  <c r="I85" i="3"/>
  <c r="J85" i="3" s="1"/>
  <c r="I41" i="3"/>
  <c r="J41" i="3" s="1"/>
  <c r="Q6" i="3" l="1"/>
  <c r="P6" i="3"/>
  <c r="Q5" i="3"/>
  <c r="Q4" i="3"/>
  <c r="P5" i="3"/>
  <c r="P4" i="3"/>
  <c r="F106" i="1" l="1"/>
  <c r="H106" i="1"/>
  <c r="I106" i="1"/>
</calcChain>
</file>

<file path=xl/connections.xml><?xml version="1.0" encoding="utf-8"?>
<connections xmlns="http://schemas.openxmlformats.org/spreadsheetml/2006/main">
  <connection id="1" keepAlive="1" name="Query - India Staff" description="Connection to the 'India Staff' query in the workbook." type="5" refreshedVersion="0" background="1">
    <dbPr connection="Provider=Microsoft.Mashup.OleDb.1;Data Source=$Workbook$;Location=&quot;India Staff&quot;" command="SELECT * FROM [India Staff]"/>
  </connection>
  <connection id="2" keepAlive="1" name="Query - nz_staff" description="Connection to the 'nz_staff' query in the workbook." type="5" refreshedVersion="0" background="1">
    <dbPr connection="Provider=Microsoft.Mashup.OleDb.1;Data Source=$Workbook$;Location=nz_staff" command="SELECT * FROM [nz_staff]"/>
  </connection>
  <connection id="3"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<sst xmlns="http://schemas.openxmlformats.org/spreadsheetml/2006/main" count="1943" uniqueCount="258">
  <si>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</si>
  <si>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</si>
  <si>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</si>
  <si>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</si>
  <si>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</si>
  <si>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</si>
  <si>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</si>
  <si>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</si>
  <si>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</si>
  <si>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</si>
  <si>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</si>
  <si>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</si>
  <si>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</si>
  <si>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</si>
  <si>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</si>
  <si>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</si>
  <si>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</si>
  <si>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</si>
  <si>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</si>
  <si>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</si>
  <si>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</si>
  <si>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</si>
  <si>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</si>
  <si>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</si>
  <si>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</si>
  <si>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</si>
  <si>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</si>
  <si>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</si>
  <si>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</si>
  <si>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</si>
  <si>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</si>
  <si>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</si>
  <si>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</si>
  <si>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</si>
  <si>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</si>
  <si>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</si>
  <si>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</si>
  <si>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</si>
  <si>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</si>
  <si>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</si>
  <si>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</si>
  <si>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</si>
  <si>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</si>
  <si>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</si>
  <si>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</si>
  <si>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</si>
  <si>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</si>
  <si>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</si>
  <si>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</si>
  <si>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</si>
  <si>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</si>
  <si>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</si>
  <si>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</si>
  <si>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</si>
  <si>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</si>
  <si>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</si>
  <si>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</si>
  <si>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</si>
  <si>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</si>
  <si>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</si>
  <si>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</si>
  <si>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</si>
  <si>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</si>
  <si>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</si>
  <si>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</si>
  <si>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</si>
  <si>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</si>
  <si>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</si>
  <si>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</si>
  <si>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</si>
  <si>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</si>
  <si>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</si>
  <si>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</si>
  <si>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</si>
  <si>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</si>
  <si>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</si>
  <si>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</si>
  <si>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</si>
  <si>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</si>
  <si>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</si>
  <si>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</si>
  <si>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</si>
  <si>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</si>
  <si>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</si>
  <si>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</si>
  <si>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</si>
  <si>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</si>
  <si>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</si>
  <si>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</si>
  <si>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</si>
  <si>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</si>
  <si>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</si>
  <si>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</si>
  <si>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</si>
  <si>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</si>
  <si>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</si>
  <si>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</si>
  <si>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</si>
  <si>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</si>
  <si>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</si>
  <si>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</si>
  <si>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</si>
  <si>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</si>
  <si>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</si>
  <si>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</si>
  <si>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</si>
  <si>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</si>
  <si>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</si>
  <si>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</si>
  <si>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</si>
  <si>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</si>
  <si>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</si>
  <si>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</si>
  <si>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</si>
  <si>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</si>
  <si>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</si>
  <si>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</si>
  <si>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</si>
  <si>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</si>
  <si>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</si>
  <si>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</si>
  <si>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</si>
  <si>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</si>
  <si>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</si>
  <si>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</si>
  <si>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</si>
  <si>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</si>
  <si>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</si>
  <si>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</si>
  <si>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</si>
  <si>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</si>
  <si>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</si>
  <si>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</si>
  <si>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</si>
  <si>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</si>
  <si>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</si>
  <si>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</si>
  <si>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</si>
  <si>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</si>
  <si>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</si>
  <si>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</si>
  <si>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</si>
  <si>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</si>
  <si>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</si>
  <si>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</si>
  <si>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</si>
  <si>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</si>
  <si>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</si>
  <si>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</si>
  <si>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</si>
  <si>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</si>
  <si>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</si>
  <si>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</si>
  <si>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</si>
  <si>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</si>
  <si>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</si>
  <si>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</si>
  <si>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</si>
  <si>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</si>
  <si>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</si>
  <si>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</si>
  <si>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</si>
  <si>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</si>
  <si>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</si>
  <si>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</si>
  <si>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</si>
  <si>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</si>
  <si>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</si>
  <si>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</si>
  <si>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</si>
  <si>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</si>
  <si>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</si>
  <si>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</si>
  <si>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</si>
  <si>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</si>
  <si>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</si>
  <si>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</si>
  <si>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</si>
  <si>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</si>
  <si>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</si>
  <si>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</si>
  <si>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</si>
  <si>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</si>
  <si>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</si>
  <si>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</si>
  <si>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</si>
  <si>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</si>
  <si>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</si>
  <si>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</si>
  <si>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</si>
  <si>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</si>
  <si>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</si>
  <si>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</si>
  <si>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</si>
  <si>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</si>
  <si>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</si>
  <si>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</si>
  <si>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</si>
  <si>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</si>
  <si>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</si>
  <si>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</si>
  <si>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</si>
  <si>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</si>
  <si>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</si>
  <si>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</si>
  <si>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</si>
  <si>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</si>
  <si>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</si>
  <si>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</si>
  <si>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</si>
  <si>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</si>
  <si>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</si>
  <si>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Female Ratio %</t>
  </si>
  <si>
    <t>Tenure</t>
  </si>
  <si>
    <t>Female Count</t>
  </si>
  <si>
    <t>mode</t>
  </si>
  <si>
    <t xml:space="preserve">% of employees &gt; </t>
  </si>
  <si>
    <t>oyees salary &gt; 90,000</t>
  </si>
  <si>
    <t>Information Finder:</t>
  </si>
  <si>
    <t>VLOOKUP,XLOOKUP</t>
  </si>
  <si>
    <t>Name:</t>
  </si>
  <si>
    <t>Salary:</t>
  </si>
  <si>
    <t>1.Find salary of a person using VLOOKUP</t>
  </si>
  <si>
    <t>Column Labels</t>
  </si>
  <si>
    <t>Count of Name</t>
  </si>
  <si>
    <t>Values</t>
  </si>
  <si>
    <t>Average of Age</t>
  </si>
  <si>
    <t>Average of Tenure</t>
  </si>
  <si>
    <t>Average of Salary</t>
  </si>
  <si>
    <t>Bonus</t>
  </si>
  <si>
    <t>Top 10 employees Based on Bonus</t>
  </si>
  <si>
    <t>Row Labels</t>
  </si>
  <si>
    <t>Grand Total</t>
  </si>
  <si>
    <t>Rating as Number</t>
  </si>
  <si>
    <t>2020</t>
  </si>
  <si>
    <t>May</t>
  </si>
  <si>
    <t>Jun</t>
  </si>
  <si>
    <t>Jul</t>
  </si>
  <si>
    <t>Aug</t>
  </si>
  <si>
    <t>Sep</t>
  </si>
  <si>
    <t>Oct</t>
  </si>
  <si>
    <t>Nov</t>
  </si>
  <si>
    <t>Dec</t>
  </si>
  <si>
    <t>2021</t>
  </si>
  <si>
    <t>Jan</t>
  </si>
  <si>
    <t>Feb</t>
  </si>
  <si>
    <t>Mar</t>
  </si>
  <si>
    <t>Apr</t>
  </si>
  <si>
    <t>2022</t>
  </si>
  <si>
    <t>2023</t>
  </si>
  <si>
    <t>Month</t>
  </si>
  <si>
    <t>Head Count</t>
  </si>
  <si>
    <t>Running Total</t>
  </si>
  <si>
    <t>Head Count by Department</t>
  </si>
  <si>
    <t>NEW ZEALAND</t>
  </si>
  <si>
    <t>INDIA</t>
  </si>
  <si>
    <t>Total Employees</t>
  </si>
  <si>
    <t>Female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</si>
</sst>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00_ ;_-[$$-409]* \-#,##0.00\ ;_-[$$-409]* &quot;-&quot;??_ ;_-@_ "/>
    <numFmt numFmtId="165" formatCode="d/mm/yyyy;@"/>
    <numFmt numFmtId="166" formatCode="[$$-409]#,##0.00"/>
    <numFmt numFmtId="167" formatCode="0.0"/>
    <numFmt numFmtId="168" formatCode="[$$-409]#,##0"/>
  </numFmts>
  <fonts count="11" x14ac:knownFonts="1">
    <font>
      <sz val="11"/>
      <color theme="1"/>
      <name val="Calibri"/>
      <family val="2"/>
      <scheme val="minor"/>
    </font>
    <font>
      <sz val="28"/>
      <color theme="1"/>
      <name val="Segoe UI Light"/>
      <family val="2"/>
    </font>
    <font>
      <b/>
      <sz val="11"/>
      <color theme="1"/>
      <name val="Calibri"/>
      <family val="2"/>
      <scheme val="minor"/>
    </font>
    <font>
      <sz val="11"/>
      <color theme="1" tint="0.34998626667073579"/>
      <name val="Calibri"/>
      <family val="2"/>
      <scheme val="minor"/>
    </font>
    <font>
      <b/>
      <sz val="11"/>
      <color theme="0"/>
      <name val="Calibri"/>
      <family val="2"/>
      <scheme val="minor"/>
    </font>
    <font>
      <sz val="16"/>
      <color theme="1"/>
      <name val="Calibri"/>
      <family val="2"/>
      <scheme val="minor"/>
    </font>
    <font>
      <sz val="48"/>
      <color theme="0"/>
      <name val="Segoe UI Black"/>
      <family val="2"/>
    </font>
    <font>
      <sz val="22"/>
      <color theme="0"/>
      <name val="Segoe UI Black"/>
      <family val="2"/>
    </font>
    <font>
      <sz val="11"/>
      <color theme="1"/>
      <name val="Segoe UI Light"/>
      <family val="2"/>
    </font>
    <font>
      <sz val="18"/>
      <color theme="1"/>
      <name val="Segoe UI Light"/>
      <family val="2"/>
    </font>
    <font>
      <sz val="28"/>
      <color theme="1" tint="0.499984740745262"/>
      <name val="Segoe UI Light"/>
      <family val="2"/>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bgColor indexed="64"/>
      </patternFill>
    </fill>
  </fills>
  <borders count="1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7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0" fontId="0" fillId="0" borderId="0" xfId="0" applyNumberFormat="1"/>
    <xf numFmtId="14" fontId="0" fillId="0" borderId="0" xfId="0" applyNumberFormat="1"/>
    <xf numFmtId="165" fontId="0" fillId="0" borderId="0" xfId="0" applyNumberFormat="1"/>
    <xf numFmtId="2"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4" fillId="5" borderId="1" xfId="0" applyNumberFormat="1" applyFont="1" applyFill="1" applyBorder="1"/>
    <xf numFmtId="165" fontId="4" fillId="5" borderId="1" xfId="0" applyNumberFormat="1" applyFont="1" applyFill="1" applyBorder="1"/>
    <xf numFmtId="2" fontId="4" fillId="5" borderId="2" xfId="0" applyNumberFormat="1" applyFont="1" applyFill="1" applyBorder="1"/>
    <xf numFmtId="0" fontId="0" fillId="6" borderId="1" xfId="0" applyNumberFormat="1" applyFont="1" applyFill="1" applyBorder="1"/>
    <xf numFmtId="14" fontId="0" fillId="6" borderId="1" xfId="0" applyNumberFormat="1" applyFont="1" applyFill="1" applyBorder="1"/>
    <xf numFmtId="164" fontId="0" fillId="6" borderId="1" xfId="0" applyNumberFormat="1" applyFont="1" applyFill="1" applyBorder="1"/>
    <xf numFmtId="0" fontId="0" fillId="0" borderId="1" xfId="0" applyNumberFormat="1" applyFont="1" applyBorder="1"/>
    <xf numFmtId="14" fontId="0" fillId="0" borderId="1" xfId="0" applyNumberFormat="1" applyFont="1" applyBorder="1"/>
    <xf numFmtId="164" fontId="0" fillId="0" borderId="1" xfId="0" applyNumberFormat="1" applyFont="1" applyBorder="1"/>
    <xf numFmtId="2" fontId="4" fillId="5" borderId="1" xfId="0" applyNumberFormat="1" applyFont="1" applyFill="1" applyBorder="1"/>
    <xf numFmtId="2" fontId="0" fillId="6" borderId="1" xfId="0" applyNumberFormat="1" applyFont="1" applyFill="1" applyBorder="1"/>
    <xf numFmtId="2" fontId="0" fillId="0" borderId="1" xfId="0" applyNumberFormat="1" applyFont="1" applyBorder="1"/>
    <xf numFmtId="168" fontId="0" fillId="6" borderId="2" xfId="0" applyNumberFormat="1" applyFont="1" applyFill="1" applyBorder="1"/>
    <xf numFmtId="168" fontId="0" fillId="0" borderId="2" xfId="0" applyNumberFormat="1" applyFont="1" applyBorder="1"/>
    <xf numFmtId="0" fontId="0" fillId="0" borderId="3" xfId="0" applyNumberFormat="1" applyFont="1" applyBorder="1"/>
    <xf numFmtId="0" fontId="0" fillId="6" borderId="3" xfId="0" applyNumberFormat="1" applyFont="1" applyFill="1" applyBorder="1"/>
    <xf numFmtId="0" fontId="4" fillId="5" borderId="3" xfId="0" applyNumberFormat="1" applyFont="1" applyFill="1" applyBorder="1"/>
    <xf numFmtId="0" fontId="5" fillId="0" borderId="0" xfId="0" applyFont="1"/>
    <xf numFmtId="0" fontId="0" fillId="0" borderId="0" xfId="0" applyBorder="1"/>
    <xf numFmtId="0" fontId="3" fillId="0" borderId="0" xfId="0" applyFont="1" applyBorder="1"/>
    <xf numFmtId="0" fontId="0" fillId="0" borderId="4" xfId="0" applyBorder="1"/>
    <xf numFmtId="0" fontId="2" fillId="4" borderId="5" xfId="0"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6" fontId="0" fillId="0" borderId="11" xfId="0" applyNumberFormat="1" applyBorder="1" applyAlignment="1">
      <alignment horizontal="left"/>
    </xf>
    <xf numFmtId="0" fontId="0" fillId="0" borderId="12" xfId="0" applyBorder="1"/>
    <xf numFmtId="164" fontId="0" fillId="0" borderId="0" xfId="0" applyNumberFormat="1" applyBorder="1"/>
    <xf numFmtId="9" fontId="0" fillId="0" borderId="0" xfId="0" applyNumberFormat="1" applyBorder="1"/>
    <xf numFmtId="9" fontId="0" fillId="0" borderId="11" xfId="0" applyNumberFormat="1" applyBorder="1"/>
    <xf numFmtId="1" fontId="0" fillId="0" borderId="0" xfId="0" applyNumberFormat="1"/>
    <xf numFmtId="0" fontId="0" fillId="0" borderId="4" xfId="0" applyBorder="1" applyAlignment="1">
      <alignment horizontal="left"/>
    </xf>
    <xf numFmtId="0" fontId="0" fillId="0" borderId="0" xfId="0" applyAlignment="1">
      <alignment horizontal="left" indent="1"/>
    </xf>
    <xf numFmtId="17" fontId="0" fillId="0" borderId="0" xfId="0" applyNumberFormat="1"/>
    <xf numFmtId="0" fontId="0" fillId="0" borderId="5" xfId="0" applyBorder="1"/>
    <xf numFmtId="0" fontId="6" fillId="9" borderId="0" xfId="0" applyFont="1" applyFill="1" applyAlignment="1">
      <alignment horizontal="center" vertical="center"/>
    </xf>
    <xf numFmtId="9" fontId="7" fillId="9" borderId="0" xfId="0" applyNumberFormat="1" applyFont="1" applyFill="1" applyAlignment="1">
      <alignment horizontal="center" vertical="center"/>
    </xf>
    <xf numFmtId="168" fontId="7" fillId="9" borderId="0" xfId="0" applyNumberFormat="1" applyFont="1" applyFill="1" applyAlignment="1">
      <alignment horizontal="center" vertical="center"/>
    </xf>
    <xf numFmtId="0" fontId="2" fillId="7" borderId="13" xfId="0" applyFont="1" applyFill="1" applyBorder="1"/>
    <xf numFmtId="0" fontId="0" fillId="0" borderId="14" xfId="0" applyBorder="1" applyAlignment="1">
      <alignment horizontal="left"/>
    </xf>
    <xf numFmtId="0" fontId="0" fillId="0" borderId="14" xfId="0" applyNumberFormat="1" applyBorder="1"/>
    <xf numFmtId="0" fontId="6" fillId="4" borderId="0" xfId="0" applyFont="1" applyFill="1" applyAlignment="1">
      <alignment horizontal="center" vertical="center"/>
    </xf>
    <xf numFmtId="9" fontId="7" fillId="4" borderId="0" xfId="0" applyNumberFormat="1" applyFont="1" applyFill="1" applyAlignment="1">
      <alignment horizontal="center" vertical="center"/>
    </xf>
    <xf numFmtId="168" fontId="7" fillId="4" borderId="0" xfId="0" applyNumberFormat="1" applyFont="1" applyFill="1" applyAlignment="1">
      <alignment horizontal="center" vertical="center"/>
    </xf>
    <xf numFmtId="0" fontId="0" fillId="11" borderId="0" xfId="0" applyFill="1"/>
    <xf numFmtId="0" fontId="8" fillId="10" borderId="0" xfId="0" applyFont="1" applyFill="1" applyAlignment="1">
      <alignment horizontal="center"/>
    </xf>
    <xf numFmtId="0" fontId="8" fillId="11" borderId="0" xfId="0" applyFont="1" applyFill="1" applyAlignment="1">
      <alignment horizontal="center"/>
    </xf>
    <xf numFmtId="0" fontId="8" fillId="8" borderId="0" xfId="0" applyFont="1" applyFill="1" applyAlignment="1">
      <alignment horizontal="center"/>
    </xf>
    <xf numFmtId="0" fontId="0" fillId="0" borderId="4" xfId="0" pivotButton="1" applyBorder="1"/>
    <xf numFmtId="0" fontId="0" fillId="0" borderId="4" xfId="0" applyNumberFormat="1" applyBorder="1"/>
    <xf numFmtId="167" fontId="0" fillId="0" borderId="4" xfId="0" applyNumberFormat="1" applyBorder="1"/>
    <xf numFmtId="168" fontId="0" fillId="0" borderId="4" xfId="0" applyNumberFormat="1" applyBorder="1"/>
    <xf numFmtId="0" fontId="9" fillId="3" borderId="0" xfId="0" applyFont="1" applyFill="1" applyAlignment="1">
      <alignment horizontal="center" vertical="center"/>
    </xf>
    <xf numFmtId="0" fontId="10" fillId="11" borderId="0" xfId="0" applyFont="1" applyFill="1" applyAlignment="1">
      <alignment horizontal="center" vertical="center"/>
    </xf>
  </cellXfs>
  <cellStyles count="1">
    <cellStyle name="Normal"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8" formatCode="[$$-409]#,##0"/>
    </dxf>
    <dxf>
      <numFmt numFmtId="1" formatCode="0"/>
    </dxf>
    <dxf>
      <numFmt numFmtId="2" formatCode="0.00"/>
    </dxf>
    <dxf>
      <numFmt numFmtId="169" formatCode="0.000"/>
    </dxf>
    <dxf>
      <numFmt numFmtId="170" formatCode="0.0000"/>
    </dxf>
    <dxf>
      <numFmt numFmtId="2" formatCode="0.00"/>
    </dxf>
    <dxf>
      <numFmt numFmtId="167" formatCode="0.0"/>
    </dxf>
    <dxf>
      <numFmt numFmtId="2" formatCode="0.00"/>
    </dxf>
    <dxf>
      <numFmt numFmtId="169" formatCode="0.000"/>
    </dxf>
    <dxf>
      <numFmt numFmtId="170" formatCode="0.0000"/>
    </dxf>
    <dxf>
      <numFmt numFmtId="2" formatCode="0.00"/>
    </dxf>
    <dxf>
      <numFmt numFmtId="169" formatCode="0.000"/>
    </dxf>
    <dxf>
      <numFmt numFmtId="170" formatCode="0.0000"/>
    </dxf>
    <dxf>
      <numFmt numFmtId="171" formatCode="0.00000"/>
    </dxf>
    <dxf>
      <numFmt numFmtId="172" formatCode="0.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 formatCode="0"/>
    </dxf>
    <dxf>
      <numFmt numFmtId="2" formatCode="0.00"/>
    </dxf>
    <dxf>
      <numFmt numFmtId="2" formatCode="0.00"/>
    </dxf>
    <dxf>
      <numFmt numFmtId="0" formatCode="General"/>
    </dxf>
    <dxf>
      <numFmt numFmtId="168" formatCode="[$$-409]#,##0"/>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20" formatCode="dd/mmm/yy"/>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spcFirstLastPara="1" vertOverflow="ellipsis" wrap="square" lIns="0" tIns="0" rIns="0" bIns="0" anchor="ctr" anchorCtr="1"/>
          <a:lstStyle/>
          <a:p>
            <a:pPr algn="ctr">
              <a:defRPr/>
            </a:pPr>
            <a:r>
              <a:rPr lang="en-US"/>
              <a:t>Salary Spread - by $10k</a:t>
            </a:r>
          </a:p>
        </cx:rich>
      </cx:tx>
    </cx:title>
    <cx:plotArea>
      <cx:plotAreaRegion>
        <cx:series layoutId="clusteredColumn" uniqueId="{8450C14A-393E-4778-B0BC-E9441DF52DAD}">
          <cx:tx>
            <cx:txData>
              <cx:f>_xlchart.2</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'employee and department'!$E$3</c:f>
              <c:strCache>
                <c:ptCount val="1"/>
                <c:pt idx="0">
                  <c:v>Count of Name</c:v>
                </c:pt>
              </c:strCache>
            </c:strRef>
          </c:tx>
          <c:spPr>
            <a:solidFill>
              <a:schemeClr val="accent2"/>
            </a:solidFill>
            <a:ln>
              <a:noFill/>
            </a:ln>
            <a:effectLst/>
          </c:spPr>
          <c:invertIfNegative val="0"/>
          <c:cat>
            <c:strRef>
              <c:f>'employee and department'!$D$4:$D$8</c:f>
              <c:strCache>
                <c:ptCount val="5"/>
                <c:pt idx="0">
                  <c:v>Procurement</c:v>
                </c:pt>
                <c:pt idx="1">
                  <c:v>Website</c:v>
                </c:pt>
                <c:pt idx="2">
                  <c:v>Finance</c:v>
                </c:pt>
                <c:pt idx="3">
                  <c:v>Sales</c:v>
                </c:pt>
                <c:pt idx="4">
                  <c:v>HR</c:v>
                </c:pt>
              </c:strCache>
            </c:strRef>
          </c:cat>
          <c:val>
            <c:numRef>
              <c:f>'employee and department'!$E$4:$E$8</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7304-4707-9F7F-0E35468139E2}"/>
            </c:ext>
          </c:extLst>
        </c:ser>
        <c:dLbls>
          <c:showLegendKey val="0"/>
          <c:showVal val="0"/>
          <c:showCatName val="0"/>
          <c:showSerName val="0"/>
          <c:showPercent val="0"/>
          <c:showBubbleSize val="0"/>
        </c:dLbls>
        <c:gapWidth val="182"/>
        <c:axId val="2050577344"/>
        <c:axId val="2050569856"/>
      </c:barChart>
      <c:catAx>
        <c:axId val="205057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69856"/>
        <c:crosses val="autoZero"/>
        <c:auto val="1"/>
        <c:lblAlgn val="ctr"/>
        <c:lblOffset val="100"/>
        <c:noMultiLvlLbl val="0"/>
      </c:catAx>
      <c:valAx>
        <c:axId val="2050569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7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x:chartSpace xmlns:a="http://schemas.openxmlformats.org/drawingml/2006/main" xmlns:r="http://schemas.openxmlformats.org/officeDocument/2006/relationships" xmlns:cx="http://schemas.microsoft.com/office/drawing/2014/chartex">
  <cx:chartData>
    <cx:data id="0">
      <cx:numDim type="val">
        <cx:f>_xlchart.5</cx:f>
      </cx:numDim>
    </cx:data>
  </cx:chartData>
  <cx:chart>
    <cx:title pos="t" align="ctr" overlay="0">
      <cx:tx>
        <cx:rich>
          <a:bodyPr spcFirstLastPara="1" vertOverflow="ellipsis" wrap="square" lIns="0" tIns="0" rIns="0" bIns="0" anchor="ctr" anchorCtr="1"/>
          <a:lstStyle/>
          <a:p>
            <a:pPr algn="ctr">
              <a:defRPr/>
            </a:pPr>
            <a:r>
              <a:rPr lang="en-US"/>
              <a:t>Salary Spread - by $10k</a:t>
            </a:r>
          </a:p>
        </cx:rich>
      </cx:tx>
    </cx:title>
    <cx:plotArea>
      <cx:plotAreaRegion>
        <cx:series layoutId="clusteredColumn" uniqueId="{8450C14A-393E-4778-B0BC-E9441DF52DAD}">
          <cx:tx>
            <cx:txData>
              <cx:f>_xlchart.4</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12.xml><?xml version="1.0" encoding="utf-8"?>
<cx:chartSpace xmlns:a="http://schemas.openxmlformats.org/drawingml/2006/main" xmlns:r="http://schemas.openxmlformats.org/officeDocument/2006/relationships" xmlns:cx="http://schemas.microsoft.com/office/drawing/2014/chartex">
  <cx:chartData>
    <cx:data id="0">
      <cx:numDim type="val">
        <cx:f>_xlchart.7</cx:f>
      </cx:numDim>
    </cx:data>
  </cx:chartData>
  <cx:chart>
    <cx:title pos="t" align="ctr" overlay="0">
      <cx:tx>
        <cx:rich>
          <a:bodyPr rot="0" spcFirstLastPara="1" vertOverflow="ellipsis" vert="horz" wrap="square" lIns="0" tIns="0" rIns="0" bIns="0" anchor="ctr" anchorCtr="1"/>
          <a:lstStyle/>
          <a:p>
            <a:pPr algn="ctr">
              <a:defRPr/>
            </a:pPr>
            <a:r>
              <a:rPr lang="en-US"/>
              <a:t>Salary Spread - Box Plot</a:t>
            </a:r>
          </a:p>
        </cx:rich>
      </cx:tx>
    </cx:title>
    <cx:plotArea>
      <cx:plotAreaRegion>
        <cx:series layoutId="boxWhisker" uniqueId="{7814987D-1C67-46C7-AD9D-BB4F41E640A6}">
          <cx:tx>
            <cx:txData>
              <cx:f>_xlchart.6</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[$$-409]#,##0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E432-4A4A-8174-3A6906376794}"/>
            </c:ext>
          </c:extLst>
        </c:ser>
        <c:dLbls>
          <c:dLblPos val="t"/>
          <c:showLegendKey val="0"/>
          <c:showVal val="0"/>
          <c:showCatName val="0"/>
          <c:showSerName val="0"/>
          <c:showPercent val="0"/>
          <c:showBubbleSize val="0"/>
        </c:dLbls>
        <c:axId val="571404095"/>
        <c:axId val="571404927"/>
      </c:scatterChart>
      <c:valAx>
        <c:axId val="5714040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927"/>
        <c:crosses val="autoZero"/>
        <c:crossBetween val="midCat"/>
      </c:valAx>
      <c:valAx>
        <c:axId val="571404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0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 of Employee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'Employee Trend'!$P$4</c:f>
              <c:strCache>
                <c:ptCount val="1"/>
                <c:pt idx="0">
                  <c:v>Running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'Employee Trend'!$N$5:$N$40</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'Employee Trend'!$P$5:$P$40</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226B-4BAA-ABCE-3AB9EC37A63A}"/>
            </c:ext>
          </c:extLst>
        </c:ser>
        <c:dLbls>
          <c:showLegendKey val="0"/>
          <c:showVal val="0"/>
          <c:showCatName val="0"/>
          <c:showSerName val="0"/>
          <c:showPercent val="0"/>
          <c:showBubbleSize val="0"/>
        </c:dLbls>
        <c:marker val="1"/>
        <c:smooth val="0"/>
        <c:axId val="628775744"/>
        <c:axId val="628768256"/>
      </c:lineChart>
      <c:dateAx>
        <c:axId val="6287757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68256"/>
        <c:crosses val="autoZero"/>
        <c:auto val="1"/>
        <c:lblOffset val="100"/>
        <c:baseTimeUnit val="months"/>
      </c:dateAx>
      <c:valAx>
        <c:axId val="62876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7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en-US"/>
              <a:t>Salary Spread - Box Plot</a:t>
            </a:r>
          </a:p>
        </cx:rich>
      </cx:tx>
    </cx:title>
    <cx:plotArea>
      <cx:plotAreaRegion>
        <cx:series layoutId="boxWhisker" uniqueId="{7814987D-1C67-46C7-AD9D-BB4F41E640A6}">
          <cx:tx>
            <cx:txData>
              <cx:f>_xlchart.0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[$$-409]#,##0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0ABE-4A7A-9B57-42CF24A8920E}"/>
            </c:ext>
          </c:extLst>
        </c:ser>
        <c:dLbls>
          <c:showLegendKey val="0"/>
          <c:showVal val="0"/>
          <c:showCatName val="0"/>
          <c:showSerName val="0"/>
          <c:showPercent val="0"/>
          <c:showBubbleSize val="0"/>
        </c:dLbls>
        <c:axId val="571404095"/>
        <c:axId val="571404927"/>
      </c:scatterChart>
      <c:valAx>
        <c:axId val="5714040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927"/>
        <c:crosses val="autoZero"/>
        <c:crossBetween val="midCat"/>
      </c:valAx>
      <c:valAx>
        <c:axId val="571404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0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[blank-data-file.xlsx]Employee Trend!PivotTable1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'Employee Trend'!$B$3</c:f>
              <c:strCache>
                <c:ptCount val="1"/>
                <c:pt idx="0">
                  <c:v>Total</c:v>
                </c:pt>
              </c:strCache>
            </c:strRef>
          </c:tx>
          <c:spPr>
            <a:ln w="28575" cap="rnd">
              <a:solidFill>
                <a:schemeClr val="accent1"/>
              </a:solidFill>
              <a:round/>
            </a:ln>
            <a:effectLst/>
          </c:spPr>
          <c:marker>
            <c:symbol val="none"/>
          </c:marker>
          <c:cat>
            <c:multiLvlStrRef>
              <c:f>'Employee Trend'!$A$4:$A$40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Trend'!$B$4:$B$40</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1316-4B48-B4AC-35A40FD3FCCF}"/>
            </c:ext>
          </c:extLst>
        </c:ser>
        <c:dLbls>
          <c:showLegendKey val="0"/>
          <c:showVal val="0"/>
          <c:showCatName val="0"/>
          <c:showSerName val="0"/>
          <c:showPercent val="0"/>
          <c:showBubbleSize val="0"/>
        </c:dLbls>
        <c:smooth val="0"/>
        <c:axId val="75680800"/>
        <c:axId val="17735136"/>
      </c:lineChart>
      <c:catAx>
        <c:axId val="7568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136"/>
        <c:crosses val="autoZero"/>
        <c:auto val="1"/>
        <c:lblAlgn val="ctr"/>
        <c:lblOffset val="100"/>
        <c:noMultiLvlLbl val="0"/>
      </c:catAx>
      <c:valAx>
        <c:axId val="177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0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'Employee Trend'!$P$4</c:f>
              <c:strCache>
                <c:ptCount val="1"/>
                <c:pt idx="0">
                  <c:v>Running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'Employee Trend'!$N$5:$N$40</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'Employee Trend'!$P$5:$P$40</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4C90-4820-A3B2-ADCCA6C2A51A}"/>
            </c:ext>
          </c:extLst>
        </c:ser>
        <c:dLbls>
          <c:showLegendKey val="0"/>
          <c:showVal val="0"/>
          <c:showCatName val="0"/>
          <c:showSerName val="0"/>
          <c:showPercent val="0"/>
          <c:showBubbleSize val="0"/>
        </c:dLbls>
        <c:marker val="1"/>
        <c:smooth val="0"/>
        <c:axId val="628775744"/>
        <c:axId val="628768256"/>
      </c:lineChart>
      <c:dateAx>
        <c:axId val="6287757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68256"/>
        <c:crosses val="autoZero"/>
        <c:auto val="1"/>
        <c:lblOffset val="100"/>
        <c:baseTimeUnit val="months"/>
      </c:dateAx>
      <c:valAx>
        <c:axId val="62876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7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[blank-data-file.xlsx]employee and department!PivotTable1</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'employee and department'!$B$3</c:f>
              <c:strCache>
                <c:ptCount val="1"/>
                <c:pt idx="0">
                  <c:v>Total</c:v>
                </c:pt>
              </c:strCache>
            </c:strRef>
          </c:tx>
          <c:spPr>
            <a:solidFill>
              <a:schemeClr val="accent1"/>
            </a:solidFill>
            <a:ln>
              <a:noFill/>
            </a:ln>
            <a:effectLst/>
          </c:spPr>
          <c:invertIfNegative val="0"/>
          <c:cat>
            <c:strRef>
              <c:f>'employee and department'!$A$4:$A$8</c:f>
              <c:strCache>
                <c:ptCount val="5"/>
                <c:pt idx="0">
                  <c:v>Website</c:v>
                </c:pt>
                <c:pt idx="1">
                  <c:v>Procurement</c:v>
                </c:pt>
                <c:pt idx="2">
                  <c:v>Finance</c:v>
                </c:pt>
                <c:pt idx="3">
                  <c:v>Sales</c:v>
                </c:pt>
                <c:pt idx="4">
                  <c:v>HR</c:v>
                </c:pt>
              </c:strCache>
            </c:strRef>
          </c:cat>
          <c:val>
            <c:numRef>
              <c:f>'employee and department'!$B$4:$B$8</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2486-46E5-95B7-1655147D9DB3}"/>
            </c:ext>
          </c:extLst>
        </c:ser>
        <c:dLbls>
          <c:showLegendKey val="0"/>
          <c:showVal val="0"/>
          <c:showCatName val="0"/>
          <c:showSerName val="0"/>
          <c:showPercent val="0"/>
          <c:showBubbleSize val="0"/>
        </c:dLbls>
        <c:gapWidth val="25"/>
        <c:axId val="2052410592"/>
        <c:axId val="2052406848"/>
      </c:barChart>
      <c:catAx>
        <c:axId val="20524105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06848"/>
        <c:crosses val="autoZero"/>
        <c:auto val="1"/>
        <c:lblAlgn val="ctr"/>
        <c:lblOffset val="100"/>
        <c:noMultiLvlLbl val="0"/>
      </c:catAx>
      <c:valAx>
        <c:axId val="2052406848"/>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1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'employee and department'!$E$3</c:f>
              <c:strCache>
                <c:ptCount val="1"/>
                <c:pt idx="0">
                  <c:v>Count of Name</c:v>
                </c:pt>
              </c:strCache>
            </c:strRef>
          </c:tx>
          <c:spPr>
            <a:solidFill>
              <a:schemeClr val="accent2"/>
            </a:solidFill>
            <a:ln>
              <a:noFill/>
            </a:ln>
            <a:effectLst/>
          </c:spPr>
          <c:invertIfNegative val="0"/>
          <c:cat>
            <c:strRef>
              <c:f>'employee and department'!$D$4:$D$8</c:f>
              <c:strCache>
                <c:ptCount val="5"/>
                <c:pt idx="0">
                  <c:v>Procurement</c:v>
                </c:pt>
                <c:pt idx="1">
                  <c:v>Website</c:v>
                </c:pt>
                <c:pt idx="2">
                  <c:v>Finance</c:v>
                </c:pt>
                <c:pt idx="3">
                  <c:v>Sales</c:v>
                </c:pt>
                <c:pt idx="4">
                  <c:v>HR</c:v>
                </c:pt>
              </c:strCache>
            </c:strRef>
          </c:cat>
          <c:val>
            <c:numRef>
              <c:f>'employee and department'!$E$4:$E$8</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2312-4274-A1B0-4B8F6B7EEC7E}"/>
            </c:ext>
          </c:extLst>
        </c:ser>
        <c:dLbls>
          <c:showLegendKey val="0"/>
          <c:showVal val="0"/>
          <c:showCatName val="0"/>
          <c:showSerName val="0"/>
          <c:showPercent val="0"/>
          <c:showBubbleSize val="0"/>
        </c:dLbls>
        <c:gapWidth val="25"/>
        <c:axId val="2050577344"/>
        <c:axId val="2050569856"/>
      </c:barChart>
      <c:catAx>
        <c:axId val="2050577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69856"/>
        <c:crosses val="autoZero"/>
        <c:auto val="1"/>
        <c:lblAlgn val="ctr"/>
        <c:lblOffset val="100"/>
        <c:noMultiLvlLbl val="0"/>
      </c:catAx>
      <c:valAx>
        <c:axId val="2050569856"/>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7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[blank-data-file.xlsx]employee and department!PivotTable1</c:name>
    <c:fmtId val="2"/>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'employee and department'!$B$3</c:f>
              <c:strCache>
                <c:ptCount val="1"/>
                <c:pt idx="0">
                  <c:v>Total</c:v>
                </c:pt>
              </c:strCache>
            </c:strRef>
          </c:tx>
          <c:spPr>
            <a:solidFill>
              <a:schemeClr val="accent1"/>
            </a:solidFill>
            <a:ln>
              <a:noFill/>
            </a:ln>
            <a:effectLst/>
          </c:spPr>
          <c:invertIfNegative val="0"/>
          <c:cat>
            <c:strRef>
              <c:f>'employee and department'!$A$4:$A$8</c:f>
              <c:strCache>
                <c:ptCount val="5"/>
                <c:pt idx="0">
                  <c:v>Website</c:v>
                </c:pt>
                <c:pt idx="1">
                  <c:v>Procurement</c:v>
                </c:pt>
                <c:pt idx="2">
                  <c:v>Finance</c:v>
                </c:pt>
                <c:pt idx="3">
                  <c:v>Sales</c:v>
                </c:pt>
                <c:pt idx="4">
                  <c:v>HR</c:v>
                </c:pt>
              </c:strCache>
            </c:strRef>
          </c:cat>
          <c:val>
            <c:numRef>
              <c:f>'employee and department'!$B$4:$B$8</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336D-420B-945D-7AF1F3F03A20}"/>
            </c:ext>
          </c:extLst>
        </c:ser>
        <c:dLbls>
          <c:showLegendKey val="0"/>
          <c:showVal val="0"/>
          <c:showCatName val="0"/>
          <c:showSerName val="0"/>
          <c:showPercent val="0"/>
          <c:showBubbleSize val="0"/>
        </c:dLbls>
        <c:gapWidth val="182"/>
        <c:axId val="2052410592"/>
        <c:axId val="2052406848"/>
      </c:barChart>
      <c:catAx>
        <c:axId val="205241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06848"/>
        <c:crosses val="autoZero"/>
        <c:auto val="1"/>
        <c:lblAlgn val="ctr"/>
        <c:lblOffset val="100"/>
        <c:noMultiLvlLbl val="0"/>
      </c:catAx>
      <c:valAx>
        <c:axId val="2052406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10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182"/>
        <c:axId val="2043406816"/>
        <c:axId val="2043401408"/>
      </c:barChart>
      <c:catAx>
        <c:axId val="2043406816"/>
        <c:scaling>
          <c:orientation val="minMax"/>
        </c:scaling>
        <c:delete val="1"/>
        <c:axPos val="l"/>
        <c:numFmt formatCode="General" sourceLinked="1"/>
        <c:majorTickMark val="none"/>
        <c:minorTickMark val="none"/>
        <c:tickLblPos val="nextTo"/>
        <c:crossAx val="2043401408"/>
        <c:crosses val="autoZero"/>
        <c:auto val="1"/>
        <c:lblAlgn val="ctr"/>
        <c:lblOffset val="100"/>
        <c:noMultiLvlLbl val="0"/>
      </c:catAx>
      <c:valAx>
        <c:axId val="204340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40681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6</xdr:row>
      <xdr:rowOff>123825</xdr:rowOff>
    </xdr:from>
    <xdr:to>
      <xdr:col>7</xdr:col>
      <xdr:colOff>333375</xdr:colOff>
      <xdr:row>11</xdr:row>
      <xdr:rowOff>85725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686425" y="1266825"/>
              <a:ext cx="14668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xdr:row>
      <xdr:rowOff>171451</xdr:rowOff>
    </xdr:from>
    <xdr:to>
      <xdr:col>12</xdr:col>
      <xdr:colOff>47625</xdr:colOff>
      <xdr:row>21</xdr:row>
      <xdr:rowOff>123825</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266700</xdr:colOff>
      <xdr:row>2</xdr:row>
      <xdr:rowOff>171451</xdr:rowOff>
    </xdr:from>
    <xdr:to>
      <xdr:col>17</xdr:col>
      <xdr:colOff>400050</xdr:colOff>
      <xdr:row>20</xdr:row>
      <xdr:rowOff>47625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13</xdr:col>
      <xdr:colOff>304800</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352425</xdr:colOff>
      <xdr:row>4</xdr:row>
      <xdr:rowOff>161925</xdr:rowOff>
    </xdr:from>
    <xdr:to>
      <xdr:col>11</xdr:col>
      <xdr:colOff>47625</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590550</xdr:colOff>
      <xdr:row>4</xdr:row>
      <xdr:rowOff>104775</xdr:rowOff>
    </xdr:from>
    <xdr:to>
      <xdr:col>24</xdr:col>
      <xdr:colOff>9525</xdr:colOff>
      <xdr:row>18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590549</xdr:colOff>
      <xdr:row>7</xdr:row>
      <xdr:rowOff>9526</xdr:rowOff>
    </xdr:from>
    <xdr:to>
      <xdr:col>7</xdr:col>
      <xdr:colOff>20053</xdr:colOff>
      <xdr:row>24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7</xdr:row>
      <xdr:rowOff>0</xdr:rowOff>
    </xdr:from>
    <xdr:to>
      <xdr:col>14</xdr:col>
      <xdr:colOff>0</xdr:colOff>
      <xdr:row>24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556655</xdr:colOff>
      <xdr:row>1</xdr:row>
      <xdr:rowOff>24740</xdr:rowOff>
    </xdr:from>
    <xdr:to>
      <xdr:col>7</xdr:col>
      <xdr:colOff>593766</xdr:colOff>
      <xdr:row>24</xdr:row>
      <xdr:rowOff>12370</xdr:rowOff>
    </xdr:to>
    <xdr:cxnSp macro="">
      <xdr:nvCxnSpPr>
        <xdr:cNvPr id="7" name="Straight Connector 6"/>
        <xdr:cNvCxnSpPr/>
      </xdr:nvCxnSpPr>
      <xdr:spPr>
        <a:xfrm flipH="1">
          <a:off x="5665519" y="210292"/>
          <a:ext cx="37111" cy="5541818"/>
        </a:xfrm>
        <a:prstGeom prst="line">
          <a:avLst/>
        </a:prstGeom>
        <a:ln>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133350</xdr:colOff>
      <xdr:row>7</xdr:row>
      <xdr:rowOff>180975</xdr:rowOff>
    </xdr:from>
    <xdr:to>
      <xdr:col>15</xdr:col>
      <xdr:colOff>523875</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276225</xdr:colOff>
      <xdr:row>3</xdr:row>
      <xdr:rowOff>1</xdr:rowOff>
    </xdr:from>
    <xdr:to>
      <xdr:col>16</xdr:col>
      <xdr:colOff>476250</xdr:colOff>
      <xdr:row>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352425</xdr:colOff>
      <xdr:row>8</xdr:row>
      <xdr:rowOff>142875</xdr:rowOff>
    </xdr:from>
    <xdr:to>
      <xdr:col>7</xdr:col>
      <xdr:colOff>0</xdr:colOff>
      <xdr:row>22</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9525</xdr:colOff>
      <xdr:row>2</xdr:row>
      <xdr:rowOff>180975</xdr:rowOff>
    </xdr:from>
    <xdr:to>
      <xdr:col>13</xdr:col>
      <xdr:colOff>0</xdr:colOff>
      <xdr:row>21</xdr:row>
      <xdr:rowOff>180975</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13415</xdr:colOff>
      <xdr:row>3</xdr:row>
      <xdr:rowOff>26831</xdr:rowOff>
    </xdr:from>
    <xdr:to>
      <xdr:col>20</xdr:col>
      <xdr:colOff>389049</xdr:colOff>
      <xdr:row>21</xdr:row>
      <xdr:rowOff>180975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581025</xdr:colOff>
      <xdr:row>24</xdr:row>
      <xdr:rowOff>9524</xdr:rowOff>
    </xdr:from>
    <xdr:to>
      <xdr:col>20</xdr:col>
      <xdr:colOff>409575</xdr:colOff>
      <xdr:row>41</xdr:row>
      <xdr:rowOff>187816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24</xdr:row>
      <xdr:rowOff>26831</xdr:rowOff>
    </xdr:from>
    <xdr:to>
      <xdr:col>13</xdr:col>
      <xdr:colOff>9525</xdr:colOff>
      <xdr:row>41</xdr:row>
      <xdr:rowOff>160985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DELL" refreshedDate="45099.555023032408" backgroundQuery="1" createdVersion="6" refreshedVersion="6" minRefreshableVersion="3" recordCount="0" supportSubquery="1" supportAdvancedDrill="1">
  <cacheSource type="external" connectionId="4"/>
  <cacheFields count="3">
    <cacheField name="[Staff].[Rating].[Rating]" caption="Rating" numFmtId="0" hierarchy="9"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21" level="32767"/>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099.556960648151" backgroundQuery="1" createdVersion="6" refreshedVersion="6" minRefreshableVersion="3" recordCount="0" supportSubquery="1" supportAdvancedDrill="1">
  <cacheSource type="external" connectionId="4"/>
  <cacheFields count="3">
    <cacheField name="[Staff].[Date Joined (Month)].[Date Joined (Month)]" caption="Date Joined (Month)" numFmtId="0" hierarchy="3" level="1">
      <sharedItems count="12">
        <s v="May"/>
        <s v="Jun"/>
        <s v="Jul"/>
        <s v="Aug"/>
        <s v="Sep"/>
        <s v="Oct"/>
        <s v="Nov"/>
        <s v="Dec"/>
        <s v="Jan"/>
        <s v="Feb"/>
        <s v="Mar"/>
        <s v="Apr"/>
      </sharedItems>
    </cacheField>
    <cacheField name="[Staff].[Date Joined (Year)].[Date Joined (Year)]" caption="Date Joined (Year)" numFmtId="0" hierarchy="5" level="1">
      <sharedItems count="4">
        <s v="2020"/>
        <s v="2021"/>
        <s v="2022"/>
        <s v="2023"/>
      </sharedItems>
    </cacheField>
    <cacheField name="[Measures].[Count of Name]" caption="Count of Name" numFmtId="0" hierarchy="15" level="32767"/>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DELL" refreshedDate="45099.649688310186" createdVersion="6" refreshedVersion="6" minRefreshableVersion="3" recordCount="183">
  <cacheSource type="worksheet">
    <worksheetSource name="Staff"/>
  </cacheSource>
  <cacheFields count="11">
    <cacheField name="Name" numFmtId="0">
      <sharedItems/>
    </cacheField>
    <cacheField name="Gender" numFmtId="0">
      <sharedItems/>
    </cacheField>
    <cacheField name="Age" numFmtId="0">
      <sharedItems containsSemiMixedTypes="0" containsString="0" containsNumber="1" containsInteger="1" minValue="19" maxValue="46"/>
    </cacheField>
    <cacheField name="Rating" numFmtId="0">
      <sharedItems/>
    </cacheField>
    <cacheField name="Date Joined" numFmtId="14">
      <sharedItems containsSemiMixedTypes="0" containsNonDate="0" containsDate="1" containsString="0" minDate="2020-05-07T00:00:00" maxDate="2023-04-30T00:00:00"/>
    </cacheField>
    <cacheField name="Department" numFmtId="0">
      <sharedItems count="5">
        <s v="Website"/>
        <s v="Sales"/>
        <s v="Procurement"/>
        <s v="HR"/>
        <s v="Finance"/>
      </sharedItems>
    </cacheField>
    <cacheField name="Salary" numFmtId="168">
      <sharedItems containsSemiMixedTypes="0" containsString="0" containsNumber="1" containsInteger="1" minValue="33920" maxValue="119110"/>
    </cacheField>
    <cacheField name="Country" numFmtId="0">
      <sharedItems count="2">
        <s v="IND"/>
        <s v="NZ"/>
      </sharedItems>
    </cacheField>
    <cacheField name="Tenure" numFmtId="2">
      <sharedItems containsSemiMixedTypes="0" containsString="0" containsNumber="1" minValue="0.14794520547945206" maxValue="3.1260273972602741"/>
    </cacheField>
    <cacheField name="Bonus" numFmtId="168">
      <sharedItems containsSemiMixedTypes="0" containsString="0" containsNumber="1" containsInteger="1" minValue="679" maxValue="3574"/>
    </cacheField>
    <cacheField name="Rating as Number" numFmtId="1">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099.702850000001" backgroundQuery="1" createdVersion="6" refreshedVersion="6" minRefreshableVersion="3" recordCount="0" supportSubquery="1" supportAdvancedDrill="1">
  <cacheSource type="external" connectionId="4"/>
  <cacheFields count="6">
    <cacheField name="[Staff].[Gender].[Gender]" caption="Gender" numFmtId="0" hierarchy="7"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Tenure]" caption="Average of Tenure" numFmtId="0" hierarchy="19" level="32767"/>
    <cacheField name="[Measures].[Average of Salary]" caption="Average of Salary" numFmtId="0" hierarchy="21" level="32767"/>
    <cacheField name="[Staff].[Country].[Country]" caption="Country" numFmtId="0" hierarchy="1" level="1">
      <sharedItems containsSemiMixedTypes="0" containsNonDate="0" containsString="0"/>
    </cacheField>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oneField="1" hidden="1">
      <fieldsUsage count="1">
        <fieldUsage x="4"/>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099.55502453704"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83">
  <r>
    <s v="Shubhra Potla"/>
    <s v="Female"/>
    <n v="21"/>
    <s v="Average"/>
    <d v="2022-02-27T00:00:00"/>
    <x v="0"/>
    <n v="33920"/>
    <x v="0"/>
    <n v="1.3150684931506849"/>
    <n v="679"/>
    <n v="3"/>
  </r>
  <r>
    <s v="Gretchen Callow"/>
    <s v="Female"/>
    <n v="21"/>
    <s v="Average"/>
    <d v="2022-04-27T00:00:00"/>
    <x v="0"/>
    <n v="33920"/>
    <x v="1"/>
    <n v="1.1534246575342466"/>
    <n v="679"/>
    <n v="3"/>
  </r>
  <r>
    <s v="Suchira Bhanupriya Tapti"/>
    <s v="Female"/>
    <n v="29"/>
    <s v="Average"/>
    <d v="2020-05-11T00:00:00"/>
    <x v="0"/>
    <n v="34980"/>
    <x v="0"/>
    <n v="3.1150684931506851"/>
    <n v="1050"/>
    <n v="3"/>
  </r>
  <r>
    <s v="Niall Selesnick"/>
    <s v="Female"/>
    <n v="29"/>
    <s v="Average"/>
    <d v="2020-07-11T00:00:00"/>
    <x v="0"/>
    <n v="34980"/>
    <x v="1"/>
    <n v="2.9479452054794519"/>
    <n v="1050"/>
    <n v="3"/>
  </r>
  <r>
    <s v="Waheeda Vasuman"/>
    <s v="Male"/>
    <n v="43"/>
    <s v="Average"/>
    <d v="2021-12-28T00:00:00"/>
    <x v="1"/>
    <n v="36040"/>
    <x v="0"/>
    <n v="1.4821917808219178"/>
    <n v="721"/>
    <n v="3"/>
  </r>
  <r>
    <s v="Bili Sizey"/>
    <s v="Male"/>
    <n v="43"/>
    <s v="Average"/>
    <d v="2022-02-28T00:00:00"/>
    <x v="1"/>
    <n v="36040"/>
    <x v="1"/>
    <n v="1.3123287671232877"/>
    <n v="721"/>
    <n v="3"/>
  </r>
  <r>
    <s v="Akbar Sorabhjee"/>
    <s v="Male"/>
    <n v="21"/>
    <s v="Average"/>
    <d v="2020-07-30T00:00:00"/>
    <x v="2"/>
    <n v="37920"/>
    <x v="0"/>
    <n v="2.8958904109589043"/>
    <n v="1138"/>
    <n v="3"/>
  </r>
  <r>
    <s v="Orton Livick"/>
    <s v="Male"/>
    <n v="21"/>
    <s v="Average"/>
    <d v="2020-09-30T00:00:00"/>
    <x v="2"/>
    <n v="37920"/>
    <x v="1"/>
    <n v="2.7260273972602738"/>
    <n v="1138"/>
    <n v="3"/>
  </r>
  <r>
    <s v="Shobhana Samuel"/>
    <s v="Male"/>
    <n v="35"/>
    <s v="Average"/>
    <d v="2022-04-15T00:00:00"/>
    <x v="2"/>
    <n v="40400"/>
    <x v="0"/>
    <n v="1.1863013698630136"/>
    <n v="808"/>
    <n v="3"/>
  </r>
  <r>
    <s v="Archibald Filliskirk"/>
    <s v="Male"/>
    <n v="35"/>
    <s v="Average"/>
    <d v="2022-06-15T00:00:00"/>
    <x v="2"/>
    <n v="40400"/>
    <x v="1"/>
    <n v="1.0191780821917809"/>
    <n v="808"/>
    <n v="3"/>
  </r>
  <r>
    <s v="Prerana Nishita"/>
    <s v="Female"/>
    <n v="32"/>
    <s v="Average"/>
    <d v="2021-12-19T00:00:00"/>
    <x v="2"/>
    <n v="41570"/>
    <x v="0"/>
    <n v="1.5068493150684932"/>
    <n v="832"/>
    <n v="3"/>
  </r>
  <r>
    <s v="Crissie Cordel"/>
    <s v="Female"/>
    <n v="32"/>
    <s v="Average"/>
    <d v="2022-02-19T00:00:00"/>
    <x v="2"/>
    <n v="41570"/>
    <x v="1"/>
    <n v="1.3369863013698631"/>
    <n v="832"/>
    <n v="3"/>
  </r>
  <r>
    <s v="Jagajeet Viraj"/>
    <s v="Female"/>
    <n v="31"/>
    <s v="Average"/>
    <d v="2020-09-10T00:00:00"/>
    <x v="0"/>
    <n v="41980"/>
    <x v="0"/>
    <n v="2.7808219178082192"/>
    <n v="1260"/>
    <n v="3"/>
  </r>
  <r>
    <s v="Dotty Strutley"/>
    <s v="Female"/>
    <n v="31"/>
    <s v="Average"/>
    <d v="2020-11-10T00:00:00"/>
    <x v="0"/>
    <n v="41980"/>
    <x v="1"/>
    <n v="2.6136986301369864"/>
    <n v="1260"/>
    <n v="3"/>
  </r>
  <r>
    <s v="Rupak Mehra"/>
    <s v="Male"/>
    <n v="28"/>
    <s v="Very poor"/>
    <d v="2022-07-16T00:00:00"/>
    <x v="1"/>
    <n v="43510"/>
    <x v="0"/>
    <n v="0.9342465753424658"/>
    <n v="871"/>
    <n v="1"/>
  </r>
  <r>
    <s v="Drusy MacCombe"/>
    <s v="Male"/>
    <n v="28"/>
    <s v="Very poor"/>
    <d v="2022-09-16T00:00:00"/>
    <x v="1"/>
    <n v="43510"/>
    <x v="1"/>
    <n v="0.76438356164383559"/>
    <n v="871"/>
    <n v="1"/>
  </r>
  <r>
    <s v="Yagna Sujeev"/>
    <s v="Female"/>
    <n v="32"/>
    <s v="Above average"/>
    <d v="2021-04-07T00:00:00"/>
    <x v="0"/>
    <n v="43840"/>
    <x v="0"/>
    <n v="2.2082191780821918"/>
    <n v="1316"/>
    <n v="4"/>
  </r>
  <r>
    <s v="Kassi Jonson"/>
    <s v="Female"/>
    <n v="32"/>
    <s v="Above average"/>
    <d v="2021-06-07T00:00:00"/>
    <x v="0"/>
    <n v="43840"/>
    <x v="1"/>
    <n v="2.0410958904109591"/>
    <n v="1316"/>
    <n v="4"/>
  </r>
  <r>
    <s v="Madhavdas Buhpathi"/>
    <s v="Female"/>
    <n v="32"/>
    <s v="Average"/>
    <d v="2021-05-23T00:00:00"/>
    <x v="3"/>
    <n v="45510"/>
    <x v="0"/>
    <n v="2.0821917808219177"/>
    <n v="1366"/>
    <n v="3"/>
  </r>
  <r>
    <s v="Florinda Crace"/>
    <s v="Female"/>
    <n v="32"/>
    <s v="Average"/>
    <d v="2021-07-23T00:00:00"/>
    <x v="3"/>
    <n v="45510"/>
    <x v="1"/>
    <n v="1.9150684931506849"/>
    <n v="911"/>
    <n v="3"/>
  </r>
  <r>
    <s v="Shiuli Sapna"/>
    <s v="Male"/>
    <n v="26"/>
    <s v="Average"/>
    <d v="2020-11-29T00:00:00"/>
    <x v="2"/>
    <n v="47360"/>
    <x v="0"/>
    <n v="2.5616438356164384"/>
    <n v="1421"/>
    <n v="3"/>
  </r>
  <r>
    <s v="Dell Molloy"/>
    <s v="Male"/>
    <n v="26"/>
    <s v="Average"/>
    <d v="2021-01-29T00:00:00"/>
    <x v="2"/>
    <n v="47360"/>
    <x v="1"/>
    <n v="2.3945205479452056"/>
    <n v="1421"/>
    <n v="3"/>
  </r>
  <r>
    <s v="Ardhendu Abhichandra Jayakar"/>
    <s v="Male"/>
    <n v="28"/>
    <s v="Above average"/>
    <d v="2020-05-29T00:00:00"/>
    <x v="4"/>
    <n v="48170"/>
    <x v="0"/>
    <n v="3.0657534246575344"/>
    <n v="1446"/>
    <n v="4"/>
  </r>
  <r>
    <s v="Jan Morforth"/>
    <s v="Male"/>
    <n v="28"/>
    <s v="Above average"/>
    <d v="2020-07-29T00:00:00"/>
    <x v="4"/>
    <n v="48170"/>
    <x v="1"/>
    <n v="2.8986301369863012"/>
    <n v="1446"/>
    <n v="4"/>
  </r>
  <r>
    <s v="Piyali Mahanthapa"/>
    <s v="Male"/>
    <n v="33"/>
    <s v="Above average"/>
    <d v="2022-03-20T00:00:00"/>
    <x v="2"/>
    <n v="48530"/>
    <x v="0"/>
    <n v="1.2575342465753425"/>
    <n v="971"/>
    <n v="4"/>
  </r>
  <r>
    <s v="Erin Androsik"/>
    <s v="Male"/>
    <n v="33"/>
    <s v="Above average"/>
    <d v="2022-05-20T00:00:00"/>
    <x v="2"/>
    <n v="48530"/>
    <x v="1"/>
    <n v="1.0904109589041096"/>
    <n v="971"/>
    <n v="4"/>
  </r>
  <r>
    <s v="Amal Nimesh"/>
    <s v="Male"/>
    <n v="31"/>
    <s v="Average"/>
    <d v="2021-09-11T00:00:00"/>
    <x v="0"/>
    <n v="48950"/>
    <x v="0"/>
    <n v="1.7780821917808218"/>
    <n v="979"/>
    <n v="3"/>
  </r>
  <r>
    <s v="Gunar Cockshoot"/>
    <s v="Male"/>
    <n v="31"/>
    <s v="Average"/>
    <d v="2021-11-11T00:00:00"/>
    <x v="0"/>
    <n v="48950"/>
    <x v="1"/>
    <n v="1.6109589041095891"/>
    <n v="979"/>
    <n v="3"/>
  </r>
  <r>
    <s v="Vanmala Shriharsha"/>
    <s v="Male"/>
    <n v="27"/>
    <s v="Average"/>
    <d v="2021-11-06T00:00:00"/>
    <x v="4"/>
    <n v="48980"/>
    <x v="0"/>
    <n v="1.6246575342465754"/>
    <n v="980"/>
    <n v="3"/>
  </r>
  <r>
    <s v="Esmaria Denecamp"/>
    <s v="Male"/>
    <n v="27"/>
    <s v="Average"/>
    <d v="2022-01-06T00:00:00"/>
    <x v="4"/>
    <n v="48980"/>
    <x v="1"/>
    <n v="1.4575342465753425"/>
    <n v="980"/>
    <n v="3"/>
  </r>
  <r>
    <s v="Daruka Ghazali"/>
    <s v="Female"/>
    <n v="34"/>
    <s v="Poor"/>
    <d v="2022-04-09T00:00:00"/>
    <x v="1"/>
    <n v="49630"/>
    <x v="0"/>
    <n v="1.2027397260273973"/>
    <n v="993"/>
    <n v="2"/>
  </r>
  <r>
    <s v="Violante Courtonne"/>
    <s v="Female"/>
    <n v="34"/>
    <s v="Poor"/>
    <d v="2022-06-09T00:00:00"/>
    <x v="1"/>
    <n v="49630"/>
    <x v="1"/>
    <n v="1.0356164383561643"/>
    <n v="993"/>
    <n v="2"/>
  </r>
  <r>
    <s v="Gumwant Veera"/>
    <s v="Male"/>
    <n v="24"/>
    <s v="Poor"/>
    <d v="2021-06-28T00:00:00"/>
    <x v="4"/>
    <n v="52610"/>
    <x v="0"/>
    <n v="1.9835616438356165"/>
    <n v="1053"/>
    <n v="2"/>
  </r>
  <r>
    <s v="Kaye Crocroft"/>
    <s v="Male"/>
    <n v="24"/>
    <s v="Poor"/>
    <d v="2021-08-28T00:00:00"/>
    <x v="4"/>
    <n v="52610"/>
    <x v="1"/>
    <n v="1.8164383561643835"/>
    <n v="1053"/>
    <n v="2"/>
  </r>
  <r>
    <s v="Anumati Shyamari Meherhomji"/>
    <s v="Female"/>
    <n v="28"/>
    <s v="Average"/>
    <d v="2021-04-10T00:00:00"/>
    <x v="1"/>
    <n v="53240"/>
    <x v="0"/>
    <n v="2.2000000000000002"/>
    <n v="1598"/>
    <n v="3"/>
  </r>
  <r>
    <s v="Tatum Hush"/>
    <s v="Female"/>
    <n v="28"/>
    <s v="Average"/>
    <d v="2021-06-10T00:00:00"/>
    <x v="1"/>
    <n v="53240"/>
    <x v="1"/>
    <n v="2.032876712328767"/>
    <n v="1598"/>
    <n v="3"/>
  </r>
  <r>
    <s v="Geena Raghavanpillai"/>
    <s v="Male"/>
    <n v="32"/>
    <s v="Average"/>
    <d v="2021-07-26T00:00:00"/>
    <x v="1"/>
    <n v="53540"/>
    <x v="0"/>
    <n v="1.9068493150684931"/>
    <n v="1071"/>
    <n v="3"/>
  </r>
  <r>
    <s v="Chitrasen Laul"/>
    <s v="Male"/>
    <n v="26"/>
    <s v="Average"/>
    <d v="2021-06-03T00:00:00"/>
    <x v="2"/>
    <n v="53540"/>
    <x v="0"/>
    <n v="2.0520547945205481"/>
    <n v="1607"/>
    <n v="3"/>
  </r>
  <r>
    <s v="Hoyt D'Alesco"/>
    <s v="Male"/>
    <n v="32"/>
    <s v="Average"/>
    <d v="2021-09-26T00:00:00"/>
    <x v="1"/>
    <n v="53540"/>
    <x v="1"/>
    <n v="1.736986301369863"/>
    <n v="1071"/>
    <n v="3"/>
  </r>
  <r>
    <s v="Zach Polon"/>
    <s v="Male"/>
    <n v="26"/>
    <s v="Average"/>
    <d v="2021-08-03T00:00:00"/>
    <x v="2"/>
    <n v="53540"/>
    <x v="1"/>
    <n v="1.8849315068493151"/>
    <n v="1071"/>
    <n v="3"/>
  </r>
  <r>
    <s v="Pragya Nilufar"/>
    <s v="Male"/>
    <n v="33"/>
    <s v="Average"/>
    <d v="2021-09-09T00:00:00"/>
    <x v="0"/>
    <n v="53870"/>
    <x v="0"/>
    <n v="1.7835616438356163"/>
    <n v="1078"/>
    <n v="3"/>
  </r>
  <r>
    <s v="William Reeveley"/>
    <s v="Male"/>
    <n v="33"/>
    <s v="Average"/>
    <d v="2021-11-09T00:00:00"/>
    <x v="0"/>
    <n v="53870"/>
    <x v="1"/>
    <n v="1.6164383561643836"/>
    <n v="1078"/>
    <n v="3"/>
  </r>
  <r>
    <s v="Sanchali Shirish"/>
    <s v="Male"/>
    <n v="27"/>
    <s v="Average"/>
    <d v="2020-08-30T00:00:00"/>
    <x v="1"/>
    <n v="54970"/>
    <x v="0"/>
    <n v="2.8109589041095893"/>
    <n v="1650"/>
    <n v="3"/>
  </r>
  <r>
    <s v="Alta Kaszper"/>
    <s v="Male"/>
    <n v="27"/>
    <s v="Average"/>
    <d v="2020-10-30T00:00:00"/>
    <x v="1"/>
    <n v="54970"/>
    <x v="1"/>
    <n v="2.6438356164383561"/>
    <n v="1650"/>
    <n v="3"/>
  </r>
  <r>
    <s v="Mirium Seemantini Shivakumar"/>
    <s v="Female"/>
    <n v="38"/>
    <s v="Above average"/>
    <d v="2021-03-13T00:00:00"/>
    <x v="1"/>
    <n v="56870"/>
    <x v="0"/>
    <n v="2.2767123287671232"/>
    <n v="1707"/>
    <n v="4"/>
  </r>
  <r>
    <s v="Oran Buxcy"/>
    <s v="Female"/>
    <n v="38"/>
    <s v="Above average"/>
    <d v="2021-05-13T00:00:00"/>
    <x v="1"/>
    <n v="56870"/>
    <x v="1"/>
    <n v="2.1095890410958904"/>
    <n v="1707"/>
    <n v="4"/>
  </r>
  <r>
    <s v="Shattesh Utpat"/>
    <s v="Male"/>
    <n v="21"/>
    <s v="Average"/>
    <d v="2022-05-20T00:00:00"/>
    <x v="2"/>
    <n v="57090"/>
    <x v="0"/>
    <n v="1.0904109589041096"/>
    <n v="1142"/>
    <n v="3"/>
  </r>
  <r>
    <s v="Kelci Walkden"/>
    <s v="Male"/>
    <n v="21"/>
    <s v="Average"/>
    <d v="2022-07-20T00:00:00"/>
    <x v="2"/>
    <n v="57090"/>
    <x v="1"/>
    <n v="0.92328767123287669"/>
    <n v="1142"/>
    <n v="3"/>
  </r>
  <r>
    <s v="Pratigya Rema"/>
    <s v="Female"/>
    <n v="31"/>
    <s v="Average"/>
    <d v="2022-02-12T00:00:00"/>
    <x v="0"/>
    <n v="58100"/>
    <x v="0"/>
    <n v="1.3561643835616439"/>
    <n v="1162"/>
    <n v="3"/>
  </r>
  <r>
    <s v="Brien Boise"/>
    <s v="Female"/>
    <n v="31"/>
    <s v="Average"/>
    <d v="2022-04-12T00:00:00"/>
    <x v="0"/>
    <n v="58100"/>
    <x v="1"/>
    <n v="1.1945205479452055"/>
    <n v="1162"/>
    <n v="3"/>
  </r>
  <r>
    <s v="Krittika Gaekwad"/>
    <s v="Female"/>
    <n v="34"/>
    <s v="Average"/>
    <d v="2022-02-02T00:00:00"/>
    <x v="4"/>
    <n v="58940"/>
    <x v="0"/>
    <n v="1.3835616438356164"/>
    <n v="1179"/>
    <n v="3"/>
  </r>
  <r>
    <s v="Oby Sorrel"/>
    <s v="Female"/>
    <n v="34"/>
    <s v="Average"/>
    <d v="2022-04-02T00:00:00"/>
    <x v="4"/>
    <n v="58940"/>
    <x v="1"/>
    <n v="1.2219178082191782"/>
    <n v="1179"/>
    <n v="3"/>
  </r>
  <r>
    <s v="Vinanti Choudhari"/>
    <s v="Male"/>
    <n v="19"/>
    <s v="Average"/>
    <d v="2021-01-22T00:00:00"/>
    <x v="2"/>
    <n v="58960"/>
    <x v="0"/>
    <n v="2.4136986301369863"/>
    <n v="1769"/>
    <n v="3"/>
  </r>
  <r>
    <s v="Lilyan Klimpt"/>
    <s v="Male"/>
    <n v="19"/>
    <s v="Average"/>
    <d v="2021-03-22T00:00:00"/>
    <x v="2"/>
    <n v="58960"/>
    <x v="1"/>
    <n v="2.2520547945205478"/>
    <n v="1769"/>
    <n v="3"/>
  </r>
  <r>
    <s v="Asija Pothireddy"/>
    <s v="Male"/>
    <n v="33"/>
    <s v="Average"/>
    <d v="2020-12-16T00:00:00"/>
    <x v="4"/>
    <n v="59430"/>
    <x v="0"/>
    <n v="2.515068493150685"/>
    <n v="1783"/>
    <n v="3"/>
  </r>
  <r>
    <s v="My Hanscome"/>
    <s v="Male"/>
    <n v="33"/>
    <s v="Average"/>
    <d v="2021-02-16T00:00:00"/>
    <x v="4"/>
    <n v="59430"/>
    <x v="1"/>
    <n v="2.3452054794520549"/>
    <n v="1783"/>
    <n v="3"/>
  </r>
  <r>
    <s v="Lalit Kothari"/>
    <s v="Female"/>
    <n v="34"/>
    <s v="Average"/>
    <d v="2021-12-20T00:00:00"/>
    <x v="4"/>
    <n v="60130"/>
    <x v="0"/>
    <n v="1.5041095890410958"/>
    <n v="1203"/>
    <n v="3"/>
  </r>
  <r>
    <s v="Jehu Rudeforth"/>
    <s v="Female"/>
    <n v="34"/>
    <s v="Average"/>
    <d v="2022-02-20T00:00:00"/>
    <x v="4"/>
    <n v="60130"/>
    <x v="1"/>
    <n v="1.3342465753424657"/>
    <n v="1203"/>
    <n v="3"/>
  </r>
  <r>
    <s v="Mardav Ramaswami"/>
    <s v="Male"/>
    <n v="30"/>
    <s v="Average"/>
    <d v="2022-02-15T00:00:00"/>
    <x v="2"/>
    <n v="60570"/>
    <x v="0"/>
    <n v="1.3479452054794521"/>
    <n v="1212"/>
    <n v="3"/>
  </r>
  <r>
    <s v="Mallorie Waber"/>
    <s v="Male"/>
    <n v="30"/>
    <s v="Average"/>
    <d v="2022-04-15T00:00:00"/>
    <x v="2"/>
    <n v="60570"/>
    <x v="1"/>
    <n v="1.1863013698630136"/>
    <n v="1212"/>
    <n v="3"/>
  </r>
  <r>
    <s v="Fullara Sushanti Mokate"/>
    <s v="Female"/>
    <n v="24"/>
    <s v="Average"/>
    <d v="2020-09-13T00:00:00"/>
    <x v="0"/>
    <n v="62780"/>
    <x v="0"/>
    <n v="2.7726027397260276"/>
    <n v="1884"/>
    <n v="3"/>
  </r>
  <r>
    <s v="Vic Radolf"/>
    <s v="Female"/>
    <n v="24"/>
    <s v="Average"/>
    <d v="2020-11-13T00:00:00"/>
    <x v="0"/>
    <n v="62780"/>
    <x v="1"/>
    <n v="2.6054794520547944"/>
    <n v="1884"/>
    <n v="3"/>
  </r>
  <r>
    <s v="Upendra Swati"/>
    <s v="Other"/>
    <n v="30"/>
    <s v="Average"/>
    <d v="2021-12-05T00:00:00"/>
    <x v="4"/>
    <n v="64000"/>
    <x v="0"/>
    <n v="1.5452054794520549"/>
    <n v="1280"/>
    <n v="3"/>
  </r>
  <r>
    <s v="Curtice Advani"/>
    <s v="Other"/>
    <n v="30"/>
    <s v="Average"/>
    <d v="2022-02-05T00:00:00"/>
    <x v="4"/>
    <n v="64000"/>
    <x v="1"/>
    <n v="1.3753424657534246"/>
    <n v="1280"/>
    <n v="3"/>
  </r>
  <r>
    <s v="Kevalkumar Solanki"/>
    <s v="Female"/>
    <n v="33"/>
    <s v="Average"/>
    <d v="2020-06-24T00:00:00"/>
    <x v="4"/>
    <n v="65360"/>
    <x v="0"/>
    <n v="2.9945205479452053"/>
    <n v="1961"/>
    <n v="3"/>
  </r>
  <r>
    <s v="Teressa Udden"/>
    <s v="Female"/>
    <n v="33"/>
    <s v="Average"/>
    <d v="2020-08-24T00:00:00"/>
    <x v="4"/>
    <n v="65360"/>
    <x v="1"/>
    <n v="2.8273972602739725"/>
    <n v="1961"/>
    <n v="3"/>
  </r>
  <r>
    <s v="Abhaya Priyavardhan"/>
    <s v="Male"/>
    <n v="25"/>
    <s v="Average"/>
    <d v="2021-05-06T00:00:00"/>
    <x v="1"/>
    <n v="65700"/>
    <x v="0"/>
    <n v="2.128767123287671"/>
    <n v="1971"/>
    <n v="3"/>
  </r>
  <r>
    <s v="Kath Bletsoe"/>
    <s v="Male"/>
    <n v="25"/>
    <s v="Average"/>
    <d v="2021-07-06T00:00:00"/>
    <x v="1"/>
    <n v="65700"/>
    <x v="1"/>
    <n v="1.9616438356164383"/>
    <n v="1314"/>
    <n v="3"/>
  </r>
  <r>
    <s v="Agrata Rajarama"/>
    <s v="Female"/>
    <n v="21"/>
    <s v="Average"/>
    <d v="2021-03-01T00:00:00"/>
    <x v="4"/>
    <n v="65920"/>
    <x v="0"/>
    <n v="2.3095890410958906"/>
    <n v="1978"/>
    <n v="3"/>
  </r>
  <r>
    <s v="Marney O'Breen"/>
    <s v="Female"/>
    <n v="21"/>
    <s v="Average"/>
    <d v="2021-05-01T00:00:00"/>
    <x v="4"/>
    <n v="65920"/>
    <x v="1"/>
    <n v="2.1424657534246574"/>
    <n v="1978"/>
    <n v="3"/>
  </r>
  <r>
    <s v="Kantimoy Pritish"/>
    <s v="Female"/>
    <n v="30"/>
    <s v="Poor"/>
    <d v="2021-05-12T00:00:00"/>
    <x v="4"/>
    <n v="67910"/>
    <x v="0"/>
    <n v="2.1123287671232878"/>
    <n v="2038"/>
    <n v="2"/>
  </r>
  <r>
    <s v="Husein Augar"/>
    <s v="Female"/>
    <n v="30"/>
    <s v="Poor"/>
    <d v="2021-07-12T00:00:00"/>
    <x v="4"/>
    <n v="67910"/>
    <x v="1"/>
    <n v="1.9452054794520548"/>
    <n v="1359"/>
    <n v="2"/>
  </r>
  <r>
    <s v="Mahindra Sreedharan"/>
    <s v="Male"/>
    <n v="30"/>
    <s v="Average"/>
    <d v="2022-03-20T00:00:00"/>
    <x v="2"/>
    <n v="67950"/>
    <x v="0"/>
    <n v="1.2575342465753425"/>
    <n v="1359"/>
    <n v="3"/>
  </r>
  <r>
    <s v="Ebonee Roxburgh"/>
    <s v="Male"/>
    <n v="30"/>
    <s v="Average"/>
    <d v="2022-05-20T00:00:00"/>
    <x v="2"/>
    <n v="67950"/>
    <x v="1"/>
    <n v="1.0904109589041096"/>
    <n v="1359"/>
    <n v="3"/>
  </r>
  <r>
    <s v="Devasree Fullara Saurin"/>
    <s v="Female"/>
    <n v="20"/>
    <s v="Poor"/>
    <d v="2021-10-07T00:00:00"/>
    <x v="1"/>
    <n v="68900"/>
    <x v="0"/>
    <n v="1.7068493150684931"/>
    <n v="1378"/>
    <n v="2"/>
  </r>
  <r>
    <s v="Hyacinthie Braybrooke"/>
    <s v="Female"/>
    <n v="20"/>
    <s v="Poor"/>
    <d v="2021-12-07T00:00:00"/>
    <x v="1"/>
    <n v="68900"/>
    <x v="1"/>
    <n v="1.5397260273972602"/>
    <n v="1378"/>
    <n v="2"/>
  </r>
  <r>
    <s v="Jaishree Atasi Yavatkar"/>
    <s v="Male"/>
    <n v="37"/>
    <s v="Average"/>
    <d v="2022-03-20T00:00:00"/>
    <x v="0"/>
    <n v="69070"/>
    <x v="0"/>
    <n v="1.2575342465753425"/>
    <n v="1382"/>
    <n v="3"/>
  </r>
  <r>
    <s v="Murry Dryburgh"/>
    <s v="Male"/>
    <n v="37"/>
    <s v="Average"/>
    <d v="2022-05-20T00:00:00"/>
    <x v="0"/>
    <n v="69070"/>
    <x v="1"/>
    <n v="1.0904109589041096"/>
    <n v="1382"/>
    <n v="3"/>
  </r>
  <r>
    <s v="Rameshwari Chikodi"/>
    <s v="Male"/>
    <n v="30"/>
    <s v="Average"/>
    <d v="2021-01-18T00:00:00"/>
    <x v="0"/>
    <n v="69120"/>
    <x v="0"/>
    <n v="2.4246575342465753"/>
    <n v="2074"/>
    <n v="3"/>
  </r>
  <r>
    <s v="Andria Kimpton"/>
    <s v="Male"/>
    <n v="30"/>
    <s v="Average"/>
    <d v="2021-03-18T00:00:00"/>
    <x v="0"/>
    <n v="69120"/>
    <x v="1"/>
    <n v="2.2630136986301368"/>
    <n v="2074"/>
    <n v="3"/>
  </r>
  <r>
    <s v="Shekhar Eswara"/>
    <s v="Male"/>
    <n v="30"/>
    <s v="Average"/>
    <d v="2022-08-16T00:00:00"/>
    <x v="0"/>
    <n v="69710"/>
    <x v="0"/>
    <n v="0.84931506849315064"/>
    <n v="1395"/>
    <n v="3"/>
  </r>
  <r>
    <s v="Myer McCory"/>
    <s v="Male"/>
    <n v="30"/>
    <s v="Average"/>
    <d v="2022-10-16T00:00:00"/>
    <x v="0"/>
    <n v="69710"/>
    <x v="1"/>
    <n v="0.68219178082191778"/>
    <n v="1395"/>
    <n v="3"/>
  </r>
  <r>
    <s v="Chandana Sannidhi Surnilla"/>
    <s v="Male"/>
    <n v="42"/>
    <s v="Poor"/>
    <d v="2022-04-19T00:00:00"/>
    <x v="4"/>
    <n v="70270"/>
    <x v="0"/>
    <n v="1.1753424657534246"/>
    <n v="1406"/>
    <n v="2"/>
  </r>
  <r>
    <s v="Shayne Stegel"/>
    <s v="Male"/>
    <n v="42"/>
    <s v="Poor"/>
    <d v="2022-06-19T00:00:00"/>
    <x v="4"/>
    <n v="70270"/>
    <x v="1"/>
    <n v="1.0082191780821919"/>
    <n v="1406"/>
    <n v="2"/>
  </r>
  <r>
    <s v="Ranajay Kailashnath Richa"/>
    <s v="Male"/>
    <n v="46"/>
    <s v="Average"/>
    <d v="2022-05-16T00:00:00"/>
    <x v="2"/>
    <n v="70610"/>
    <x v="0"/>
    <n v="1.1013698630136985"/>
    <n v="1413"/>
    <n v="3"/>
  </r>
  <r>
    <s v="Ambros Murthwaite"/>
    <s v="Male"/>
    <n v="46"/>
    <s v="Average"/>
    <d v="2022-07-16T00:00:00"/>
    <x v="2"/>
    <n v="70610"/>
    <x v="1"/>
    <n v="0.9342465753424658"/>
    <n v="1413"/>
    <n v="3"/>
  </r>
  <r>
    <s v="Kulbhushan Moorthy"/>
    <s v="Male"/>
    <n v="36"/>
    <s v="Average"/>
    <d v="2021-03-17T00:00:00"/>
    <x v="4"/>
    <n v="71380"/>
    <x v="0"/>
    <n v="2.2657534246575342"/>
    <n v="2142"/>
    <n v="3"/>
  </r>
  <r>
    <s v="Bennie Pepis"/>
    <s v="Male"/>
    <n v="36"/>
    <s v="Average"/>
    <d v="2021-05-17T00:00:00"/>
    <x v="4"/>
    <n v="71380"/>
    <x v="1"/>
    <n v="2.0986301369863014"/>
    <n v="2142"/>
    <n v="3"/>
  </r>
  <r>
    <s v="Yauvani Tarpa"/>
    <s v="Male"/>
    <n v="33"/>
    <s v="Average"/>
    <d v="2021-05-08T00:00:00"/>
    <x v="1"/>
    <n v="74550"/>
    <x v="0"/>
    <n v="2.1232876712328768"/>
    <n v="2237"/>
    <n v="3"/>
  </r>
  <r>
    <s v="Gigi Bohling"/>
    <s v="Male"/>
    <n v="33"/>
    <s v="Average"/>
    <d v="2021-07-08T00:00:00"/>
    <x v="1"/>
    <n v="74550"/>
    <x v="1"/>
    <n v="1.9561643835616438"/>
    <n v="1491"/>
    <n v="3"/>
  </r>
  <r>
    <s v="Nanak Sapna"/>
    <s v="Female"/>
    <n v="42"/>
    <s v="Exceptional"/>
    <d v="2022-06-06T00:00:00"/>
    <x v="2"/>
    <n v="75000"/>
    <x v="0"/>
    <n v="1.0438356164383562"/>
    <n v="1500"/>
    <n v="5"/>
  </r>
  <r>
    <s v="Barr Faughny"/>
    <s v="Female"/>
    <n v="42"/>
    <s v="Exceptional"/>
    <d v="2022-08-06T00:00:00"/>
    <x v="2"/>
    <n v="75000"/>
    <x v="1"/>
    <n v="0.87671232876712324"/>
    <n v="1500"/>
    <n v="5"/>
  </r>
  <r>
    <s v="Hemavati Muthiah"/>
    <s v="Female"/>
    <n v="33"/>
    <s v="Average"/>
    <d v="2021-02-26T00:00:00"/>
    <x v="0"/>
    <n v="75280"/>
    <x v="0"/>
    <n v="2.3178082191780822"/>
    <n v="2259"/>
    <n v="3"/>
  </r>
  <r>
    <s v="Elia Cockton"/>
    <s v="Female"/>
    <n v="33"/>
    <s v="Average"/>
    <d v="2021-04-26T00:00:00"/>
    <x v="0"/>
    <n v="75280"/>
    <x v="1"/>
    <n v="2.1561643835616437"/>
    <n v="2259"/>
    <n v="3"/>
  </r>
  <r>
    <s v="Ayog Chakrabarti"/>
    <s v="Female"/>
    <n v="33"/>
    <s v="Very poor"/>
    <d v="2021-04-27T00:00:00"/>
    <x v="0"/>
    <n v="75480"/>
    <x v="0"/>
    <n v="2.1534246575342464"/>
    <n v="2265"/>
    <n v="1"/>
  </r>
  <r>
    <s v="Camilla Castle"/>
    <s v="Female"/>
    <n v="33"/>
    <s v="Very poor"/>
    <d v="2021-06-27T00:00:00"/>
    <x v="0"/>
    <n v="75480"/>
    <x v="1"/>
    <n v="1.9863013698630136"/>
    <n v="1510"/>
    <n v="1"/>
  </r>
  <r>
    <s v="Sameer Shashank Sapra"/>
    <s v="Male"/>
    <n v="21"/>
    <s v="Average"/>
    <d v="2020-12-15T00:00:00"/>
    <x v="3"/>
    <n v="75880"/>
    <x v="0"/>
    <n v="2.5178082191780824"/>
    <n v="2277"/>
    <n v="3"/>
  </r>
  <r>
    <s v="Shari McNee"/>
    <s v="Male"/>
    <n v="21"/>
    <s v="Average"/>
    <d v="2021-02-15T00:00:00"/>
    <x v="3"/>
    <n v="75880"/>
    <x v="1"/>
    <n v="2.3479452054794518"/>
    <n v="2277"/>
    <n v="3"/>
  </r>
  <r>
    <s v="Indu Varada Sumedh"/>
    <s v="Female"/>
    <n v="28"/>
    <s v="Average"/>
    <d v="2020-10-20T00:00:00"/>
    <x v="4"/>
    <n v="75970"/>
    <x v="0"/>
    <n v="2.6712328767123288"/>
    <n v="2280"/>
    <n v="3"/>
  </r>
  <r>
    <s v="Beverie Moffet"/>
    <s v="Female"/>
    <n v="28"/>
    <s v="Average"/>
    <d v="2020-12-20T00:00:00"/>
    <x v="4"/>
    <n v="75970"/>
    <x v="1"/>
    <n v="2.504109589041096"/>
    <n v="2280"/>
    <n v="3"/>
  </r>
  <r>
    <s v="Shreela Ramasubraman"/>
    <s v="Female"/>
    <n v="22"/>
    <s v="Above average"/>
    <d v="2021-07-11T00:00:00"/>
    <x v="2"/>
    <n v="76900"/>
    <x v="0"/>
    <n v="1.9479452054794522"/>
    <n v="1538"/>
    <n v="4"/>
  </r>
  <r>
    <s v="Virginia McConville"/>
    <s v="Female"/>
    <n v="22"/>
    <s v="Above average"/>
    <d v="2021-09-11T00:00:00"/>
    <x v="2"/>
    <n v="76900"/>
    <x v="1"/>
    <n v="1.7780821917808218"/>
    <n v="1538"/>
    <n v="4"/>
  </r>
  <r>
    <s v="Rushil Kripa"/>
    <s v="Female"/>
    <n v="36"/>
    <s v="Average"/>
    <d v="2021-09-29T00:00:00"/>
    <x v="2"/>
    <n v="78390"/>
    <x v="0"/>
    <n v="1.7287671232876711"/>
    <n v="1568"/>
    <n v="3"/>
  </r>
  <r>
    <s v="Allene Gobbet"/>
    <s v="Female"/>
    <n v="36"/>
    <s v="Average"/>
    <d v="2021-11-29T00:00:00"/>
    <x v="2"/>
    <n v="78390"/>
    <x v="1"/>
    <n v="1.5616438356164384"/>
    <n v="1568"/>
    <n v="3"/>
  </r>
  <r>
    <s v="Shulabh Qutub Sundaramoorthy"/>
    <s v="Female"/>
    <n v="36"/>
    <s v="Average"/>
    <d v="2021-08-25T00:00:00"/>
    <x v="1"/>
    <n v="78540"/>
    <x v="0"/>
    <n v="1.8246575342465754"/>
    <n v="1571"/>
    <n v="3"/>
  </r>
  <r>
    <s v="Gray Seamon"/>
    <s v="Female"/>
    <n v="36"/>
    <s v="Average"/>
    <d v="2021-10-25T00:00:00"/>
    <x v="1"/>
    <n v="78540"/>
    <x v="1"/>
    <n v="1.6575342465753424"/>
    <n v="1571"/>
    <n v="3"/>
  </r>
  <r>
    <s v="Udyan Lanka"/>
    <s v="Male"/>
    <n v="20"/>
    <s v="Average"/>
    <d v="2022-05-02T00:00:00"/>
    <x v="2"/>
    <n v="79570"/>
    <x v="0"/>
    <n v="1.1397260273972603"/>
    <n v="1592"/>
    <n v="3"/>
  </r>
  <r>
    <s v="Kellsie Waby"/>
    <s v="Male"/>
    <n v="20"/>
    <s v="Average"/>
    <d v="2022-07-02T00:00:00"/>
    <x v="2"/>
    <n v="79570"/>
    <x v="1"/>
    <n v="0.9726027397260274"/>
    <n v="1592"/>
    <n v="3"/>
  </r>
  <r>
    <s v="Bhuvan Pals"/>
    <s v="Female"/>
    <n v="25"/>
    <s v="Above average"/>
    <d v="2022-03-13T00:00:00"/>
    <x v="0"/>
    <n v="80700"/>
    <x v="0"/>
    <n v="1.2767123287671234"/>
    <n v="1614"/>
    <n v="4"/>
  </r>
  <r>
    <s v="Van Tuxwell"/>
    <s v="Female"/>
    <n v="25"/>
    <s v="Above average"/>
    <d v="2022-05-13T00:00:00"/>
    <x v="0"/>
    <n v="80700"/>
    <x v="1"/>
    <n v="1.1095890410958904"/>
    <n v="1614"/>
    <n v="4"/>
  </r>
  <r>
    <s v="Kunja Prashanta Vibha"/>
    <s v="Female"/>
    <n v="27"/>
    <s v="Average"/>
    <d v="2022-03-05T00:00:00"/>
    <x v="0"/>
    <n v="83750"/>
    <x v="0"/>
    <n v="1.2986301369863014"/>
    <n v="1675"/>
    <n v="3"/>
  </r>
  <r>
    <s v="Agnes Collicott"/>
    <s v="Female"/>
    <n v="27"/>
    <s v="Average"/>
    <d v="2022-05-05T00:00:00"/>
    <x v="0"/>
    <n v="83750"/>
    <x v="1"/>
    <n v="1.1315068493150684"/>
    <n v="1675"/>
    <n v="3"/>
  </r>
  <r>
    <s v="Tarala Vishaal"/>
    <s v="Female"/>
    <n v="34"/>
    <s v="Average"/>
    <d v="2021-07-20T00:00:00"/>
    <x v="4"/>
    <n v="85000"/>
    <x v="0"/>
    <n v="1.9232876712328768"/>
    <n v="1700"/>
    <n v="3"/>
  </r>
  <r>
    <s v="Karlen McCaffrey"/>
    <s v="Female"/>
    <n v="34"/>
    <s v="Average"/>
    <d v="2021-09-20T00:00:00"/>
    <x v="4"/>
    <n v="85000"/>
    <x v="1"/>
    <n v="1.7534246575342465"/>
    <n v="1700"/>
    <n v="3"/>
  </r>
  <r>
    <s v="Madhumati Gazala Soumitra"/>
    <s v="Female"/>
    <n v="33"/>
    <s v="Average"/>
    <d v="2022-07-05T00:00:00"/>
    <x v="4"/>
    <n v="86570"/>
    <x v="0"/>
    <n v="0.96438356164383565"/>
    <n v="1732"/>
    <n v="3"/>
  </r>
  <r>
    <s v="Sibyl Dunkirk"/>
    <s v="Female"/>
    <n v="33"/>
    <s v="Average"/>
    <d v="2022-09-05T00:00:00"/>
    <x v="4"/>
    <n v="86570"/>
    <x v="1"/>
    <n v="0.79452054794520544"/>
    <n v="1732"/>
    <n v="3"/>
  </r>
  <r>
    <s v="Godavari Veena"/>
    <s v="Female"/>
    <n v="40"/>
    <s v="Average"/>
    <d v="2021-03-21T00:00:00"/>
    <x v="0"/>
    <n v="87620"/>
    <x v="0"/>
    <n v="2.2547945205479452"/>
    <n v="2629"/>
    <n v="3"/>
  </r>
  <r>
    <s v="Merrilee Plenty"/>
    <s v="Female"/>
    <n v="40"/>
    <s v="Average"/>
    <d v="2021-05-21T00:00:00"/>
    <x v="0"/>
    <n v="87620"/>
    <x v="1"/>
    <n v="2.0876712328767124"/>
    <n v="2629"/>
    <n v="3"/>
  </r>
  <r>
    <s v="Gangadutt Ragha"/>
    <s v="Male"/>
    <n v="37"/>
    <s v="Poor"/>
    <d v="2021-03-22T00:00:00"/>
    <x v="0"/>
    <n v="88050"/>
    <x v="0"/>
    <n v="2.2520547945205478"/>
    <n v="2642"/>
    <n v="2"/>
  </r>
  <r>
    <s v="Ches Bonnell"/>
    <s v="Male"/>
    <n v="37"/>
    <s v="Poor"/>
    <d v="2021-05-22T00:00:00"/>
    <x v="0"/>
    <n v="88050"/>
    <x v="1"/>
    <n v="2.0849315068493151"/>
    <n v="2642"/>
    <n v="2"/>
  </r>
  <r>
    <s v="Karuna Pashupathy"/>
    <s v="Other"/>
    <n v="27"/>
    <s v="Above average"/>
    <d v="2021-01-16T00:00:00"/>
    <x v="0"/>
    <n v="90700"/>
    <x v="0"/>
    <n v="2.43013698630137"/>
    <n v="2721"/>
    <n v="4"/>
  </r>
  <r>
    <s v="Dennison Crosswaite"/>
    <s v="Other"/>
    <n v="26"/>
    <s v="Above average"/>
    <d v="2021-03-16T00:00:00"/>
    <x v="0"/>
    <n v="90700"/>
    <x v="1"/>
    <n v="2.2684931506849315"/>
    <n v="2721"/>
    <n v="4"/>
  </r>
  <r>
    <s v="Rukma Vinita"/>
    <s v="Other"/>
    <n v="32"/>
    <s v="Average"/>
    <d v="2022-06-01T00:00:00"/>
    <x v="0"/>
    <n v="91310"/>
    <x v="0"/>
    <n v="1.0575342465753426"/>
    <n v="1827"/>
    <n v="3"/>
  </r>
  <r>
    <s v="Madge McCloughen"/>
    <s v="Other"/>
    <n v="32"/>
    <s v="Average"/>
    <d v="2022-08-01T00:00:00"/>
    <x v="0"/>
    <n v="91310"/>
    <x v="1"/>
    <n v="0.8904109589041096"/>
    <n v="1827"/>
    <n v="3"/>
  </r>
  <r>
    <s v="Kamalakshi Mukundan"/>
    <s v="Male"/>
    <n v="27"/>
    <s v="Above average"/>
    <d v="2020-12-09T00:00:00"/>
    <x v="4"/>
    <n v="91650"/>
    <x v="0"/>
    <n v="2.5342465753424657"/>
    <n v="2750"/>
    <n v="4"/>
  </r>
  <r>
    <s v="Enoch Dowrey"/>
    <s v="Male"/>
    <n v="27"/>
    <s v="Above average"/>
    <d v="2021-02-09T00:00:00"/>
    <x v="4"/>
    <n v="91650"/>
    <x v="1"/>
    <n v="2.3643835616438356"/>
    <n v="2750"/>
    <n v="4"/>
  </r>
  <r>
    <s v="Deepit Ranjana"/>
    <s v="Female"/>
    <n v="34"/>
    <s v="Average"/>
    <d v="2021-07-06T00:00:00"/>
    <x v="4"/>
    <n v="92450"/>
    <x v="0"/>
    <n v="1.9616438356164383"/>
    <n v="1849"/>
    <n v="3"/>
  </r>
  <r>
    <s v="Leilah Yesinin"/>
    <s v="Female"/>
    <n v="34"/>
    <s v="Average"/>
    <d v="2021-09-06T00:00:00"/>
    <x v="4"/>
    <n v="92450"/>
    <x v="1"/>
    <n v="1.7917808219178082"/>
    <n v="1849"/>
    <n v="3"/>
  </r>
  <r>
    <s v="Purnendu Vijayarangan"/>
    <s v="Female"/>
    <n v="25"/>
    <s v="Average"/>
    <d v="2020-11-09T00:00:00"/>
    <x v="1"/>
    <n v="92700"/>
    <x v="0"/>
    <n v="2.6164383561643834"/>
    <n v="2781"/>
    <n v="3"/>
  </r>
  <r>
    <s v="Hinda Label"/>
    <s v="Female"/>
    <n v="25"/>
    <s v="Average"/>
    <d v="2021-01-09T00:00:00"/>
    <x v="1"/>
    <n v="92700"/>
    <x v="1"/>
    <n v="2.4493150684931506"/>
    <n v="2781"/>
    <n v="3"/>
  </r>
  <r>
    <s v="Sukhdev Nageshwar"/>
    <s v="Female"/>
    <n v="33"/>
    <s v="Average"/>
    <d v="2020-10-25T00:00:00"/>
    <x v="0"/>
    <n v="96140"/>
    <x v="0"/>
    <n v="2.6575342465753424"/>
    <n v="2885"/>
    <n v="3"/>
  </r>
  <r>
    <s v="Torrance Collier"/>
    <s v="Female"/>
    <n v="33"/>
    <s v="Average"/>
    <d v="2020-12-25T00:00:00"/>
    <x v="0"/>
    <n v="96140"/>
    <x v="1"/>
    <n v="2.4904109589041097"/>
    <n v="2885"/>
    <n v="3"/>
  </r>
  <r>
    <s v="Mithil Nadkarni"/>
    <s v="Male"/>
    <n v="30"/>
    <s v="Average"/>
    <d v="2021-12-14T00:00:00"/>
    <x v="4"/>
    <n v="96800"/>
    <x v="0"/>
    <n v="1.5205479452054795"/>
    <n v="1936"/>
    <n v="3"/>
  </r>
  <r>
    <s v="Constantino Espley"/>
    <s v="Male"/>
    <n v="30"/>
    <s v="Average"/>
    <d v="2022-02-14T00:00:00"/>
    <x v="4"/>
    <n v="96800"/>
    <x v="1"/>
    <n v="1.3506849315068492"/>
    <n v="1936"/>
    <n v="3"/>
  </r>
  <r>
    <s v="Baruna Ogale"/>
    <s v="Male"/>
    <n v="40"/>
    <s v="Average"/>
    <d v="2021-01-08T00:00:00"/>
    <x v="2"/>
    <n v="99750"/>
    <x v="0"/>
    <n v="2.452054794520548"/>
    <n v="2993"/>
    <n v="3"/>
  </r>
  <r>
    <s v="Simon Kembery"/>
    <s v="Male"/>
    <n v="40"/>
    <s v="Average"/>
    <d v="2021-03-08T00:00:00"/>
    <x v="2"/>
    <n v="99750"/>
    <x v="1"/>
    <n v="2.2904109589041095"/>
    <n v="2993"/>
    <n v="3"/>
  </r>
  <r>
    <s v="Vasu Nandin"/>
    <s v="Female"/>
    <n v="28"/>
    <s v="Average"/>
    <d v="2022-01-10T00:00:00"/>
    <x v="2"/>
    <n v="99970"/>
    <x v="0"/>
    <n v="1.4465753424657535"/>
    <n v="2000"/>
    <n v="3"/>
  </r>
  <r>
    <s v="Bernie Gorges"/>
    <s v="Female"/>
    <n v="28"/>
    <s v="Average"/>
    <d v="2022-03-10T00:00:00"/>
    <x v="2"/>
    <n v="99970"/>
    <x v="1"/>
    <n v="1.284931506849315"/>
    <n v="2000"/>
    <n v="3"/>
  </r>
  <r>
    <s v="Amlankusum Rajabhushan"/>
    <s v="Male"/>
    <n v="24"/>
    <s v="Average"/>
    <d v="2022-03-05T00:00:00"/>
    <x v="0"/>
    <n v="100420"/>
    <x v="0"/>
    <n v="1.2986301369863014"/>
    <n v="2009"/>
    <n v="3"/>
  </r>
  <r>
    <s v="Collin Jagson"/>
    <s v="Male"/>
    <n v="24"/>
    <s v="Average"/>
    <d v="2022-05-05T00:00:00"/>
    <x v="0"/>
    <n v="100420"/>
    <x v="1"/>
    <n v="1.1315068493150684"/>
    <n v="2009"/>
    <n v="3"/>
  </r>
  <r>
    <s v="Satyendra Venkatadri"/>
    <s v="Male"/>
    <n v="31"/>
    <s v="Average"/>
    <d v="2022-04-12T00:00:00"/>
    <x v="2"/>
    <n v="103550"/>
    <x v="0"/>
    <n v="1.1945205479452055"/>
    <n v="2071"/>
    <n v="3"/>
  </r>
  <r>
    <s v="Dyna Doucette"/>
    <s v="Male"/>
    <n v="31"/>
    <s v="Average"/>
    <d v="2022-06-12T00:00:00"/>
    <x v="2"/>
    <n v="103550"/>
    <x v="1"/>
    <n v="1.0273972602739727"/>
    <n v="2071"/>
    <n v="3"/>
  </r>
  <r>
    <s v="Sartaj Probal"/>
    <s v="Female"/>
    <n v="28"/>
    <s v="Average"/>
    <d v="2022-01-29T00:00:00"/>
    <x v="2"/>
    <n v="104120"/>
    <x v="0"/>
    <n v="1.3945205479452054"/>
    <n v="2083"/>
    <n v="3"/>
  </r>
  <r>
    <s v="Cherlyn Barter"/>
    <s v="Female"/>
    <n v="28"/>
    <s v="Average"/>
    <d v="2022-03-29T00:00:00"/>
    <x v="2"/>
    <n v="104120"/>
    <x v="1"/>
    <n v="1.2328767123287672"/>
    <n v="2083"/>
    <n v="3"/>
  </r>
  <r>
    <s v="Manjusri Ruchi"/>
    <s v="Other"/>
    <n v="40"/>
    <s v="Average"/>
    <d v="2021-05-04T00:00:00"/>
    <x v="0"/>
    <n v="104410"/>
    <x v="0"/>
    <n v="2.1342465753424658"/>
    <n v="3133"/>
    <n v="3"/>
  </r>
  <r>
    <s v="Caro Chappel"/>
    <s v="Female"/>
    <n v="40"/>
    <s v="Average"/>
    <d v="2021-07-04T00:00:00"/>
    <x v="0"/>
    <n v="104410"/>
    <x v="1"/>
    <n v="1.9671232876712328"/>
    <n v="2089"/>
    <n v="3"/>
  </r>
  <r>
    <s v="Shevantilal Muppala"/>
    <s v="Female"/>
    <n v="28"/>
    <s v="Average"/>
    <d v="2021-08-17T00:00:00"/>
    <x v="2"/>
    <n v="104770"/>
    <x v="0"/>
    <n v="1.8465753424657534"/>
    <n v="2096"/>
    <n v="3"/>
  </r>
  <r>
    <s v="Janene Hairsine"/>
    <s v="Female"/>
    <n v="28"/>
    <s v="Average"/>
    <d v="2021-10-17T00:00:00"/>
    <x v="2"/>
    <n v="104770"/>
    <x v="1"/>
    <n v="1.6794520547945206"/>
    <n v="2096"/>
    <n v="3"/>
  </r>
  <r>
    <s v="Sahas Sanabhi Shrikant"/>
    <s v="Male"/>
    <n v="23"/>
    <s v="Average"/>
    <d v="2021-07-01T00:00:00"/>
    <x v="2"/>
    <n v="106460"/>
    <x v="0"/>
    <n v="1.9753424657534246"/>
    <n v="2130"/>
    <n v="3"/>
  </r>
  <r>
    <s v="Kissiah Maydway"/>
    <s v="Male"/>
    <n v="23"/>
    <s v="Average"/>
    <d v="2021-09-01T00:00:00"/>
    <x v="2"/>
    <n v="106460"/>
    <x v="1"/>
    <n v="1.8054794520547945"/>
    <n v="2130"/>
    <n v="3"/>
  </r>
  <r>
    <s v="Hridaynath Tendulkar"/>
    <s v="Male"/>
    <n v="20"/>
    <s v="Average"/>
    <d v="2021-07-20T00:00:00"/>
    <x v="0"/>
    <n v="107700"/>
    <x v="0"/>
    <n v="1.9232876712328768"/>
    <n v="2154"/>
    <n v="3"/>
  </r>
  <r>
    <s v="Kaine Padly"/>
    <s v="Male"/>
    <n v="20"/>
    <s v="Average"/>
    <d v="2021-09-20T00:00:00"/>
    <x v="0"/>
    <n v="107700"/>
    <x v="1"/>
    <n v="1.7534246575342465"/>
    <n v="2154"/>
    <n v="3"/>
  </r>
  <r>
    <s v="Sawini Chandan"/>
    <s v="Female"/>
    <n v="38"/>
    <s v="Exceptional"/>
    <d v="2021-04-30T00:00:00"/>
    <x v="1"/>
    <n v="109160"/>
    <x v="0"/>
    <n v="2.1452054794520548"/>
    <n v="3275"/>
    <n v="5"/>
  </r>
  <r>
    <s v="Rafaelita Blaksland"/>
    <s v="Female"/>
    <n v="38"/>
    <s v="Exceptional"/>
    <d v="2021-06-30T00:00:00"/>
    <x v="1"/>
    <n v="109160"/>
    <x v="1"/>
    <n v="1.978082191780822"/>
    <n v="2184"/>
    <n v="5"/>
  </r>
  <r>
    <s v="Damayanti Thangavadivelu"/>
    <s v="Male"/>
    <n v="25"/>
    <s v="Above average"/>
    <d v="2022-04-14T00:00:00"/>
    <x v="2"/>
    <n v="109190"/>
    <x v="0"/>
    <n v="1.189041095890411"/>
    <n v="2184"/>
    <n v="4"/>
  </r>
  <r>
    <s v="Madelene Upcott"/>
    <s v="Male"/>
    <n v="25"/>
    <s v="Above average"/>
    <d v="2022-06-14T00:00:00"/>
    <x v="2"/>
    <n v="109190"/>
    <x v="1"/>
    <n v="1.021917808219178"/>
    <n v="2184"/>
    <n v="4"/>
  </r>
  <r>
    <s v="Narois Motiwala"/>
    <s v="Male"/>
    <n v="29"/>
    <s v="Poor"/>
    <d v="2020-10-15T00:00:00"/>
    <x v="0"/>
    <n v="112110"/>
    <x v="0"/>
    <n v="2.6849315068493151"/>
    <n v="3364"/>
    <n v="2"/>
  </r>
  <r>
    <s v="Bev Lashley"/>
    <s v="Male"/>
    <n v="29"/>
    <s v="Poor"/>
    <d v="2020-12-15T00:00:00"/>
    <x v="0"/>
    <n v="112110"/>
    <x v="1"/>
    <n v="2.5178082191780824"/>
    <n v="3364"/>
    <n v="2"/>
  </r>
  <r>
    <s v="Makshi Vinutha"/>
    <s v="Female"/>
    <n v="30"/>
    <s v="Average"/>
    <d v="2022-08-27T00:00:00"/>
    <x v="2"/>
    <n v="112570"/>
    <x v="0"/>
    <n v="0.81917808219178079"/>
    <n v="2252"/>
    <n v="3"/>
  </r>
  <r>
    <s v="Halimeda Kuscha"/>
    <s v="Female"/>
    <n v="30"/>
    <s v="Average"/>
    <d v="2022-10-27T00:00:00"/>
    <x v="2"/>
    <n v="112570"/>
    <x v="1"/>
    <n v="0.65205479452054793"/>
    <n v="2252"/>
    <n v="3"/>
  </r>
  <r>
    <s v="Deepali Charan"/>
    <s v="Male"/>
    <n v="20"/>
    <s v="Average"/>
    <d v="2020-10-18T00:00:00"/>
    <x v="0"/>
    <n v="112650"/>
    <x v="0"/>
    <n v="2.6767123287671235"/>
    <n v="3380"/>
    <n v="3"/>
  </r>
  <r>
    <s v="Bandhula Sathyanna"/>
    <s v="Male"/>
    <n v="34"/>
    <s v="Average"/>
    <d v="2022-03-22T00:00:00"/>
    <x v="2"/>
    <n v="112650"/>
    <x v="0"/>
    <n v="1.252054794520548"/>
    <n v="2253"/>
    <n v="3"/>
  </r>
  <r>
    <s v="Mollie Hanway"/>
    <s v="Male"/>
    <n v="20"/>
    <s v="Average"/>
    <d v="2020-12-18T00:00:00"/>
    <x v="0"/>
    <n v="112650"/>
    <x v="1"/>
    <n v="2.5095890410958903"/>
    <n v="3380"/>
    <n v="3"/>
  </r>
  <r>
    <s v="Krishnakanta Vellanki"/>
    <s v="Male"/>
    <n v="22"/>
    <s v="Above average"/>
    <d v="2021-07-07T00:00:00"/>
    <x v="1"/>
    <n v="112780"/>
    <x v="0"/>
    <n v="1.9589041095890412"/>
    <n v="2256"/>
    <n v="4"/>
  </r>
  <r>
    <s v="Lindy Guillet"/>
    <s v="Male"/>
    <n v="22"/>
    <s v="Above average"/>
    <d v="2021-09-07T00:00:00"/>
    <x v="1"/>
    <n v="112780"/>
    <x v="1"/>
    <n v="1.789041095890411"/>
    <n v="2256"/>
    <n v="4"/>
  </r>
  <r>
    <s v="Ilesh Dasgupta"/>
    <s v="Male"/>
    <n v="27"/>
    <s v="Very poor"/>
    <d v="2021-12-17T00:00:00"/>
    <x v="2"/>
    <n v="113280"/>
    <x v="0"/>
    <n v="1.5123287671232877"/>
    <n v="2266"/>
    <n v="1"/>
  </r>
  <r>
    <s v="Mahalia Larcher"/>
    <s v="Male"/>
    <n v="27"/>
    <s v="Very poor"/>
    <d v="2022-02-17T00:00:00"/>
    <x v="2"/>
    <n v="113280"/>
    <x v="1"/>
    <n v="1.3424657534246576"/>
    <n v="2266"/>
    <n v="1"/>
  </r>
  <r>
    <s v="Sarojini Naueshwara"/>
    <s v="Female"/>
    <n v="30"/>
    <s v="Average"/>
    <d v="2022-08-16T00:00:00"/>
    <x v="2"/>
    <n v="114180"/>
    <x v="0"/>
    <n v="0.84931506849315064"/>
    <n v="2284"/>
    <n v="3"/>
  </r>
  <r>
    <s v="Hogan Iles"/>
    <s v="Female"/>
    <n v="30"/>
    <s v="Average"/>
    <d v="2022-10-16T00:00:00"/>
    <x v="2"/>
    <n v="114180"/>
    <x v="1"/>
    <n v="0.68219178082191778"/>
    <n v="2284"/>
    <n v="3"/>
  </r>
  <r>
    <s v="Ramnath Ravuri"/>
    <s v="Female"/>
    <n v="44"/>
    <s v="Average"/>
    <d v="2023-02-28T00:00:00"/>
    <x v="0"/>
    <n v="114870"/>
    <x v="0"/>
    <n v="0.31232876712328766"/>
    <n v="2298"/>
    <n v="3"/>
  </r>
  <r>
    <s v="Wilone O'Kielt"/>
    <s v="Female"/>
    <n v="43"/>
    <s v="Average"/>
    <d v="2023-04-29T00:00:00"/>
    <x v="0"/>
    <n v="114870"/>
    <x v="1"/>
    <n v="0.14794520547945206"/>
    <n v="2298"/>
    <n v="3"/>
  </r>
  <r>
    <s v="Dhruv Manjunath"/>
    <s v="Female"/>
    <n v="36"/>
    <s v="Average"/>
    <d v="2020-07-11T00:00:00"/>
    <x v="2"/>
    <n v="114890"/>
    <x v="0"/>
    <n v="2.9479452054794519"/>
    <n v="3447"/>
    <n v="3"/>
  </r>
  <r>
    <s v="Tracy Renad"/>
    <s v="Female"/>
    <n v="36"/>
    <s v="Average"/>
    <d v="2020-09-11T00:00:00"/>
    <x v="2"/>
    <n v="114890"/>
    <x v="1"/>
    <n v="2.7780821917808218"/>
    <n v="3447"/>
    <n v="3"/>
  </r>
  <r>
    <s v="Sahila Chandrasekhar"/>
    <s v="Other"/>
    <n v="37"/>
    <s v="Poor"/>
    <d v="2020-09-11T00:00:00"/>
    <x v="4"/>
    <n v="115440"/>
    <x v="0"/>
    <n v="2.7780821917808218"/>
    <n v="3464"/>
    <n v="2"/>
  </r>
  <r>
    <s v="Benny Karolovsky"/>
    <s v="Other"/>
    <n v="37"/>
    <s v="Poor"/>
    <d v="2020-11-11T00:00:00"/>
    <x v="4"/>
    <n v="115440"/>
    <x v="1"/>
    <n v="2.6109589041095891"/>
    <n v="3464"/>
    <n v="2"/>
  </r>
  <r>
    <s v="Sarayu Ragunathan"/>
    <s v="Male"/>
    <n v="33"/>
    <s v="Average"/>
    <d v="2020-09-29T00:00:00"/>
    <x v="2"/>
    <n v="115920"/>
    <x v="0"/>
    <n v="2.7287671232876711"/>
    <n v="3478"/>
    <n v="3"/>
  </r>
  <r>
    <s v="Roddy Speechley"/>
    <s v="Male"/>
    <n v="33"/>
    <s v="Average"/>
    <d v="2020-11-29T00:00:00"/>
    <x v="2"/>
    <n v="115920"/>
    <x v="1"/>
    <n v="2.5616438356164384"/>
    <n v="3478"/>
    <n v="3"/>
  </r>
  <r>
    <s v="Kaishori Harathi Kateel"/>
    <s v="Female"/>
    <n v="37"/>
    <s v="Average"/>
    <d v="2021-07-12T00:00:00"/>
    <x v="3"/>
    <n v="118100"/>
    <x v="0"/>
    <n v="1.9452054794520548"/>
    <n v="2362"/>
    <n v="3"/>
  </r>
  <r>
    <s v="Valentia Etteridge"/>
    <s v="Female"/>
    <n v="37"/>
    <s v="Average"/>
    <d v="2021-09-12T00:00:00"/>
    <x v="3"/>
    <n v="118100"/>
    <x v="1"/>
    <n v="1.7753424657534247"/>
    <n v="2362"/>
    <n v="3"/>
  </r>
  <r>
    <s v="Heer Pennathur"/>
    <s v="Male"/>
    <n v="36"/>
    <s v="Average"/>
    <d v="2020-05-07T00:00:00"/>
    <x v="0"/>
    <n v="118840"/>
    <x v="0"/>
    <n v="3.1260273972602741"/>
    <n v="3566"/>
    <n v="3"/>
  </r>
  <r>
    <s v="Tawnya Tickel"/>
    <s v="Male"/>
    <n v="36"/>
    <s v="Average"/>
    <d v="2020-07-07T00:00:00"/>
    <x v="0"/>
    <n v="118840"/>
    <x v="1"/>
    <n v="2.9589041095890409"/>
    <n v="3566"/>
    <n v="3"/>
  </r>
  <r>
    <s v="Anjushri Chandiramani"/>
    <s v="Female"/>
    <n v="27"/>
    <s v="Average"/>
    <d v="2020-08-18T00:00:00"/>
    <x v="3"/>
    <n v="119110"/>
    <x v="0"/>
    <n v="2.8438356164383563"/>
    <n v="3574"/>
    <n v="3"/>
  </r>
  <r>
    <s v="Ewart Laphorn"/>
    <s v="Female"/>
    <n v="27"/>
    <s v="Average"/>
    <d v="2020-10-18T00:00:00"/>
    <x v="3"/>
    <n v="119110"/>
    <x v="1"/>
    <n v="2.6767123287671235"/>
    <n v="3574"/>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3" dataOnRows="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D7:F12" firstHeaderRow="1" firstDataRow="2" firstDataCol="1"/>
  <pivotFields count="6">
    <pivotField axis="axisCol" allDrilled="1" showAll="0" dataSourceSort="1" defaultAttributeDrillState="1">
      <items count="3">
        <item s="1" x="0"/>
        <item s="1" x="1"/>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4" subtotal="average" baseField="0" baseItem="0"/>
    <dataField name="Average of Tenure" fld="3" subtotal="average" baseField="0" baseItem="0"/>
  </dataFields>
  <formats count="21">
    <format dxfId="38">
      <pivotArea collapsedLevelsAreSubtotals="1" fieldPosition="0">
        <references count="2">
          <reference field="4294967294" count="1">
            <x v="1"/>
          </reference>
          <reference field="0" count="1" selected="0">
            <x v="0"/>
          </reference>
        </references>
      </pivotArea>
    </format>
    <format dxfId="37">
      <pivotArea collapsedLevelsAreSubtotals="1" fieldPosition="0">
        <references count="2">
          <reference field="4294967294" count="1">
            <x v="1"/>
          </reference>
          <reference field="0" count="1" selected="0">
            <x v="1"/>
          </reference>
        </references>
      </pivotArea>
    </format>
    <format dxfId="36">
      <pivotArea field="0" grandCol="1" collapsedLevelsAreSubtotals="1" axis="axisCol" fieldPosition="0">
        <references count="1">
          <reference field="4294967294" count="1">
            <x v="1"/>
          </reference>
        </references>
      </pivotArea>
    </format>
    <format dxfId="35">
      <pivotArea collapsedLevelsAreSubtotals="1" fieldPosition="0">
        <references count="2">
          <reference field="4294967294" count="1">
            <x v="2"/>
          </reference>
          <reference field="0" count="1" selected="0">
            <x v="0"/>
          </reference>
        </references>
      </pivotArea>
    </format>
    <format dxfId="34">
      <pivotArea collapsedLevelsAreSubtotals="1" fieldPosition="0">
        <references count="2">
          <reference field="4294967294" count="1">
            <x v="2"/>
          </reference>
          <reference field="0" count="1" selected="0">
            <x v="1"/>
          </reference>
        </references>
      </pivotArea>
    </format>
    <format dxfId="33">
      <pivotArea field="0" grandCol="1" collapsedLevelsAreSubtotals="1" axis="axisCol" fieldPosition="0">
        <references count="1">
          <reference field="4294967294" count="1">
            <x v="2"/>
          </reference>
        </references>
      </pivotArea>
    </format>
    <format dxfId="32">
      <pivotArea collapsedLevelsAreSubtotals="1" fieldPosition="0">
        <references count="2">
          <reference field="4294967294" count="1">
            <x v="3"/>
          </reference>
          <reference field="0" count="1" selected="0">
            <x v="0"/>
          </reference>
        </references>
      </pivotArea>
    </format>
    <format dxfId="31">
      <pivotArea collapsedLevelsAreSubtotals="1" fieldPosition="0">
        <references count="2">
          <reference field="4294967294" count="1">
            <x v="3"/>
          </reference>
          <reference field="0" count="1" selected="0">
            <x v="1"/>
          </reference>
        </references>
      </pivotArea>
    </format>
    <format dxfId="30">
      <pivotArea field="0" grandCol="1" collapsedLevelsAreSubtotals="1" axis="axisCol" fieldPosition="0">
        <references count="1">
          <reference field="4294967294" count="1">
            <x v="3"/>
          </reference>
        </references>
      </pivotArea>
    </format>
    <format dxfId="29">
      <pivotArea collapsedLevelsAreSubtotals="1" fieldPosition="0">
        <references count="2">
          <reference field="4294967294" count="1">
            <x v="3"/>
          </reference>
          <reference field="0" count="1" selected="0">
            <x v="0"/>
          </reference>
        </references>
      </pivotArea>
    </format>
    <format dxfId="28">
      <pivotArea collapsedLevelsAreSubtotals="1" fieldPosition="0">
        <references count="2">
          <reference field="4294967294" count="1">
            <x v="3"/>
          </reference>
          <reference field="0" count="1" selected="0">
            <x v="1"/>
          </reference>
        </references>
      </pivotArea>
    </format>
    <format dxfId="27">
      <pivotArea collapsedLevelsAreSubtotals="1" fieldPosition="0">
        <references count="2">
          <reference field="4294967294" count="1">
            <x v="3"/>
          </reference>
          <reference field="0" count="1" selected="0">
            <x v="0"/>
          </reference>
        </references>
      </pivotArea>
    </format>
    <format dxfId="26">
      <pivotArea collapsedLevelsAreSubtotals="1" fieldPosition="0">
        <references count="2">
          <reference field="4294967294" count="1">
            <x v="3"/>
          </reference>
          <reference field="0" count="1" selected="0">
            <x v="1"/>
          </reference>
        </references>
      </pivotArea>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0" type="button" dataOnly="0" labelOnly="1" outline="0" axis="axisCol" fieldPosition="0"/>
    </format>
    <format dxfId="21">
      <pivotArea type="topRight" dataOnly="0" labelOnly="1" outline="0" fieldPosition="0"/>
    </format>
    <format dxfId="20">
      <pivotArea field="-2" type="button" dataOnly="0" labelOnly="1" outline="0" axis="axisRow" fieldPosition="0"/>
    </format>
    <format dxfId="19">
      <pivotArea dataOnly="0" labelOnly="1" outline="0" fieldPosition="0">
        <references count="1">
          <reference field="4294967294" count="4">
            <x v="0"/>
            <x v="1"/>
            <x v="2"/>
            <x v="3"/>
          </reference>
        </references>
      </pivotArea>
    </format>
    <format dxfId="18">
      <pivotArea dataOnly="0" labelOnly="1" fieldPosition="0">
        <references count="1">
          <reference field="0" count="0"/>
        </references>
      </pivotArea>
    </format>
  </formats>
  <pivotHierarchies count="22">
    <pivotHierarchy dragToData="1"/>
    <pivotHierarchy multipleItemSelectionAllowed="1" dragToData="1">
      <members count="1" level="1">
        <member name="[Staff].[Country].&amp;[I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6:D12" firstHeaderRow="0" firstDataRow="1" firstDataCol="1"/>
  <pivotFields count="3">
    <pivotField axis="axisRow" allDrilled="1" showAll="0" defaultAttributeDrillState="1">
      <items count="6">
        <item x="2"/>
        <item x="0"/>
        <item x="1"/>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8"/>
  </dataFields>
  <formats count="15">
    <format dxfId="17">
      <pivotArea collapsedLevelsAreSubtotals="1" fieldPosition="0">
        <references count="2">
          <reference field="4294967294" count="1" selected="0">
            <x v="1"/>
          </reference>
          <reference field="0" count="1">
            <x v="2"/>
          </reference>
        </references>
      </pivotArea>
    </format>
    <format dxfId="16">
      <pivotArea collapsedLevelsAreSubtotals="1" fieldPosition="0">
        <references count="2">
          <reference field="4294967294" count="1" selected="0">
            <x v="1"/>
          </reference>
          <reference field="0" count="1">
            <x v="2"/>
          </reference>
        </references>
      </pivotArea>
    </format>
    <format dxfId="15">
      <pivotArea collapsedLevelsAreSubtotals="1" fieldPosition="0">
        <references count="2">
          <reference field="4294967294" count="1" selected="0">
            <x v="1"/>
          </reference>
          <reference field="0" count="1">
            <x v="2"/>
          </reference>
        </references>
      </pivotArea>
    </format>
    <format dxfId="14">
      <pivotArea collapsedLevelsAreSubtotals="1" fieldPosition="0">
        <references count="2">
          <reference field="4294967294" count="1" selected="0">
            <x v="1"/>
          </reference>
          <reference field="0" count="1">
            <x v="2"/>
          </reference>
        </references>
      </pivotArea>
    </format>
    <format dxfId="13">
      <pivotArea collapsedLevelsAreSubtotals="1" fieldPosition="0">
        <references count="2">
          <reference field="4294967294" count="1" selected="0">
            <x v="1"/>
          </reference>
          <reference field="0" count="1">
            <x v="2"/>
          </reference>
        </references>
      </pivotArea>
    </format>
    <format dxfId="12">
      <pivotArea collapsedLevelsAreSubtotals="1" fieldPosition="0">
        <references count="2">
          <reference field="4294967294" count="1" selected="0">
            <x v="1"/>
          </reference>
          <reference field="0" count="1">
            <x v="4"/>
          </reference>
        </references>
      </pivotArea>
    </format>
    <format dxfId="11">
      <pivotArea collapsedLevelsAreSubtotals="1" fieldPosition="0">
        <references count="2">
          <reference field="4294967294" count="1" selected="0">
            <x v="1"/>
          </reference>
          <reference field="0" count="1">
            <x v="4"/>
          </reference>
        </references>
      </pivotArea>
    </format>
    <format dxfId="10">
      <pivotArea collapsedLevelsAreSubtotals="1" fieldPosition="0">
        <references count="2">
          <reference field="4294967294" count="1" selected="0">
            <x v="1"/>
          </reference>
          <reference field="0" count="1">
            <x v="4"/>
          </reference>
        </references>
      </pivotArea>
    </format>
    <format dxfId="9">
      <pivotArea collapsedLevelsAreSubtotals="1" fieldPosition="0">
        <references count="2">
          <reference field="4294967294" count="1" selected="0">
            <x v="1"/>
          </reference>
          <reference field="0" count="1">
            <x v="4"/>
          </reference>
        </references>
      </pivotArea>
    </format>
    <format dxfId="8">
      <pivotArea collapsedLevelsAreSubtotals="1" fieldPosition="0">
        <references count="2">
          <reference field="4294967294" count="1" selected="0">
            <x v="1"/>
          </reference>
          <reference field="0" count="1">
            <x v="4"/>
          </reference>
        </references>
      </pivotArea>
    </format>
    <format dxfId="7">
      <pivotArea field="0" grandRow="1" outline="0" collapsedLevelsAreSubtotals="1" axis="axisRow" fieldPosition="0">
        <references count="1">
          <reference field="4294967294" count="1" selected="0">
            <x v="1"/>
          </reference>
        </references>
      </pivotArea>
    </format>
    <format dxfId="6">
      <pivotArea field="0" grandRow="1" outline="0" collapsedLevelsAreSubtotals="1" axis="axisRow" fieldPosition="0">
        <references count="1">
          <reference field="4294967294" count="1" selected="0">
            <x v="1"/>
          </reference>
        </references>
      </pivotArea>
    </format>
    <format dxfId="5">
      <pivotArea field="0" grandRow="1" outline="0" collapsedLevelsAreSubtotals="1" axis="axisRow" fieldPosition="0">
        <references count="1">
          <reference field="4294967294" count="1" selected="0">
            <x v="1"/>
          </reference>
        </references>
      </pivotArea>
    </format>
    <format dxfId="4">
      <pivotArea outline="0" fieldPosition="0">
        <references count="1">
          <reference field="4294967294" count="1">
            <x v="1"/>
          </reference>
        </references>
      </pivotArea>
    </format>
    <format dxfId="3">
      <pivotArea outline="0" fieldPosition="0">
        <references count="1">
          <reference field="4294967294" count="1">
            <x v="1"/>
          </reference>
        </references>
      </pivotArea>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location ref="A3:B40"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items count="5">
        <item x="0"/>
        <item x="1"/>
        <item x="2"/>
        <item x="3"/>
        <item t="default"/>
      </items>
    </pivotField>
    <pivotField dataField="1" showAl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1">
    <chartFormat chart="1"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3:B8" firstHeaderRow="1" firstDataRow="1" firstDataCol="1" rowPageCount="1" colPageCount="1"/>
  <pivotFields count="11">
    <pivotField dataField="1" showAll="0"/>
    <pivotField showAll="0"/>
    <pivotField showAll="0"/>
    <pivotField showAll="0"/>
    <pivotField numFmtId="14" showAll="0"/>
    <pivotField axis="axisRow" showAll="0" sortType="descending">
      <items count="6">
        <item x="4"/>
        <item x="3"/>
        <item x="2"/>
        <item x="1"/>
        <item x="0"/>
        <item t="default"/>
      </items>
      <autoSortScope>
        <pivotArea dataOnly="0" outline="0" fieldPosition="0">
          <references count="1">
            <reference field="4294967294" count="1" selected="0">
              <x v="0"/>
            </reference>
          </references>
        </pivotArea>
      </autoSortScope>
    </pivotField>
    <pivotField numFmtId="168" showAll="0"/>
    <pivotField axis="axisPage" showAll="0">
      <items count="3">
        <item x="0"/>
        <item x="1"/>
        <item t="default"/>
      </items>
    </pivotField>
    <pivotField numFmtId="2" showAll="0"/>
    <pivotField numFmtId="168" showAll="0"/>
    <pivotField numFmtId="1" showAll="0"/>
  </pivotFields>
  <rowFields count="1">
    <field x="5"/>
  </rowFields>
  <rowItems count="5">
    <i>
      <x v="4"/>
    </i>
    <i>
      <x v="2"/>
    </i>
    <i>
      <x/>
    </i>
    <i>
      <x v="3"/>
    </i>
    <i>
      <x v="1"/>
    </i>
  </rowItems>
  <colItems count="1">
    <i/>
  </colItems>
  <pageFields count="1">
    <pageField fld="7" item="1" hier="-1"/>
  </pageFields>
  <dataFields count="1">
    <dataField name="Count of Name" fld="0" subtotal="count" baseField="0"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4" unboundColumnsRight="3">
    <queryTableFields count="11">
      <queryTableField id="1" name="Name" tableColumnId="25"/>
      <queryTableField id="2" name="Gender" tableColumnId="26"/>
      <queryTableField id="3" name="Age" tableColumnId="27"/>
      <queryTableField id="4" name="Rating" tableColumnId="28"/>
      <queryTableField id="5" name="Date Joined" tableColumnId="29"/>
      <queryTableField id="6" name="Department" tableColumnId="30"/>
      <queryTableField id="7" name="Salary" tableColumnId="31"/>
      <queryTableField id="8" name="Country" tableColumnId="32"/>
      <queryTableField id="10" dataBound="0" tableColumnId="1"/>
      <queryTableField id="12" dataBound="0" tableColumnId="2"/>
      <queryTableField id="13"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5" name="PivotTable1"/>
  </pivotTables>
  <data>
    <olap pivotCacheId="2">
      <levels count="2">
        <level uniqueName="[Staff].[Country].[(All)]" sourceCaption="(All)" count="0"/>
        <level uniqueName="[Staff].[Country].[Country]" sourceCaption="Country" count="2">
          <ranges>
            <range startItem="0">
              <i n="[Staff].[Country].&amp;[IND]" c="IND"/>
              <i n="[Staff].[Country].&amp;[NZ]" c="NZ"/>
            </range>
          </ranges>
        </level>
      </levels>
      <selections count="1">
        <selection n="[Staff].[Country].&amp;[I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ableColumn id="5" name="Date Joined"/>
    <tableColumn id="6" name="Salary" totalsRowFunction="average" dataDxfId="52" totalsRowDxfId="51"/>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4" name="india_staff" displayName="india_staff" ref="B2:H114" totalsRowShown="0">
  <autoFilter ref="B2:H114"/>
  <tableColumns count="7">
    <tableColumn id="1" name="Name"/>
    <tableColumn id="2" name="Gender"/>
    <tableColumn id="3" name="Age"/>
    <tableColumn id="4" name="Rating"/>
    <tableColumn id="5" name="Date Joined" dataDxfId="50"/>
    <tableColumn id="6" name="Department"/>
    <tableColumn id="7" name="Salary"/>
  </tableColumns>
  <tableStyleInfo name="TableStyleLight19" showFirstColumn="0" showLastColumn="0" showRowStripes="1" showColumnStripes="0"/>
</table>
</file>

<file path=xl/tables/table3.xml><?xml version="1.0" encoding="utf-8"?>
<table xmlns="http://schemas.openxmlformats.org/spreadsheetml/2006/main" id="5" name="Staff" displayName="Staff" ref="A1:K184" tableType="queryTable" totalsRowShown="0">
  <autoFilter ref="A1:K184"/>
  <sortState ref="A2:J184">
    <sortCondition ref="G1:G184"/>
  </sortState>
  <tableColumns count="11">
    <tableColumn id="25" uniqueName="25" name="Name" queryTableFieldId="1" dataDxfId="49"/>
    <tableColumn id="26" uniqueName="26" name="Gender" queryTableFieldId="2" dataDxfId="48"/>
    <tableColumn id="27" uniqueName="27" name="Age" queryTableFieldId="3" dataDxfId="47"/>
    <tableColumn id="28" uniqueName="28" name="Rating" queryTableFieldId="4" dataDxfId="46"/>
    <tableColumn id="29" uniqueName="29" name="Date Joined" queryTableFieldId="5" dataDxfId="45"/>
    <tableColumn id="30" uniqueName="30" name="Department" queryTableFieldId="6" dataDxfId="44"/>
    <tableColumn id="31" uniqueName="31" name="Salary" queryTableFieldId="7" dataDxfId="43"/>
    <tableColumn id="32" uniqueName="32" name="Country" queryTableFieldId="8" dataDxfId="42"/>
    <tableColumn id="1" uniqueName="1" name="Tenure" queryTableFieldId="10" dataDxfId="41">
      <calculatedColumnFormula>(TODAY()-Staff[[#This Row],[Date Joined]])/365</calculatedColumnFormula>
    </tableColumn>
    <tableColumn id="2" uniqueName="2" name="Bonus" queryTableFieldId="12" dataDxfId="40">
      <calculatedColumnFormula>ROUNDUP(IF(Staff[[#This Row],[Tenure]]&gt;2,3%,2%)*Staff[[#This Row],[Salary]],0)</calculatedColumnFormula>
    </tableColumn>
    <tableColumn id="3" uniqueName="3" name="Rating as Number" queryTableFieldId="13" dataDxf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28" workbookViewId="0">
      <selection activeCell="M22" sqref="M22"/>
    </sheetView>
  </sheetViews>
  <sheetFormatPr defaultRowHeight="15" x14ac:dyDescent="0.25"/>
  <cols>
    <col min="1" max="1" width="1.7109375" customWidth="1"/>
    <col min="2" max="2" width="3.7109375" customWidth="1"/>
    <col min="3" max="3" width="22" customWidth="1"/>
    <col min="4" max="4" width="10" bestFit="1" customWidth="1"/>
    <col min="5" max="5" width="14" bestFit="1" customWidth="1"/>
    <col min="6" max="6" width="6.7109375" bestFit="1" customWidth="1"/>
    <col min="7" max="7" width="13.7109375" bestFit="1" customWidth="1"/>
    <col min="8" max="8" width="12.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conditionalFormatting sqref="C6:C105">
    <cfRule type="duplicateValues" dxfId="2"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A7" workbookViewId="0">
      <selection activeCell="I8" sqref="I8"/>
    </sheetView>
  </sheetViews>
  <sheetFormatPr defaultRowHeight="15" x14ac:dyDescent="0.25"/>
  <cols>
    <col min="1" max="1" width="13.140625" bestFit="1" customWidth="1"/>
    <col min="2" max="2" width="14.42578125" customWidth="1"/>
    <col min="4" max="4" width="12.5703125" bestFit="1" customWidth="1"/>
    <col min="5" max="5" width="14.42578125" bestFit="1" customWidth="1"/>
  </cols>
  <sheetData>
    <row r="1" spans="1:5" x14ac:dyDescent="0.25">
      <c r="A1" s="10" t="s">
        <v>204</v>
      </c>
      <c r="B1" t="s">
        <v>207</v>
      </c>
    </row>
    <row r="3" spans="1:5" x14ac:dyDescent="0.25">
      <c r="A3" s="10" t="s">
        <v>231</v>
      </c>
      <c r="B3" t="s">
        <v>224</v>
      </c>
      <c r="D3" s="54" t="s">
        <v>231</v>
      </c>
      <c r="E3" s="54" t="s">
        <v>224</v>
      </c>
    </row>
    <row r="4" spans="1:5" x14ac:dyDescent="0.25">
      <c r="A4" s="11" t="s">
        <v>12</v>
      </c>
      <c r="B4" s="6">
        <v>27</v>
      </c>
      <c r="D4" s="11" t="s">
        <v>9</v>
      </c>
      <c r="E4" s="6">
        <v>28</v>
      </c>
    </row>
    <row r="5" spans="1:5" x14ac:dyDescent="0.25">
      <c r="A5" s="11" t="s">
        <v>9</v>
      </c>
      <c r="B5" s="6">
        <v>27</v>
      </c>
      <c r="D5" s="11" t="s">
        <v>12</v>
      </c>
      <c r="E5" s="6">
        <v>27</v>
      </c>
    </row>
    <row r="6" spans="1:5" x14ac:dyDescent="0.25">
      <c r="A6" s="11" t="s">
        <v>21</v>
      </c>
      <c r="B6" s="6">
        <v>19</v>
      </c>
      <c r="D6" s="11" t="s">
        <v>21</v>
      </c>
      <c r="E6" s="6">
        <v>19</v>
      </c>
    </row>
    <row r="7" spans="1:5" x14ac:dyDescent="0.25">
      <c r="A7" s="11" t="s">
        <v>19</v>
      </c>
      <c r="B7" s="6">
        <v>14</v>
      </c>
      <c r="D7" s="11" t="s">
        <v>19</v>
      </c>
      <c r="E7" s="6">
        <v>14</v>
      </c>
    </row>
    <row r="8" spans="1:5" x14ac:dyDescent="0.25">
      <c r="A8" s="11" t="s">
        <v>56</v>
      </c>
      <c r="B8" s="6">
        <v>4</v>
      </c>
      <c r="D8" s="55" t="s">
        <v>56</v>
      </c>
      <c r="E8" s="56">
        <v>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3" zoomScale="55" zoomScaleNormal="55" workbookViewId="0">
      <selection activeCell="AL20" sqref="AL20"/>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F8"/>
  <sheetViews>
    <sheetView tabSelected="1" topLeftCell="B1" workbookViewId="0">
      <selection activeCell="F23" sqref="F23"/>
    </sheetView>
  </sheetViews>
  <sheetFormatPr defaultRowHeight="15" x14ac:dyDescent="0.25"/>
  <cols>
    <col min="2" max="2" width="14.28515625" bestFit="1" customWidth="1"/>
  </cols>
  <sheetData>
    <row r="4" spans="5:6" x14ac:dyDescent="0.25">
      <c r="E4" s="47" t="s">
        <v>10</v>
      </c>
      <c r="F4" s="33">
        <v>5</v>
      </c>
    </row>
    <row r="5" spans="5:6" x14ac:dyDescent="0.25">
      <c r="E5" s="47" t="s">
        <v>13</v>
      </c>
      <c r="F5" s="33">
        <v>4</v>
      </c>
    </row>
    <row r="6" spans="5:6" x14ac:dyDescent="0.25">
      <c r="E6" s="47" t="s">
        <v>16</v>
      </c>
      <c r="F6" s="33">
        <v>3</v>
      </c>
    </row>
    <row r="7" spans="5:6" x14ac:dyDescent="0.25">
      <c r="E7" s="47" t="s">
        <v>24</v>
      </c>
      <c r="F7" s="33">
        <v>2</v>
      </c>
    </row>
    <row r="8" spans="5:6" x14ac:dyDescent="0.25">
      <c r="E8" s="47" t="s">
        <v>42</v>
      </c>
      <c r="F8" s="3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topLeftCell="B1" workbookViewId="0">
      <selection activeCell="I8" sqref="I8"/>
    </sheetView>
  </sheetViews>
  <sheetFormatPr defaultRowHeight="15" x14ac:dyDescent="0.25"/>
  <cols>
    <col min="1" max="1" width="9.140625" customWidth="1"/>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84"/>
  <sheetViews>
    <sheetView topLeftCell="A31" workbookViewId="0">
      <selection activeCell="A7" sqref="A7"/>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8" style="8" bestFit="1" customWidth="1"/>
    <col min="6" max="6" width="14" bestFit="1" customWidth="1"/>
    <col min="7" max="7" width="12.85546875" style="12" bestFit="1" customWidth="1"/>
    <col min="8" max="8" width="10.28515625" bestFit="1" customWidth="1"/>
    <col min="9" max="9" width="10.42578125" style="9" bestFit="1" customWidth="1"/>
    <col min="10" max="10" width="10.42578125" style="9" customWidth="1"/>
    <col min="11" max="11" width="19" style="9" bestFit="1" customWidth="1"/>
    <col min="12" max="12" width="10.42578125" style="9" customWidth="1"/>
    <col min="14" max="14" width="11.28515625" bestFit="1" customWidth="1"/>
    <col min="15" max="15" width="19.5703125" bestFit="1" customWidth="1"/>
    <col min="16" max="16" width="12" bestFit="1" customWidth="1"/>
  </cols>
  <sheetData>
    <row r="1" spans="1:17" x14ac:dyDescent="0.25">
      <c r="A1" s="6" t="s">
        <v>0</v>
      </c>
      <c r="B1" s="6" t="s">
        <v>1</v>
      </c>
      <c r="C1" s="6" t="s">
        <v>3</v>
      </c>
      <c r="D1" s="6" t="s">
        <v>6</v>
      </c>
      <c r="E1" s="8" t="s">
        <v>4</v>
      </c>
      <c r="F1" s="6" t="s">
        <v>2</v>
      </c>
      <c r="G1" s="12" t="s">
        <v>5</v>
      </c>
      <c r="H1" s="6" t="s">
        <v>204</v>
      </c>
      <c r="I1" s="9" t="s">
        <v>213</v>
      </c>
      <c r="J1" s="9" t="s">
        <v>229</v>
      </c>
      <c r="K1" s="9" t="s">
        <v>233</v>
      </c>
    </row>
    <row r="2" spans="1:17" ht="15.75" thickBot="1" x14ac:dyDescent="0.3">
      <c r="A2" s="6" t="s">
        <v>179</v>
      </c>
      <c r="B2" s="6" t="s">
        <v>8</v>
      </c>
      <c r="C2" s="6">
        <v>21</v>
      </c>
      <c r="D2" s="6" t="s">
        <v>16</v>
      </c>
      <c r="E2" s="7">
        <v>44619</v>
      </c>
      <c r="F2" s="6" t="s">
        <v>12</v>
      </c>
      <c r="G2" s="12">
        <v>33920</v>
      </c>
      <c r="H2" s="6" t="s">
        <v>205</v>
      </c>
      <c r="I2" s="9">
        <f ca="1">(TODAY()-Staff[[#This Row],[Date Joined]])/365</f>
        <v>1.3150684931506849</v>
      </c>
      <c r="J2" s="12">
        <f ca="1">ROUNDUP(IF(Staff[[#This Row],[Tenure]]&gt;2,3%,2%)*Staff[[#This Row],[Salary]],0)</f>
        <v>679</v>
      </c>
      <c r="K2" s="46">
        <v>3</v>
      </c>
      <c r="Q2" t="s">
        <v>215</v>
      </c>
    </row>
    <row r="3" spans="1:17" x14ac:dyDescent="0.25">
      <c r="A3" s="6" t="s">
        <v>86</v>
      </c>
      <c r="B3" s="6" t="s">
        <v>8</v>
      </c>
      <c r="C3" s="6">
        <v>21</v>
      </c>
      <c r="D3" s="6" t="s">
        <v>16</v>
      </c>
      <c r="E3" s="7">
        <v>44678</v>
      </c>
      <c r="F3" s="6" t="s">
        <v>12</v>
      </c>
      <c r="G3" s="12">
        <v>33920</v>
      </c>
      <c r="H3" s="6" t="s">
        <v>207</v>
      </c>
      <c r="I3" s="9">
        <f ca="1">(TODAY()-Staff[[#This Row],[Date Joined]])/365</f>
        <v>1.1534246575342466</v>
      </c>
      <c r="J3" s="12">
        <f ca="1">ROUNDUP(IF(Staff[[#This Row],[Tenure]]&gt;2,3%,2%)*Staff[[#This Row],[Salary]],0)</f>
        <v>679</v>
      </c>
      <c r="K3" s="46">
        <v>3</v>
      </c>
      <c r="M3" s="34">
        <v>1</v>
      </c>
      <c r="N3" s="35" t="s">
        <v>208</v>
      </c>
      <c r="O3" s="35"/>
      <c r="P3" s="35">
        <f>COUNTA(Staff[Name])</f>
        <v>183</v>
      </c>
      <c r="Q3" s="36"/>
    </row>
    <row r="4" spans="1:17" x14ac:dyDescent="0.25">
      <c r="A4" s="6" t="s">
        <v>137</v>
      </c>
      <c r="B4" s="6" t="s">
        <v>8</v>
      </c>
      <c r="C4" s="6">
        <v>29</v>
      </c>
      <c r="D4" s="6" t="s">
        <v>16</v>
      </c>
      <c r="E4" s="7">
        <v>43962</v>
      </c>
      <c r="F4" s="6" t="s">
        <v>12</v>
      </c>
      <c r="G4" s="12">
        <v>34980</v>
      </c>
      <c r="H4" s="6" t="s">
        <v>205</v>
      </c>
      <c r="I4" s="9">
        <f ca="1">(TODAY()-Staff[[#This Row],[Date Joined]])/365</f>
        <v>3.1150684931506851</v>
      </c>
      <c r="J4" s="12">
        <f ca="1">ROUNDUP(IF(Staff[[#This Row],[Tenure]]&gt;2,3%,2%)*Staff[[#This Row],[Salary]],0)</f>
        <v>1050</v>
      </c>
      <c r="K4" s="46">
        <v>3</v>
      </c>
      <c r="M4" s="37"/>
      <c r="N4" s="31" t="s">
        <v>209</v>
      </c>
      <c r="O4" s="31"/>
      <c r="P4" s="43">
        <f>AVERAGE(G:G)</f>
        <v>77173.715846994543</v>
      </c>
      <c r="Q4" s="38">
        <f>MEDIAN(Staff[Salary])</f>
        <v>75000</v>
      </c>
    </row>
    <row r="5" spans="1:17" x14ac:dyDescent="0.25">
      <c r="A5" s="6" t="s">
        <v>44</v>
      </c>
      <c r="B5" s="6" t="s">
        <v>8</v>
      </c>
      <c r="C5" s="6">
        <v>29</v>
      </c>
      <c r="D5" s="6" t="s">
        <v>16</v>
      </c>
      <c r="E5" s="7">
        <v>44023</v>
      </c>
      <c r="F5" s="6" t="s">
        <v>12</v>
      </c>
      <c r="G5" s="12">
        <v>34980</v>
      </c>
      <c r="H5" s="6" t="s">
        <v>207</v>
      </c>
      <c r="I5" s="9">
        <f ca="1">(TODAY()-Staff[[#This Row],[Date Joined]])/365</f>
        <v>2.9479452054794519</v>
      </c>
      <c r="J5" s="12">
        <f ca="1">ROUNDUP(IF(Staff[[#This Row],[Tenure]]&gt;2,3%,2%)*Staff[[#This Row],[Salary]],0)</f>
        <v>1050</v>
      </c>
      <c r="K5" s="46">
        <v>3</v>
      </c>
      <c r="M5" s="37"/>
      <c r="N5" s="31" t="s">
        <v>210</v>
      </c>
      <c r="O5" s="31"/>
      <c r="P5" s="31">
        <f>AVERAGE(C:C)</f>
        <v>30.42622950819672</v>
      </c>
      <c r="Q5" s="38">
        <f>MEDIAN(Staff[Age])</f>
        <v>30</v>
      </c>
    </row>
    <row r="6" spans="1:17" x14ac:dyDescent="0.25">
      <c r="A6" s="6" t="s">
        <v>192</v>
      </c>
      <c r="B6" s="6" t="s">
        <v>15</v>
      </c>
      <c r="C6" s="6">
        <v>43</v>
      </c>
      <c r="D6" s="6" t="s">
        <v>16</v>
      </c>
      <c r="E6" s="7">
        <v>44558</v>
      </c>
      <c r="F6" s="6" t="s">
        <v>19</v>
      </c>
      <c r="G6" s="12">
        <v>36040</v>
      </c>
      <c r="H6" s="6" t="s">
        <v>205</v>
      </c>
      <c r="I6" s="9">
        <f ca="1">(TODAY()-Staff[[#This Row],[Date Joined]])/365</f>
        <v>1.4821917808219178</v>
      </c>
      <c r="J6" s="12">
        <f ca="1">ROUNDUP(IF(Staff[[#This Row],[Tenure]]&gt;2,3%,2%)*Staff[[#This Row],[Salary]],0)</f>
        <v>721</v>
      </c>
      <c r="K6" s="46">
        <v>3</v>
      </c>
      <c r="M6" s="37"/>
      <c r="N6" s="31" t="s">
        <v>211</v>
      </c>
      <c r="O6" s="31"/>
      <c r="P6" s="31">
        <f ca="1">AVERAGE(Staff[Tenure])</f>
        <v>1.8245677071637094</v>
      </c>
      <c r="Q6" s="38">
        <f ca="1">MEDIAN(Staff[Tenure])</f>
        <v>1.8465753424657534</v>
      </c>
    </row>
    <row r="7" spans="1:17" x14ac:dyDescent="0.25">
      <c r="A7" s="6" t="s">
        <v>99</v>
      </c>
      <c r="B7" s="6" t="s">
        <v>15</v>
      </c>
      <c r="C7" s="6">
        <v>43</v>
      </c>
      <c r="D7" s="6" t="s">
        <v>16</v>
      </c>
      <c r="E7" s="7">
        <v>44620</v>
      </c>
      <c r="F7" s="6" t="s">
        <v>19</v>
      </c>
      <c r="G7" s="12">
        <v>36040</v>
      </c>
      <c r="H7" s="6" t="s">
        <v>207</v>
      </c>
      <c r="I7" s="9">
        <f ca="1">(TODAY()-Staff[[#This Row],[Date Joined]])/365</f>
        <v>1.3123287671232877</v>
      </c>
      <c r="J7" s="12">
        <f ca="1">ROUNDUP(IF(Staff[[#This Row],[Tenure]]&gt;2,3%,2%)*Staff[[#This Row],[Salary]],0)</f>
        <v>721</v>
      </c>
      <c r="K7" s="46">
        <v>3</v>
      </c>
      <c r="M7" s="37"/>
      <c r="N7" s="31" t="s">
        <v>212</v>
      </c>
      <c r="O7" s="31"/>
      <c r="P7" s="44">
        <f>85/183</f>
        <v>0.46448087431693991</v>
      </c>
      <c r="Q7" s="38"/>
    </row>
    <row r="8" spans="1:17" x14ac:dyDescent="0.25">
      <c r="A8" s="6" t="s">
        <v>140</v>
      </c>
      <c r="B8" s="6" t="s">
        <v>15</v>
      </c>
      <c r="C8" s="6">
        <v>21</v>
      </c>
      <c r="D8" s="6" t="s">
        <v>16</v>
      </c>
      <c r="E8" s="7">
        <v>44042</v>
      </c>
      <c r="F8" s="6" t="s">
        <v>9</v>
      </c>
      <c r="G8" s="12">
        <v>37920</v>
      </c>
      <c r="H8" s="6" t="s">
        <v>205</v>
      </c>
      <c r="I8" s="9">
        <f ca="1">(TODAY()-Staff[[#This Row],[Date Joined]])/365</f>
        <v>2.8958904109589043</v>
      </c>
      <c r="J8" s="12">
        <f ca="1">ROUNDUP(IF(Staff[[#This Row],[Tenure]]&gt;2,3%,2%)*Staff[[#This Row],[Salary]],0)</f>
        <v>1138</v>
      </c>
      <c r="K8" s="46">
        <v>3</v>
      </c>
      <c r="M8" s="37"/>
      <c r="N8" s="31" t="s">
        <v>214</v>
      </c>
      <c r="O8" s="31"/>
      <c r="P8" s="31">
        <f>COUNTIFS(Staff[Gender],"Female")</f>
        <v>85</v>
      </c>
      <c r="Q8" s="38"/>
    </row>
    <row r="9" spans="1:17" x14ac:dyDescent="0.25">
      <c r="A9" s="6" t="s">
        <v>47</v>
      </c>
      <c r="B9" s="6" t="s">
        <v>15</v>
      </c>
      <c r="C9" s="6">
        <v>21</v>
      </c>
      <c r="D9" s="6" t="s">
        <v>16</v>
      </c>
      <c r="E9" s="7">
        <v>44104</v>
      </c>
      <c r="F9" s="6" t="s">
        <v>9</v>
      </c>
      <c r="G9" s="12">
        <v>37920</v>
      </c>
      <c r="H9" s="6" t="s">
        <v>207</v>
      </c>
      <c r="I9" s="9">
        <f ca="1">(TODAY()-Staff[[#This Row],[Date Joined]])/365</f>
        <v>2.7260273972602738</v>
      </c>
      <c r="J9" s="12">
        <f ca="1">ROUNDUP(IF(Staff[[#This Row],[Tenure]]&gt;2,3%,2%)*Staff[[#This Row],[Salary]],0)</f>
        <v>1138</v>
      </c>
      <c r="K9" s="46">
        <v>3</v>
      </c>
      <c r="M9" s="37"/>
      <c r="N9" s="31"/>
      <c r="O9" s="31"/>
      <c r="P9" s="31"/>
      <c r="Q9" s="38"/>
    </row>
    <row r="10" spans="1:17" ht="15.75" thickBot="1" x14ac:dyDescent="0.3">
      <c r="A10" s="6" t="s">
        <v>149</v>
      </c>
      <c r="B10" s="6" t="s">
        <v>15</v>
      </c>
      <c r="C10" s="6">
        <v>35</v>
      </c>
      <c r="D10" s="6" t="s">
        <v>16</v>
      </c>
      <c r="E10" s="7">
        <v>44666</v>
      </c>
      <c r="F10" s="6" t="s">
        <v>9</v>
      </c>
      <c r="G10" s="12">
        <v>40400</v>
      </c>
      <c r="H10" s="6" t="s">
        <v>205</v>
      </c>
      <c r="I10" s="9">
        <f ca="1">(TODAY()-Staff[[#This Row],[Date Joined]])/365</f>
        <v>1.1863013698630136</v>
      </c>
      <c r="J10" s="12">
        <f ca="1">ROUNDUP(IF(Staff[[#This Row],[Tenure]]&gt;2,3%,2%)*Staff[[#This Row],[Salary]],0)</f>
        <v>808</v>
      </c>
      <c r="K10" s="46">
        <v>3</v>
      </c>
      <c r="M10" s="39"/>
      <c r="N10" s="40" t="s">
        <v>216</v>
      </c>
      <c r="O10" s="40" t="s">
        <v>217</v>
      </c>
      <c r="P10" s="45">
        <f>173/183</f>
        <v>0.94535519125683065</v>
      </c>
      <c r="Q10" s="42"/>
    </row>
    <row r="11" spans="1:17" x14ac:dyDescent="0.25">
      <c r="A11" s="6" t="s">
        <v>57</v>
      </c>
      <c r="B11" s="6" t="s">
        <v>15</v>
      </c>
      <c r="C11" s="6">
        <v>35</v>
      </c>
      <c r="D11" s="6" t="s">
        <v>16</v>
      </c>
      <c r="E11" s="7">
        <v>44727</v>
      </c>
      <c r="F11" s="6" t="s">
        <v>9</v>
      </c>
      <c r="G11" s="12">
        <v>40400</v>
      </c>
      <c r="H11" s="6" t="s">
        <v>207</v>
      </c>
      <c r="I11" s="9">
        <f ca="1">(TODAY()-Staff[[#This Row],[Date Joined]])/365</f>
        <v>1.0191780821917809</v>
      </c>
      <c r="J11" s="12">
        <f ca="1">ROUNDUP(IF(Staff[[#This Row],[Tenure]]&gt;2,3%,2%)*Staff[[#This Row],[Salary]],0)</f>
        <v>808</v>
      </c>
      <c r="K11" s="46">
        <v>3</v>
      </c>
    </row>
    <row r="12" spans="1:17" ht="15.75" thickBot="1" x14ac:dyDescent="0.3">
      <c r="A12" s="6" t="s">
        <v>158</v>
      </c>
      <c r="B12" s="6" t="s">
        <v>8</v>
      </c>
      <c r="C12" s="6">
        <v>32</v>
      </c>
      <c r="D12" s="6" t="s">
        <v>16</v>
      </c>
      <c r="E12" s="7">
        <v>44549</v>
      </c>
      <c r="F12" s="6" t="s">
        <v>9</v>
      </c>
      <c r="G12" s="12">
        <v>41570</v>
      </c>
      <c r="H12" s="6" t="s">
        <v>205</v>
      </c>
      <c r="I12" s="9">
        <f ca="1">(TODAY()-Staff[[#This Row],[Date Joined]])/365</f>
        <v>1.5068493150684932</v>
      </c>
      <c r="J12" s="12">
        <f ca="1">ROUNDUP(IF(Staff[[#This Row],[Tenure]]&gt;2,3%,2%)*Staff[[#This Row],[Salary]],0)</f>
        <v>832</v>
      </c>
      <c r="K12" s="46">
        <v>3</v>
      </c>
    </row>
    <row r="13" spans="1:17" x14ac:dyDescent="0.25">
      <c r="A13" s="6" t="s">
        <v>66</v>
      </c>
      <c r="B13" s="6" t="s">
        <v>8</v>
      </c>
      <c r="C13" s="6">
        <v>32</v>
      </c>
      <c r="D13" s="6" t="s">
        <v>16</v>
      </c>
      <c r="E13" s="7">
        <v>44611</v>
      </c>
      <c r="F13" s="6" t="s">
        <v>9</v>
      </c>
      <c r="G13" s="12">
        <v>41570</v>
      </c>
      <c r="H13" s="6" t="s">
        <v>207</v>
      </c>
      <c r="I13" s="9">
        <f ca="1">(TODAY()-Staff[[#This Row],[Date Joined]])/365</f>
        <v>1.3369863013698631</v>
      </c>
      <c r="J13" s="12">
        <f ca="1">ROUNDUP(IF(Staff[[#This Row],[Tenure]]&gt;2,3%,2%)*Staff[[#This Row],[Salary]],0)</f>
        <v>832</v>
      </c>
      <c r="K13" s="46">
        <v>3</v>
      </c>
      <c r="M13" s="34">
        <v>2</v>
      </c>
      <c r="N13" s="35" t="s">
        <v>218</v>
      </c>
      <c r="O13" s="35"/>
      <c r="P13" s="36"/>
    </row>
    <row r="14" spans="1:17" x14ac:dyDescent="0.25">
      <c r="A14" s="6" t="s">
        <v>124</v>
      </c>
      <c r="B14" s="6" t="s">
        <v>8</v>
      </c>
      <c r="C14" s="6">
        <v>31</v>
      </c>
      <c r="D14" s="6" t="s">
        <v>16</v>
      </c>
      <c r="E14" s="7">
        <v>44084</v>
      </c>
      <c r="F14" s="6" t="s">
        <v>12</v>
      </c>
      <c r="G14" s="12">
        <v>41980</v>
      </c>
      <c r="H14" s="6" t="s">
        <v>205</v>
      </c>
      <c r="I14" s="9">
        <f ca="1">(TODAY()-Staff[[#This Row],[Date Joined]])/365</f>
        <v>2.7808219178082192</v>
      </c>
      <c r="J14" s="12">
        <f ca="1">ROUNDUP(IF(Staff[[#This Row],[Tenure]]&gt;2,3%,2%)*Staff[[#This Row],[Salary]],0)</f>
        <v>1260</v>
      </c>
      <c r="K14" s="46">
        <v>3</v>
      </c>
      <c r="M14" s="37"/>
      <c r="N14" s="31" t="s">
        <v>219</v>
      </c>
      <c r="O14" s="31"/>
      <c r="P14" s="38"/>
    </row>
    <row r="15" spans="1:17" x14ac:dyDescent="0.25">
      <c r="A15" s="6" t="s">
        <v>30</v>
      </c>
      <c r="B15" s="6" t="s">
        <v>8</v>
      </c>
      <c r="C15" s="6">
        <v>31</v>
      </c>
      <c r="D15" s="6" t="s">
        <v>16</v>
      </c>
      <c r="E15" s="7">
        <v>44145</v>
      </c>
      <c r="F15" s="6" t="s">
        <v>12</v>
      </c>
      <c r="G15" s="12">
        <v>41980</v>
      </c>
      <c r="H15" s="6" t="s">
        <v>207</v>
      </c>
      <c r="I15" s="9">
        <f ca="1">(TODAY()-Staff[[#This Row],[Date Joined]])/365</f>
        <v>2.6136986301369864</v>
      </c>
      <c r="J15" s="12">
        <f ca="1">ROUNDUP(IF(Staff[[#This Row],[Tenure]]&gt;2,3%,2%)*Staff[[#This Row],[Salary]],0)</f>
        <v>1260</v>
      </c>
      <c r="K15" s="46">
        <v>3</v>
      </c>
      <c r="M15" s="37"/>
      <c r="N15" s="31" t="s">
        <v>222</v>
      </c>
      <c r="O15" s="31"/>
      <c r="P15" s="38"/>
    </row>
    <row r="16" spans="1:17" x14ac:dyDescent="0.25">
      <c r="A16" s="6" t="s">
        <v>172</v>
      </c>
      <c r="B16" s="6" t="s">
        <v>15</v>
      </c>
      <c r="C16" s="6">
        <v>28</v>
      </c>
      <c r="D16" s="6" t="s">
        <v>42</v>
      </c>
      <c r="E16" s="7">
        <v>44758</v>
      </c>
      <c r="F16" s="6" t="s">
        <v>19</v>
      </c>
      <c r="G16" s="12">
        <v>43510</v>
      </c>
      <c r="H16" s="6" t="s">
        <v>205</v>
      </c>
      <c r="I16" s="9">
        <f ca="1">(TODAY()-Staff[[#This Row],[Date Joined]])/365</f>
        <v>0.9342465753424658</v>
      </c>
      <c r="J16" s="12">
        <f ca="1">ROUNDUP(IF(Staff[[#This Row],[Tenure]]&gt;2,3%,2%)*Staff[[#This Row],[Salary]],0)</f>
        <v>871</v>
      </c>
      <c r="K16" s="46">
        <v>1</v>
      </c>
      <c r="M16" s="37"/>
      <c r="N16" s="31"/>
      <c r="O16" s="31"/>
      <c r="P16" s="38"/>
    </row>
    <row r="17" spans="1:16" x14ac:dyDescent="0.25">
      <c r="A17" s="6" t="s">
        <v>80</v>
      </c>
      <c r="B17" s="6" t="s">
        <v>15</v>
      </c>
      <c r="C17" s="6">
        <v>28</v>
      </c>
      <c r="D17" s="6" t="s">
        <v>42</v>
      </c>
      <c r="E17" s="7">
        <v>44820</v>
      </c>
      <c r="F17" s="6" t="s">
        <v>19</v>
      </c>
      <c r="G17" s="12">
        <v>43510</v>
      </c>
      <c r="H17" s="6" t="s">
        <v>207</v>
      </c>
      <c r="I17" s="9">
        <f ca="1">(TODAY()-Staff[[#This Row],[Date Joined]])/365</f>
        <v>0.76438356164383559</v>
      </c>
      <c r="J17" s="12">
        <f ca="1">ROUNDUP(IF(Staff[[#This Row],[Tenure]]&gt;2,3%,2%)*Staff[[#This Row],[Salary]],0)</f>
        <v>871</v>
      </c>
      <c r="K17" s="46">
        <v>1</v>
      </c>
      <c r="M17" s="37"/>
      <c r="N17" s="31" t="s">
        <v>220</v>
      </c>
      <c r="O17" s="32" t="s">
        <v>172</v>
      </c>
      <c r="P17" s="38"/>
    </row>
    <row r="18" spans="1:16" ht="15.75" thickBot="1" x14ac:dyDescent="0.3">
      <c r="A18" s="6" t="s">
        <v>176</v>
      </c>
      <c r="B18" s="6" t="s">
        <v>8</v>
      </c>
      <c r="C18" s="6">
        <v>32</v>
      </c>
      <c r="D18" s="6" t="s">
        <v>13</v>
      </c>
      <c r="E18" s="7">
        <v>44293</v>
      </c>
      <c r="F18" s="6" t="s">
        <v>12</v>
      </c>
      <c r="G18" s="12">
        <v>43840</v>
      </c>
      <c r="H18" s="6" t="s">
        <v>205</v>
      </c>
      <c r="I18" s="9">
        <f ca="1">(TODAY()-Staff[[#This Row],[Date Joined]])/365</f>
        <v>2.2082191780821918</v>
      </c>
      <c r="J18" s="12">
        <f ca="1">ROUNDUP(IF(Staff[[#This Row],[Tenure]]&gt;2,3%,2%)*Staff[[#This Row],[Salary]],0)</f>
        <v>1316</v>
      </c>
      <c r="K18" s="46">
        <v>4</v>
      </c>
      <c r="M18" s="39"/>
      <c r="N18" s="40" t="s">
        <v>221</v>
      </c>
      <c r="O18" s="41">
        <f>VLOOKUP(O17,Staff[],7,FALSE)</f>
        <v>43510</v>
      </c>
      <c r="P18" s="42"/>
    </row>
    <row r="19" spans="1:16" x14ac:dyDescent="0.25">
      <c r="A19" s="6" t="s">
        <v>84</v>
      </c>
      <c r="B19" s="6" t="s">
        <v>8</v>
      </c>
      <c r="C19" s="6">
        <v>32</v>
      </c>
      <c r="D19" s="6" t="s">
        <v>13</v>
      </c>
      <c r="E19" s="7">
        <v>44354</v>
      </c>
      <c r="F19" s="6" t="s">
        <v>12</v>
      </c>
      <c r="G19" s="12">
        <v>43840</v>
      </c>
      <c r="H19" s="6" t="s">
        <v>207</v>
      </c>
      <c r="I19" s="9">
        <f ca="1">(TODAY()-Staff[[#This Row],[Date Joined]])/365</f>
        <v>2.0410958904109591</v>
      </c>
      <c r="J19" s="12">
        <f ca="1">ROUNDUP(IF(Staff[[#This Row],[Tenure]]&gt;2,3%,2%)*Staff[[#This Row],[Salary]],0)</f>
        <v>1316</v>
      </c>
      <c r="K19" s="46">
        <v>4</v>
      </c>
    </row>
    <row r="20" spans="1:16" x14ac:dyDescent="0.25">
      <c r="A20" s="6" t="s">
        <v>201</v>
      </c>
      <c r="B20" s="6" t="s">
        <v>8</v>
      </c>
      <c r="C20" s="6">
        <v>32</v>
      </c>
      <c r="D20" s="6" t="s">
        <v>16</v>
      </c>
      <c r="E20" s="7">
        <v>44339</v>
      </c>
      <c r="F20" s="6" t="s">
        <v>56</v>
      </c>
      <c r="G20" s="12">
        <v>45510</v>
      </c>
      <c r="H20" s="6" t="s">
        <v>205</v>
      </c>
      <c r="I20" s="9">
        <f ca="1">(TODAY()-Staff[[#This Row],[Date Joined]])/365</f>
        <v>2.0821917808219177</v>
      </c>
      <c r="J20" s="12">
        <f ca="1">ROUNDUP(IF(Staff[[#This Row],[Tenure]]&gt;2,3%,2%)*Staff[[#This Row],[Salary]],0)</f>
        <v>1366</v>
      </c>
      <c r="K20" s="46">
        <v>3</v>
      </c>
    </row>
    <row r="21" spans="1:16" x14ac:dyDescent="0.25">
      <c r="A21" s="6" t="s">
        <v>108</v>
      </c>
      <c r="B21" s="6" t="s">
        <v>8</v>
      </c>
      <c r="C21" s="6">
        <v>32</v>
      </c>
      <c r="D21" s="6" t="s">
        <v>16</v>
      </c>
      <c r="E21" s="7">
        <v>44400</v>
      </c>
      <c r="F21" s="6" t="s">
        <v>56</v>
      </c>
      <c r="G21" s="12">
        <v>45510</v>
      </c>
      <c r="H21" s="6" t="s">
        <v>207</v>
      </c>
      <c r="I21" s="9">
        <f ca="1">(TODAY()-Staff[[#This Row],[Date Joined]])/365</f>
        <v>1.9150684931506849</v>
      </c>
      <c r="J21" s="12">
        <f ca="1">ROUNDUP(IF(Staff[[#This Row],[Tenure]]&gt;2,3%,2%)*Staff[[#This Row],[Salary]],0)</f>
        <v>911</v>
      </c>
      <c r="K21" s="46">
        <v>3</v>
      </c>
    </row>
    <row r="22" spans="1:16" x14ac:dyDescent="0.25">
      <c r="A22" s="6" t="s">
        <v>151</v>
      </c>
      <c r="B22" s="6" t="s">
        <v>15</v>
      </c>
      <c r="C22" s="6">
        <v>26</v>
      </c>
      <c r="D22" s="6" t="s">
        <v>16</v>
      </c>
      <c r="E22" s="7">
        <v>44164</v>
      </c>
      <c r="F22" s="6" t="s">
        <v>9</v>
      </c>
      <c r="G22" s="12">
        <v>47360</v>
      </c>
      <c r="H22" s="6" t="s">
        <v>205</v>
      </c>
      <c r="I22" s="9">
        <f ca="1">(TODAY()-Staff[[#This Row],[Date Joined]])/365</f>
        <v>2.5616438356164384</v>
      </c>
      <c r="J22" s="12">
        <f ca="1">ROUNDUP(IF(Staff[[#This Row],[Tenure]]&gt;2,3%,2%)*Staff[[#This Row],[Salary]],0)</f>
        <v>1421</v>
      </c>
      <c r="K22" s="46">
        <v>3</v>
      </c>
    </row>
    <row r="23" spans="1:16" x14ac:dyDescent="0.25">
      <c r="A23" s="6" t="s">
        <v>59</v>
      </c>
      <c r="B23" s="6" t="s">
        <v>15</v>
      </c>
      <c r="C23" s="6">
        <v>26</v>
      </c>
      <c r="D23" s="6" t="s">
        <v>16</v>
      </c>
      <c r="E23" s="7">
        <v>44225</v>
      </c>
      <c r="F23" s="6" t="s">
        <v>9</v>
      </c>
      <c r="G23" s="12">
        <v>47360</v>
      </c>
      <c r="H23" s="6" t="s">
        <v>207</v>
      </c>
      <c r="I23" s="9">
        <f ca="1">(TODAY()-Staff[[#This Row],[Date Joined]])/365</f>
        <v>2.3945205479452056</v>
      </c>
      <c r="J23" s="12">
        <f ca="1">ROUNDUP(IF(Staff[[#This Row],[Tenure]]&gt;2,3%,2%)*Staff[[#This Row],[Salary]],0)</f>
        <v>1421</v>
      </c>
      <c r="K23" s="46">
        <v>3</v>
      </c>
    </row>
    <row r="24" spans="1:16" x14ac:dyDescent="0.25">
      <c r="A24" s="6" t="s">
        <v>123</v>
      </c>
      <c r="B24" s="6" t="s">
        <v>15</v>
      </c>
      <c r="C24" s="6">
        <v>28</v>
      </c>
      <c r="D24" s="6" t="s">
        <v>13</v>
      </c>
      <c r="E24" s="7">
        <v>43980</v>
      </c>
      <c r="F24" s="6" t="s">
        <v>21</v>
      </c>
      <c r="G24" s="12">
        <v>48170</v>
      </c>
      <c r="H24" s="6" t="s">
        <v>205</v>
      </c>
      <c r="I24" s="9">
        <f ca="1">(TODAY()-Staff[[#This Row],[Date Joined]])/365</f>
        <v>3.0657534246575344</v>
      </c>
      <c r="J24" s="12">
        <f ca="1">ROUNDUP(IF(Staff[[#This Row],[Tenure]]&gt;2,3%,2%)*Staff[[#This Row],[Salary]],0)</f>
        <v>1446</v>
      </c>
      <c r="K24" s="46">
        <v>4</v>
      </c>
    </row>
    <row r="25" spans="1:16" x14ac:dyDescent="0.25">
      <c r="A25" s="6" t="s">
        <v>29</v>
      </c>
      <c r="B25" s="6" t="s">
        <v>15</v>
      </c>
      <c r="C25" s="6">
        <v>28</v>
      </c>
      <c r="D25" s="6" t="s">
        <v>13</v>
      </c>
      <c r="E25" s="7">
        <v>44041</v>
      </c>
      <c r="F25" s="6" t="s">
        <v>21</v>
      </c>
      <c r="G25" s="12">
        <v>48170</v>
      </c>
      <c r="H25" s="6" t="s">
        <v>207</v>
      </c>
      <c r="I25" s="9">
        <f ca="1">(TODAY()-Staff[[#This Row],[Date Joined]])/365</f>
        <v>2.8986301369863012</v>
      </c>
      <c r="J25" s="12">
        <f ca="1">ROUNDUP(IF(Staff[[#This Row],[Tenure]]&gt;2,3%,2%)*Staff[[#This Row],[Salary]],0)</f>
        <v>1446</v>
      </c>
      <c r="K25" s="46">
        <v>4</v>
      </c>
    </row>
    <row r="26" spans="1:16" x14ac:dyDescent="0.25">
      <c r="A26" s="6" t="s">
        <v>144</v>
      </c>
      <c r="B26" s="6" t="s">
        <v>15</v>
      </c>
      <c r="C26" s="6">
        <v>33</v>
      </c>
      <c r="D26" s="6" t="s">
        <v>13</v>
      </c>
      <c r="E26" s="7">
        <v>44640</v>
      </c>
      <c r="F26" s="6" t="s">
        <v>9</v>
      </c>
      <c r="G26" s="12">
        <v>48530</v>
      </c>
      <c r="H26" s="6" t="s">
        <v>205</v>
      </c>
      <c r="I26" s="9">
        <f ca="1">(TODAY()-Staff[[#This Row],[Date Joined]])/365</f>
        <v>1.2575342465753425</v>
      </c>
      <c r="J26" s="12">
        <f ca="1">ROUNDUP(IF(Staff[[#This Row],[Tenure]]&gt;2,3%,2%)*Staff[[#This Row],[Salary]],0)</f>
        <v>971</v>
      </c>
      <c r="K26" s="46">
        <v>4</v>
      </c>
    </row>
    <row r="27" spans="1:16" x14ac:dyDescent="0.25">
      <c r="A27" s="6" t="s">
        <v>51</v>
      </c>
      <c r="B27" s="6" t="s">
        <v>15</v>
      </c>
      <c r="C27" s="6">
        <v>33</v>
      </c>
      <c r="D27" s="6" t="s">
        <v>13</v>
      </c>
      <c r="E27" s="7">
        <v>44701</v>
      </c>
      <c r="F27" s="6" t="s">
        <v>9</v>
      </c>
      <c r="G27" s="12">
        <v>48530</v>
      </c>
      <c r="H27" s="6" t="s">
        <v>207</v>
      </c>
      <c r="I27" s="9">
        <f ca="1">(TODAY()-Staff[[#This Row],[Date Joined]])/365</f>
        <v>1.0904109589041096</v>
      </c>
      <c r="J27" s="12">
        <f ca="1">ROUNDUP(IF(Staff[[#This Row],[Tenure]]&gt;2,3%,2%)*Staff[[#This Row],[Salary]],0)</f>
        <v>971</v>
      </c>
      <c r="K27" s="46">
        <v>4</v>
      </c>
    </row>
    <row r="28" spans="1:16" x14ac:dyDescent="0.25">
      <c r="A28" s="6" t="s">
        <v>113</v>
      </c>
      <c r="B28" s="6" t="s">
        <v>15</v>
      </c>
      <c r="C28" s="6">
        <v>31</v>
      </c>
      <c r="D28" s="6" t="s">
        <v>16</v>
      </c>
      <c r="E28" s="7">
        <v>44450</v>
      </c>
      <c r="F28" s="6" t="s">
        <v>12</v>
      </c>
      <c r="G28" s="12">
        <v>48950</v>
      </c>
      <c r="H28" s="6" t="s">
        <v>205</v>
      </c>
      <c r="I28" s="9">
        <f ca="1">(TODAY()-Staff[[#This Row],[Date Joined]])/365</f>
        <v>1.7780821917808218</v>
      </c>
      <c r="J28" s="12">
        <f ca="1">ROUNDUP(IF(Staff[[#This Row],[Tenure]]&gt;2,3%,2%)*Staff[[#This Row],[Salary]],0)</f>
        <v>979</v>
      </c>
      <c r="K28" s="46">
        <v>3</v>
      </c>
    </row>
    <row r="29" spans="1:16" x14ac:dyDescent="0.25">
      <c r="A29" s="6" t="s">
        <v>14</v>
      </c>
      <c r="B29" s="6" t="s">
        <v>15</v>
      </c>
      <c r="C29" s="6">
        <v>31</v>
      </c>
      <c r="D29" s="6" t="s">
        <v>16</v>
      </c>
      <c r="E29" s="7">
        <v>44511</v>
      </c>
      <c r="F29" s="6" t="s">
        <v>12</v>
      </c>
      <c r="G29" s="12">
        <v>48950</v>
      </c>
      <c r="H29" s="6" t="s">
        <v>207</v>
      </c>
      <c r="I29" s="9">
        <f ca="1">(TODAY()-Staff[[#This Row],[Date Joined]])/365</f>
        <v>1.6109589041095891</v>
      </c>
      <c r="J29" s="12">
        <f ca="1">ROUNDUP(IF(Staff[[#This Row],[Tenure]]&gt;2,3%,2%)*Staff[[#This Row],[Salary]],0)</f>
        <v>979</v>
      </c>
      <c r="K29" s="46">
        <v>3</v>
      </c>
    </row>
    <row r="30" spans="1:16" x14ac:dyDescent="0.25">
      <c r="A30" s="6" t="s">
        <v>146</v>
      </c>
      <c r="B30" s="6" t="s">
        <v>15</v>
      </c>
      <c r="C30" s="6">
        <v>27</v>
      </c>
      <c r="D30" s="6" t="s">
        <v>16</v>
      </c>
      <c r="E30" s="7">
        <v>44506</v>
      </c>
      <c r="F30" s="6" t="s">
        <v>21</v>
      </c>
      <c r="G30" s="12">
        <v>48980</v>
      </c>
      <c r="H30" s="6" t="s">
        <v>205</v>
      </c>
      <c r="I30" s="9">
        <f ca="1">(TODAY()-Staff[[#This Row],[Date Joined]])/365</f>
        <v>1.6246575342465754</v>
      </c>
      <c r="J30" s="12">
        <f ca="1">ROUNDUP(IF(Staff[[#This Row],[Tenure]]&gt;2,3%,2%)*Staff[[#This Row],[Salary]],0)</f>
        <v>980</v>
      </c>
      <c r="K30" s="46">
        <v>3</v>
      </c>
    </row>
    <row r="31" spans="1:16" x14ac:dyDescent="0.25">
      <c r="A31" s="6" t="s">
        <v>53</v>
      </c>
      <c r="B31" s="6" t="s">
        <v>15</v>
      </c>
      <c r="C31" s="6">
        <v>27</v>
      </c>
      <c r="D31" s="6" t="s">
        <v>16</v>
      </c>
      <c r="E31" s="7">
        <v>44567</v>
      </c>
      <c r="F31" s="6" t="s">
        <v>21</v>
      </c>
      <c r="G31" s="12">
        <v>48980</v>
      </c>
      <c r="H31" s="6" t="s">
        <v>207</v>
      </c>
      <c r="I31" s="9">
        <f ca="1">(TODAY()-Staff[[#This Row],[Date Joined]])/365</f>
        <v>1.4575342465753425</v>
      </c>
      <c r="J31" s="12">
        <f ca="1">ROUNDUP(IF(Staff[[#This Row],[Tenure]]&gt;2,3%,2%)*Staff[[#This Row],[Salary]],0)</f>
        <v>980</v>
      </c>
      <c r="K31" s="46">
        <v>3</v>
      </c>
    </row>
    <row r="32" spans="1:16" x14ac:dyDescent="0.25">
      <c r="A32" s="6" t="s">
        <v>165</v>
      </c>
      <c r="B32" s="6" t="s">
        <v>8</v>
      </c>
      <c r="C32" s="6">
        <v>34</v>
      </c>
      <c r="D32" s="6" t="s">
        <v>24</v>
      </c>
      <c r="E32" s="7">
        <v>44660</v>
      </c>
      <c r="F32" s="6" t="s">
        <v>19</v>
      </c>
      <c r="G32" s="12">
        <v>49630</v>
      </c>
      <c r="H32" s="6" t="s">
        <v>205</v>
      </c>
      <c r="I32" s="9">
        <f ca="1">(TODAY()-Staff[[#This Row],[Date Joined]])/365</f>
        <v>1.2027397260273973</v>
      </c>
      <c r="J32" s="12">
        <f ca="1">ROUNDUP(IF(Staff[[#This Row],[Tenure]]&gt;2,3%,2%)*Staff[[#This Row],[Salary]],0)</f>
        <v>993</v>
      </c>
      <c r="K32" s="46">
        <v>2</v>
      </c>
    </row>
    <row r="33" spans="1:11" x14ac:dyDescent="0.25">
      <c r="A33" s="6" t="s">
        <v>73</v>
      </c>
      <c r="B33" s="6" t="s">
        <v>8</v>
      </c>
      <c r="C33" s="6">
        <v>34</v>
      </c>
      <c r="D33" s="6" t="s">
        <v>24</v>
      </c>
      <c r="E33" s="7">
        <v>44721</v>
      </c>
      <c r="F33" s="6" t="s">
        <v>19</v>
      </c>
      <c r="G33" s="12">
        <v>49630</v>
      </c>
      <c r="H33" s="6" t="s">
        <v>207</v>
      </c>
      <c r="I33" s="9">
        <f ca="1">(TODAY()-Staff[[#This Row],[Date Joined]])/365</f>
        <v>1.0356164383561643</v>
      </c>
      <c r="J33" s="12">
        <f ca="1">ROUNDUP(IF(Staff[[#This Row],[Tenure]]&gt;2,3%,2%)*Staff[[#This Row],[Salary]],0)</f>
        <v>993</v>
      </c>
      <c r="K33" s="46">
        <v>2</v>
      </c>
    </row>
    <row r="34" spans="1:11" x14ac:dyDescent="0.25">
      <c r="A34" s="6" t="s">
        <v>155</v>
      </c>
      <c r="B34" s="6" t="s">
        <v>15</v>
      </c>
      <c r="C34" s="6">
        <v>24</v>
      </c>
      <c r="D34" s="6" t="s">
        <v>24</v>
      </c>
      <c r="E34" s="7">
        <v>44375</v>
      </c>
      <c r="F34" s="6" t="s">
        <v>21</v>
      </c>
      <c r="G34" s="12">
        <v>52610</v>
      </c>
      <c r="H34" s="6" t="s">
        <v>205</v>
      </c>
      <c r="I34" s="9">
        <f ca="1">(TODAY()-Staff[[#This Row],[Date Joined]])/365</f>
        <v>1.9835616438356165</v>
      </c>
      <c r="J34" s="12">
        <f ca="1">ROUNDUP(IF(Staff[[#This Row],[Tenure]]&gt;2,3%,2%)*Staff[[#This Row],[Salary]],0)</f>
        <v>1053</v>
      </c>
      <c r="K34" s="46">
        <v>2</v>
      </c>
    </row>
    <row r="35" spans="1:11" x14ac:dyDescent="0.25">
      <c r="A35" s="6" t="s">
        <v>63</v>
      </c>
      <c r="B35" s="6" t="s">
        <v>15</v>
      </c>
      <c r="C35" s="6">
        <v>24</v>
      </c>
      <c r="D35" s="6" t="s">
        <v>24</v>
      </c>
      <c r="E35" s="7">
        <v>44436</v>
      </c>
      <c r="F35" s="6" t="s">
        <v>21</v>
      </c>
      <c r="G35" s="12">
        <v>52610</v>
      </c>
      <c r="H35" s="6" t="s">
        <v>207</v>
      </c>
      <c r="I35" s="9">
        <f ca="1">(TODAY()-Staff[[#This Row],[Date Joined]])/365</f>
        <v>1.8164383561643835</v>
      </c>
      <c r="J35" s="12">
        <f ca="1">ROUNDUP(IF(Staff[[#This Row],[Tenure]]&gt;2,3%,2%)*Staff[[#This Row],[Salary]],0)</f>
        <v>1053</v>
      </c>
      <c r="K35" s="46">
        <v>2</v>
      </c>
    </row>
    <row r="36" spans="1:11" x14ac:dyDescent="0.25">
      <c r="A36" s="6" t="s">
        <v>167</v>
      </c>
      <c r="B36" s="6" t="s">
        <v>8</v>
      </c>
      <c r="C36" s="6">
        <v>28</v>
      </c>
      <c r="D36" s="6" t="s">
        <v>16</v>
      </c>
      <c r="E36" s="7">
        <v>44296</v>
      </c>
      <c r="F36" s="6" t="s">
        <v>19</v>
      </c>
      <c r="G36" s="12">
        <v>53240</v>
      </c>
      <c r="H36" s="6" t="s">
        <v>205</v>
      </c>
      <c r="I36" s="9">
        <f ca="1">(TODAY()-Staff[[#This Row],[Date Joined]])/365</f>
        <v>2.2000000000000002</v>
      </c>
      <c r="J36" s="12">
        <f ca="1">ROUNDUP(IF(Staff[[#This Row],[Tenure]]&gt;2,3%,2%)*Staff[[#This Row],[Salary]],0)</f>
        <v>1598</v>
      </c>
      <c r="K36" s="46">
        <v>3</v>
      </c>
    </row>
    <row r="37" spans="1:11" x14ac:dyDescent="0.25">
      <c r="A37" s="6" t="s">
        <v>75</v>
      </c>
      <c r="B37" s="6" t="s">
        <v>8</v>
      </c>
      <c r="C37" s="6">
        <v>28</v>
      </c>
      <c r="D37" s="6" t="s">
        <v>16</v>
      </c>
      <c r="E37" s="7">
        <v>44357</v>
      </c>
      <c r="F37" s="6" t="s">
        <v>19</v>
      </c>
      <c r="G37" s="12">
        <v>53240</v>
      </c>
      <c r="H37" s="6" t="s">
        <v>207</v>
      </c>
      <c r="I37" s="9">
        <f ca="1">(TODAY()-Staff[[#This Row],[Date Joined]])/365</f>
        <v>2.032876712328767</v>
      </c>
      <c r="J37" s="12">
        <f ca="1">ROUNDUP(IF(Staff[[#This Row],[Tenure]]&gt;2,3%,2%)*Staff[[#This Row],[Salary]],0)</f>
        <v>1598</v>
      </c>
      <c r="K37" s="46">
        <v>3</v>
      </c>
    </row>
    <row r="38" spans="1:11" x14ac:dyDescent="0.25">
      <c r="A38" s="6" t="s">
        <v>157</v>
      </c>
      <c r="B38" s="6" t="s">
        <v>15</v>
      </c>
      <c r="C38" s="6">
        <v>32</v>
      </c>
      <c r="D38" s="6" t="s">
        <v>16</v>
      </c>
      <c r="E38" s="7">
        <v>44403</v>
      </c>
      <c r="F38" s="6" t="s">
        <v>19</v>
      </c>
      <c r="G38" s="12">
        <v>53540</v>
      </c>
      <c r="H38" s="6" t="s">
        <v>205</v>
      </c>
      <c r="I38" s="9">
        <f ca="1">(TODAY()-Staff[[#This Row],[Date Joined]])/365</f>
        <v>1.9068493150684931</v>
      </c>
      <c r="J38" s="12">
        <f ca="1">ROUNDUP(IF(Staff[[#This Row],[Tenure]]&gt;2,3%,2%)*Staff[[#This Row],[Salary]],0)</f>
        <v>1071</v>
      </c>
      <c r="K38" s="46">
        <v>3</v>
      </c>
    </row>
    <row r="39" spans="1:11" x14ac:dyDescent="0.25">
      <c r="A39" s="6" t="s">
        <v>139</v>
      </c>
      <c r="B39" s="6" t="s">
        <v>15</v>
      </c>
      <c r="C39" s="6">
        <v>26</v>
      </c>
      <c r="D39" s="6" t="s">
        <v>16</v>
      </c>
      <c r="E39" s="7">
        <v>44350</v>
      </c>
      <c r="F39" s="6" t="s">
        <v>9</v>
      </c>
      <c r="G39" s="12">
        <v>53540</v>
      </c>
      <c r="H39" s="6" t="s">
        <v>205</v>
      </c>
      <c r="I39" s="9">
        <f ca="1">(TODAY()-Staff[[#This Row],[Date Joined]])/365</f>
        <v>2.0520547945205481</v>
      </c>
      <c r="J39" s="12">
        <f ca="1">ROUNDUP(IF(Staff[[#This Row],[Tenure]]&gt;2,3%,2%)*Staff[[#This Row],[Salary]],0)</f>
        <v>1607</v>
      </c>
      <c r="K39" s="46">
        <v>3</v>
      </c>
    </row>
    <row r="40" spans="1:11" x14ac:dyDescent="0.25">
      <c r="A40" s="6" t="s">
        <v>65</v>
      </c>
      <c r="B40" s="6" t="s">
        <v>15</v>
      </c>
      <c r="C40" s="6">
        <v>32</v>
      </c>
      <c r="D40" s="6" t="s">
        <v>16</v>
      </c>
      <c r="E40" s="7">
        <v>44465</v>
      </c>
      <c r="F40" s="6" t="s">
        <v>19</v>
      </c>
      <c r="G40" s="12">
        <v>53540</v>
      </c>
      <c r="H40" s="6" t="s">
        <v>207</v>
      </c>
      <c r="I40" s="9">
        <f ca="1">(TODAY()-Staff[[#This Row],[Date Joined]])/365</f>
        <v>1.736986301369863</v>
      </c>
      <c r="J40" s="12">
        <f ca="1">ROUNDUP(IF(Staff[[#This Row],[Tenure]]&gt;2,3%,2%)*Staff[[#This Row],[Salary]],0)</f>
        <v>1071</v>
      </c>
      <c r="K40" s="46">
        <v>3</v>
      </c>
    </row>
    <row r="41" spans="1:11" x14ac:dyDescent="0.25">
      <c r="A41" s="6" t="s">
        <v>46</v>
      </c>
      <c r="B41" s="6" t="s">
        <v>15</v>
      </c>
      <c r="C41" s="6">
        <v>26</v>
      </c>
      <c r="D41" s="6" t="s">
        <v>16</v>
      </c>
      <c r="E41" s="7">
        <v>44411</v>
      </c>
      <c r="F41" s="6" t="s">
        <v>9</v>
      </c>
      <c r="G41" s="12">
        <v>53540</v>
      </c>
      <c r="H41" s="6" t="s">
        <v>207</v>
      </c>
      <c r="I41" s="9">
        <f ca="1">(TODAY()-Staff[[#This Row],[Date Joined]])/365</f>
        <v>1.8849315068493151</v>
      </c>
      <c r="J41" s="12">
        <f ca="1">ROUNDUP(IF(Staff[[#This Row],[Tenure]]&gt;2,3%,2%)*Staff[[#This Row],[Salary]],0)</f>
        <v>1071</v>
      </c>
      <c r="K41" s="46">
        <v>3</v>
      </c>
    </row>
    <row r="42" spans="1:11" x14ac:dyDescent="0.25">
      <c r="A42" s="6" t="s">
        <v>174</v>
      </c>
      <c r="B42" s="6" t="s">
        <v>15</v>
      </c>
      <c r="C42" s="6">
        <v>33</v>
      </c>
      <c r="D42" s="6" t="s">
        <v>16</v>
      </c>
      <c r="E42" s="7">
        <v>44448</v>
      </c>
      <c r="F42" s="6" t="s">
        <v>12</v>
      </c>
      <c r="G42" s="12">
        <v>53870</v>
      </c>
      <c r="H42" s="6" t="s">
        <v>205</v>
      </c>
      <c r="I42" s="9">
        <f ca="1">(TODAY()-Staff[[#This Row],[Date Joined]])/365</f>
        <v>1.7835616438356163</v>
      </c>
      <c r="J42" s="12">
        <f ca="1">ROUNDUP(IF(Staff[[#This Row],[Tenure]]&gt;2,3%,2%)*Staff[[#This Row],[Salary]],0)</f>
        <v>1078</v>
      </c>
      <c r="K42" s="46">
        <v>3</v>
      </c>
    </row>
    <row r="43" spans="1:11" x14ac:dyDescent="0.25">
      <c r="A43" s="6" t="s">
        <v>82</v>
      </c>
      <c r="B43" s="6" t="s">
        <v>15</v>
      </c>
      <c r="C43" s="6">
        <v>33</v>
      </c>
      <c r="D43" s="6" t="s">
        <v>16</v>
      </c>
      <c r="E43" s="7">
        <v>44509</v>
      </c>
      <c r="F43" s="6" t="s">
        <v>12</v>
      </c>
      <c r="G43" s="12">
        <v>53870</v>
      </c>
      <c r="H43" s="6" t="s">
        <v>207</v>
      </c>
      <c r="I43" s="9">
        <f ca="1">(TODAY()-Staff[[#This Row],[Date Joined]])/365</f>
        <v>1.6164383561643836</v>
      </c>
      <c r="J43" s="12">
        <f ca="1">ROUNDUP(IF(Staff[[#This Row],[Tenure]]&gt;2,3%,2%)*Staff[[#This Row],[Salary]],0)</f>
        <v>1078</v>
      </c>
      <c r="K43" s="46">
        <v>3</v>
      </c>
    </row>
    <row r="44" spans="1:11" x14ac:dyDescent="0.25">
      <c r="A44" s="6" t="s">
        <v>182</v>
      </c>
      <c r="B44" s="6" t="s">
        <v>15</v>
      </c>
      <c r="C44" s="6">
        <v>27</v>
      </c>
      <c r="D44" s="6" t="s">
        <v>16</v>
      </c>
      <c r="E44" s="7">
        <v>44073</v>
      </c>
      <c r="F44" s="6" t="s">
        <v>19</v>
      </c>
      <c r="G44" s="12">
        <v>54970</v>
      </c>
      <c r="H44" s="6" t="s">
        <v>205</v>
      </c>
      <c r="I44" s="9">
        <f ca="1">(TODAY()-Staff[[#This Row],[Date Joined]])/365</f>
        <v>2.8109589041095893</v>
      </c>
      <c r="J44" s="12">
        <f ca="1">ROUNDUP(IF(Staff[[#This Row],[Tenure]]&gt;2,3%,2%)*Staff[[#This Row],[Salary]],0)</f>
        <v>1650</v>
      </c>
      <c r="K44" s="46">
        <v>3</v>
      </c>
    </row>
    <row r="45" spans="1:11" x14ac:dyDescent="0.25">
      <c r="A45" s="6" t="s">
        <v>89</v>
      </c>
      <c r="B45" s="6" t="s">
        <v>15</v>
      </c>
      <c r="C45" s="6">
        <v>27</v>
      </c>
      <c r="D45" s="6" t="s">
        <v>16</v>
      </c>
      <c r="E45" s="7">
        <v>44134</v>
      </c>
      <c r="F45" s="6" t="s">
        <v>19</v>
      </c>
      <c r="G45" s="12">
        <v>54970</v>
      </c>
      <c r="H45" s="6" t="s">
        <v>207</v>
      </c>
      <c r="I45" s="9">
        <f ca="1">(TODAY()-Staff[[#This Row],[Date Joined]])/365</f>
        <v>2.6438356164383561</v>
      </c>
      <c r="J45" s="12">
        <f ca="1">ROUNDUP(IF(Staff[[#This Row],[Tenure]]&gt;2,3%,2%)*Staff[[#This Row],[Salary]],0)</f>
        <v>1650</v>
      </c>
      <c r="K45" s="46">
        <v>3</v>
      </c>
    </row>
    <row r="46" spans="1:11" x14ac:dyDescent="0.25">
      <c r="A46" s="6" t="s">
        <v>202</v>
      </c>
      <c r="B46" s="6" t="s">
        <v>8</v>
      </c>
      <c r="C46" s="6">
        <v>38</v>
      </c>
      <c r="D46" s="6" t="s">
        <v>13</v>
      </c>
      <c r="E46" s="7">
        <v>44268</v>
      </c>
      <c r="F46" s="6" t="s">
        <v>19</v>
      </c>
      <c r="G46" s="12">
        <v>56870</v>
      </c>
      <c r="H46" s="6" t="s">
        <v>205</v>
      </c>
      <c r="I46" s="9">
        <f ca="1">(TODAY()-Staff[[#This Row],[Date Joined]])/365</f>
        <v>2.2767123287671232</v>
      </c>
      <c r="J46" s="12">
        <f ca="1">ROUNDUP(IF(Staff[[#This Row],[Tenure]]&gt;2,3%,2%)*Staff[[#This Row],[Salary]],0)</f>
        <v>1707</v>
      </c>
      <c r="K46" s="46">
        <v>4</v>
      </c>
    </row>
    <row r="47" spans="1:11" x14ac:dyDescent="0.25">
      <c r="A47" s="6" t="s">
        <v>109</v>
      </c>
      <c r="B47" s="6" t="s">
        <v>8</v>
      </c>
      <c r="C47" s="6">
        <v>38</v>
      </c>
      <c r="D47" s="6" t="s">
        <v>13</v>
      </c>
      <c r="E47" s="7">
        <v>44329</v>
      </c>
      <c r="F47" s="6" t="s">
        <v>19</v>
      </c>
      <c r="G47" s="12">
        <v>56870</v>
      </c>
      <c r="H47" s="6" t="s">
        <v>207</v>
      </c>
      <c r="I47" s="9">
        <f ca="1">(TODAY()-Staff[[#This Row],[Date Joined]])/365</f>
        <v>2.1095890410958904</v>
      </c>
      <c r="J47" s="12">
        <f ca="1">ROUNDUP(IF(Staff[[#This Row],[Tenure]]&gt;2,3%,2%)*Staff[[#This Row],[Salary]],0)</f>
        <v>1707</v>
      </c>
      <c r="K47" s="46">
        <v>4</v>
      </c>
    </row>
    <row r="48" spans="1:11" x14ac:dyDescent="0.25">
      <c r="A48" s="6" t="s">
        <v>125</v>
      </c>
      <c r="B48" s="6" t="s">
        <v>15</v>
      </c>
      <c r="C48" s="6">
        <v>21</v>
      </c>
      <c r="D48" s="6" t="s">
        <v>16</v>
      </c>
      <c r="E48" s="7">
        <v>44701</v>
      </c>
      <c r="F48" s="6" t="s">
        <v>9</v>
      </c>
      <c r="G48" s="12">
        <v>57090</v>
      </c>
      <c r="H48" s="6" t="s">
        <v>205</v>
      </c>
      <c r="I48" s="9">
        <f ca="1">(TODAY()-Staff[[#This Row],[Date Joined]])/365</f>
        <v>1.0904109589041096</v>
      </c>
      <c r="J48" s="12">
        <f ca="1">ROUNDUP(IF(Staff[[#This Row],[Tenure]]&gt;2,3%,2%)*Staff[[#This Row],[Salary]],0)</f>
        <v>1142</v>
      </c>
      <c r="K48" s="46">
        <v>3</v>
      </c>
    </row>
    <row r="49" spans="1:11" x14ac:dyDescent="0.25">
      <c r="A49" s="6" t="s">
        <v>31</v>
      </c>
      <c r="B49" s="6" t="s">
        <v>15</v>
      </c>
      <c r="C49" s="6">
        <v>21</v>
      </c>
      <c r="D49" s="6" t="s">
        <v>16</v>
      </c>
      <c r="E49" s="7">
        <v>44762</v>
      </c>
      <c r="F49" s="6" t="s">
        <v>9</v>
      </c>
      <c r="G49" s="12">
        <v>57090</v>
      </c>
      <c r="H49" s="6" t="s">
        <v>207</v>
      </c>
      <c r="I49" s="9">
        <f ca="1">(TODAY()-Staff[[#This Row],[Date Joined]])/365</f>
        <v>0.92328767123287669</v>
      </c>
      <c r="J49" s="12">
        <f ca="1">ROUNDUP(IF(Staff[[#This Row],[Tenure]]&gt;2,3%,2%)*Staff[[#This Row],[Salary]],0)</f>
        <v>1142</v>
      </c>
      <c r="K49" s="46">
        <v>3</v>
      </c>
    </row>
    <row r="50" spans="1:11" x14ac:dyDescent="0.25">
      <c r="A50" s="6" t="s">
        <v>120</v>
      </c>
      <c r="B50" s="6" t="s">
        <v>8</v>
      </c>
      <c r="C50" s="6">
        <v>31</v>
      </c>
      <c r="D50" s="6" t="s">
        <v>16</v>
      </c>
      <c r="E50" s="7">
        <v>44604</v>
      </c>
      <c r="F50" s="6" t="s">
        <v>12</v>
      </c>
      <c r="G50" s="12">
        <v>58100</v>
      </c>
      <c r="H50" s="6" t="s">
        <v>205</v>
      </c>
      <c r="I50" s="9">
        <f ca="1">(TODAY()-Staff[[#This Row],[Date Joined]])/365</f>
        <v>1.3561643835616439</v>
      </c>
      <c r="J50" s="12">
        <f ca="1">ROUNDUP(IF(Staff[[#This Row],[Tenure]]&gt;2,3%,2%)*Staff[[#This Row],[Salary]],0)</f>
        <v>1162</v>
      </c>
      <c r="K50" s="46">
        <v>3</v>
      </c>
    </row>
    <row r="51" spans="1:11" x14ac:dyDescent="0.25">
      <c r="A51" s="6" t="s">
        <v>26</v>
      </c>
      <c r="B51" s="6" t="s">
        <v>8</v>
      </c>
      <c r="C51" s="6">
        <v>31</v>
      </c>
      <c r="D51" s="6" t="s">
        <v>16</v>
      </c>
      <c r="E51" s="7">
        <v>44663</v>
      </c>
      <c r="F51" s="6" t="s">
        <v>12</v>
      </c>
      <c r="G51" s="12">
        <v>58100</v>
      </c>
      <c r="H51" s="6" t="s">
        <v>207</v>
      </c>
      <c r="I51" s="9">
        <f ca="1">(TODAY()-Staff[[#This Row],[Date Joined]])/365</f>
        <v>1.1945205479452055</v>
      </c>
      <c r="J51" s="12">
        <f ca="1">ROUNDUP(IF(Staff[[#This Row],[Tenure]]&gt;2,3%,2%)*Staff[[#This Row],[Salary]],0)</f>
        <v>1162</v>
      </c>
      <c r="K51" s="46">
        <v>3</v>
      </c>
    </row>
    <row r="52" spans="1:11" x14ac:dyDescent="0.25">
      <c r="A52" s="6" t="s">
        <v>130</v>
      </c>
      <c r="B52" s="6" t="s">
        <v>8</v>
      </c>
      <c r="C52" s="6">
        <v>34</v>
      </c>
      <c r="D52" s="6" t="s">
        <v>16</v>
      </c>
      <c r="E52" s="7">
        <v>44594</v>
      </c>
      <c r="F52" s="6" t="s">
        <v>21</v>
      </c>
      <c r="G52" s="12">
        <v>58940</v>
      </c>
      <c r="H52" s="6" t="s">
        <v>205</v>
      </c>
      <c r="I52" s="9">
        <f ca="1">(TODAY()-Staff[[#This Row],[Date Joined]])/365</f>
        <v>1.3835616438356164</v>
      </c>
      <c r="J52" s="12">
        <f ca="1">ROUNDUP(IF(Staff[[#This Row],[Tenure]]&gt;2,3%,2%)*Staff[[#This Row],[Salary]],0)</f>
        <v>1179</v>
      </c>
      <c r="K52" s="46">
        <v>3</v>
      </c>
    </row>
    <row r="53" spans="1:11" x14ac:dyDescent="0.25">
      <c r="A53" s="6" t="s">
        <v>36</v>
      </c>
      <c r="B53" s="6" t="s">
        <v>8</v>
      </c>
      <c r="C53" s="6">
        <v>34</v>
      </c>
      <c r="D53" s="6" t="s">
        <v>16</v>
      </c>
      <c r="E53" s="7">
        <v>44653</v>
      </c>
      <c r="F53" s="6" t="s">
        <v>21</v>
      </c>
      <c r="G53" s="12">
        <v>58940</v>
      </c>
      <c r="H53" s="6" t="s">
        <v>207</v>
      </c>
      <c r="I53" s="9">
        <f ca="1">(TODAY()-Staff[[#This Row],[Date Joined]])/365</f>
        <v>1.2219178082191782</v>
      </c>
      <c r="J53" s="12">
        <f ca="1">ROUNDUP(IF(Staff[[#This Row],[Tenure]]&gt;2,3%,2%)*Staff[[#This Row],[Salary]],0)</f>
        <v>1179</v>
      </c>
      <c r="K53" s="46">
        <v>3</v>
      </c>
    </row>
    <row r="54" spans="1:11" x14ac:dyDescent="0.25">
      <c r="A54" s="6" t="s">
        <v>193</v>
      </c>
      <c r="B54" s="6" t="s">
        <v>15</v>
      </c>
      <c r="C54" s="6">
        <v>19</v>
      </c>
      <c r="D54" s="6" t="s">
        <v>16</v>
      </c>
      <c r="E54" s="7">
        <v>44218</v>
      </c>
      <c r="F54" s="6" t="s">
        <v>9</v>
      </c>
      <c r="G54" s="12">
        <v>58960</v>
      </c>
      <c r="H54" s="6" t="s">
        <v>205</v>
      </c>
      <c r="I54" s="9">
        <f ca="1">(TODAY()-Staff[[#This Row],[Date Joined]])/365</f>
        <v>2.4136986301369863</v>
      </c>
      <c r="J54" s="12">
        <f ca="1">ROUNDUP(IF(Staff[[#This Row],[Tenure]]&gt;2,3%,2%)*Staff[[#This Row],[Salary]],0)</f>
        <v>1769</v>
      </c>
      <c r="K54" s="46">
        <v>3</v>
      </c>
    </row>
    <row r="55" spans="1:11" x14ac:dyDescent="0.25">
      <c r="A55" s="6" t="s">
        <v>100</v>
      </c>
      <c r="B55" s="6" t="s">
        <v>15</v>
      </c>
      <c r="C55" s="6">
        <v>19</v>
      </c>
      <c r="D55" s="6" t="s">
        <v>16</v>
      </c>
      <c r="E55" s="7">
        <v>44277</v>
      </c>
      <c r="F55" s="6" t="s">
        <v>9</v>
      </c>
      <c r="G55" s="12">
        <v>58960</v>
      </c>
      <c r="H55" s="6" t="s">
        <v>207</v>
      </c>
      <c r="I55" s="9">
        <f ca="1">(TODAY()-Staff[[#This Row],[Date Joined]])/365</f>
        <v>2.2520547945205478</v>
      </c>
      <c r="J55" s="12">
        <f ca="1">ROUNDUP(IF(Staff[[#This Row],[Tenure]]&gt;2,3%,2%)*Staff[[#This Row],[Salary]],0)</f>
        <v>1769</v>
      </c>
      <c r="K55" s="46">
        <v>3</v>
      </c>
    </row>
    <row r="56" spans="1:11" x14ac:dyDescent="0.25">
      <c r="A56" s="6" t="s">
        <v>171</v>
      </c>
      <c r="B56" s="6" t="s">
        <v>15</v>
      </c>
      <c r="C56" s="6">
        <v>33</v>
      </c>
      <c r="D56" s="6" t="s">
        <v>16</v>
      </c>
      <c r="E56" s="7">
        <v>44181</v>
      </c>
      <c r="F56" s="6" t="s">
        <v>21</v>
      </c>
      <c r="G56" s="12">
        <v>59430</v>
      </c>
      <c r="H56" s="6" t="s">
        <v>205</v>
      </c>
      <c r="I56" s="9">
        <f ca="1">(TODAY()-Staff[[#This Row],[Date Joined]])/365</f>
        <v>2.515068493150685</v>
      </c>
      <c r="J56" s="12">
        <f ca="1">ROUNDUP(IF(Staff[[#This Row],[Tenure]]&gt;2,3%,2%)*Staff[[#This Row],[Salary]],0)</f>
        <v>1783</v>
      </c>
      <c r="K56" s="46">
        <v>3</v>
      </c>
    </row>
    <row r="57" spans="1:11" x14ac:dyDescent="0.25">
      <c r="A57" s="6" t="s">
        <v>79</v>
      </c>
      <c r="B57" s="6" t="s">
        <v>15</v>
      </c>
      <c r="C57" s="6">
        <v>33</v>
      </c>
      <c r="D57" s="6" t="s">
        <v>16</v>
      </c>
      <c r="E57" s="7">
        <v>44243</v>
      </c>
      <c r="F57" s="6" t="s">
        <v>21</v>
      </c>
      <c r="G57" s="12">
        <v>59430</v>
      </c>
      <c r="H57" s="6" t="s">
        <v>207</v>
      </c>
      <c r="I57" s="9">
        <f ca="1">(TODAY()-Staff[[#This Row],[Date Joined]])/365</f>
        <v>2.3452054794520549</v>
      </c>
      <c r="J57" s="12">
        <f ca="1">ROUNDUP(IF(Staff[[#This Row],[Tenure]]&gt;2,3%,2%)*Staff[[#This Row],[Salary]],0)</f>
        <v>1783</v>
      </c>
      <c r="K57" s="46">
        <v>3</v>
      </c>
    </row>
    <row r="58" spans="1:11" x14ac:dyDescent="0.25">
      <c r="A58" s="6" t="s">
        <v>132</v>
      </c>
      <c r="B58" s="6" t="s">
        <v>8</v>
      </c>
      <c r="C58" s="6">
        <v>34</v>
      </c>
      <c r="D58" s="6" t="s">
        <v>16</v>
      </c>
      <c r="E58" s="7">
        <v>44550</v>
      </c>
      <c r="F58" s="6" t="s">
        <v>21</v>
      </c>
      <c r="G58" s="12">
        <v>60130</v>
      </c>
      <c r="H58" s="6" t="s">
        <v>205</v>
      </c>
      <c r="I58" s="9">
        <f ca="1">(TODAY()-Staff[[#This Row],[Date Joined]])/365</f>
        <v>1.5041095890410958</v>
      </c>
      <c r="J58" s="12">
        <f ca="1">ROUNDUP(IF(Staff[[#This Row],[Tenure]]&gt;2,3%,2%)*Staff[[#This Row],[Salary]],0)</f>
        <v>1203</v>
      </c>
      <c r="K58" s="46">
        <v>3</v>
      </c>
    </row>
    <row r="59" spans="1:11" x14ac:dyDescent="0.25">
      <c r="A59" s="6" t="s">
        <v>38</v>
      </c>
      <c r="B59" s="6" t="s">
        <v>8</v>
      </c>
      <c r="C59" s="6">
        <v>34</v>
      </c>
      <c r="D59" s="6" t="s">
        <v>16</v>
      </c>
      <c r="E59" s="7">
        <v>44612</v>
      </c>
      <c r="F59" s="6" t="s">
        <v>21</v>
      </c>
      <c r="G59" s="12">
        <v>60130</v>
      </c>
      <c r="H59" s="6" t="s">
        <v>207</v>
      </c>
      <c r="I59" s="9">
        <f ca="1">(TODAY()-Staff[[#This Row],[Date Joined]])/365</f>
        <v>1.3342465753424657</v>
      </c>
      <c r="J59" s="12">
        <f ca="1">ROUNDUP(IF(Staff[[#This Row],[Tenure]]&gt;2,3%,2%)*Staff[[#This Row],[Salary]],0)</f>
        <v>1203</v>
      </c>
      <c r="K59" s="46">
        <v>3</v>
      </c>
    </row>
    <row r="60" spans="1:11" x14ac:dyDescent="0.25">
      <c r="A60" s="6" t="s">
        <v>131</v>
      </c>
      <c r="B60" s="6" t="s">
        <v>15</v>
      </c>
      <c r="C60" s="6">
        <v>30</v>
      </c>
      <c r="D60" s="6" t="s">
        <v>16</v>
      </c>
      <c r="E60" s="7">
        <v>44607</v>
      </c>
      <c r="F60" s="6" t="s">
        <v>9</v>
      </c>
      <c r="G60" s="12">
        <v>60570</v>
      </c>
      <c r="H60" s="6" t="s">
        <v>205</v>
      </c>
      <c r="I60" s="9">
        <f ca="1">(TODAY()-Staff[[#This Row],[Date Joined]])/365</f>
        <v>1.3479452054794521</v>
      </c>
      <c r="J60" s="12">
        <f ca="1">ROUNDUP(IF(Staff[[#This Row],[Tenure]]&gt;2,3%,2%)*Staff[[#This Row],[Salary]],0)</f>
        <v>1212</v>
      </c>
      <c r="K60" s="46">
        <v>3</v>
      </c>
    </row>
    <row r="61" spans="1:11" x14ac:dyDescent="0.25">
      <c r="A61" s="6" t="s">
        <v>37</v>
      </c>
      <c r="B61" s="6" t="s">
        <v>15</v>
      </c>
      <c r="C61" s="6">
        <v>30</v>
      </c>
      <c r="D61" s="6" t="s">
        <v>16</v>
      </c>
      <c r="E61" s="7">
        <v>44666</v>
      </c>
      <c r="F61" s="6" t="s">
        <v>9</v>
      </c>
      <c r="G61" s="12">
        <v>60570</v>
      </c>
      <c r="H61" s="6" t="s">
        <v>207</v>
      </c>
      <c r="I61" s="9">
        <f ca="1">(TODAY()-Staff[[#This Row],[Date Joined]])/365</f>
        <v>1.1863013698630136</v>
      </c>
      <c r="J61" s="12">
        <f ca="1">ROUNDUP(IF(Staff[[#This Row],[Tenure]]&gt;2,3%,2%)*Staff[[#This Row],[Salary]],0)</f>
        <v>1212</v>
      </c>
      <c r="K61" s="46">
        <v>3</v>
      </c>
    </row>
    <row r="62" spans="1:11" x14ac:dyDescent="0.25">
      <c r="A62" s="6" t="s">
        <v>153</v>
      </c>
      <c r="B62" s="6" t="s">
        <v>8</v>
      </c>
      <c r="C62" s="6">
        <v>24</v>
      </c>
      <c r="D62" s="6" t="s">
        <v>16</v>
      </c>
      <c r="E62" s="7">
        <v>44087</v>
      </c>
      <c r="F62" s="6" t="s">
        <v>12</v>
      </c>
      <c r="G62" s="12">
        <v>62780</v>
      </c>
      <c r="H62" s="6" t="s">
        <v>205</v>
      </c>
      <c r="I62" s="9">
        <f ca="1">(TODAY()-Staff[[#This Row],[Date Joined]])/365</f>
        <v>2.7726027397260276</v>
      </c>
      <c r="J62" s="12">
        <f ca="1">ROUNDUP(IF(Staff[[#This Row],[Tenure]]&gt;2,3%,2%)*Staff[[#This Row],[Salary]],0)</f>
        <v>1884</v>
      </c>
      <c r="K62" s="46">
        <v>3</v>
      </c>
    </row>
    <row r="63" spans="1:11" x14ac:dyDescent="0.25">
      <c r="A63" s="6" t="s">
        <v>61</v>
      </c>
      <c r="B63" s="6" t="s">
        <v>8</v>
      </c>
      <c r="C63" s="6">
        <v>24</v>
      </c>
      <c r="D63" s="6" t="s">
        <v>16</v>
      </c>
      <c r="E63" s="7">
        <v>44148</v>
      </c>
      <c r="F63" s="6" t="s">
        <v>12</v>
      </c>
      <c r="G63" s="12">
        <v>62780</v>
      </c>
      <c r="H63" s="6" t="s">
        <v>207</v>
      </c>
      <c r="I63" s="9">
        <f ca="1">(TODAY()-Staff[[#This Row],[Date Joined]])/365</f>
        <v>2.6054794520547944</v>
      </c>
      <c r="J63" s="12">
        <f ca="1">ROUNDUP(IF(Staff[[#This Row],[Tenure]]&gt;2,3%,2%)*Staff[[#This Row],[Salary]],0)</f>
        <v>1884</v>
      </c>
      <c r="K63" s="46">
        <v>3</v>
      </c>
    </row>
    <row r="64" spans="1:11" x14ac:dyDescent="0.25">
      <c r="A64" s="6" t="s">
        <v>116</v>
      </c>
      <c r="B64" s="6" t="s">
        <v>206</v>
      </c>
      <c r="C64" s="6">
        <v>30</v>
      </c>
      <c r="D64" s="6" t="s">
        <v>16</v>
      </c>
      <c r="E64" s="7">
        <v>44535</v>
      </c>
      <c r="F64" s="6" t="s">
        <v>21</v>
      </c>
      <c r="G64" s="12">
        <v>64000</v>
      </c>
      <c r="H64" s="6" t="s">
        <v>205</v>
      </c>
      <c r="I64" s="9">
        <f ca="1">(TODAY()-Staff[[#This Row],[Date Joined]])/365</f>
        <v>1.5452054794520549</v>
      </c>
      <c r="J64" s="12">
        <f ca="1">ROUNDUP(IF(Staff[[#This Row],[Tenure]]&gt;2,3%,2%)*Staff[[#This Row],[Salary]],0)</f>
        <v>1280</v>
      </c>
      <c r="K64" s="46">
        <v>3</v>
      </c>
    </row>
    <row r="65" spans="1:11" x14ac:dyDescent="0.25">
      <c r="A65" s="6" t="s">
        <v>20</v>
      </c>
      <c r="B65" s="6" t="s">
        <v>206</v>
      </c>
      <c r="C65" s="6">
        <v>30</v>
      </c>
      <c r="D65" s="6" t="s">
        <v>16</v>
      </c>
      <c r="E65" s="7">
        <v>44597</v>
      </c>
      <c r="F65" s="6" t="s">
        <v>21</v>
      </c>
      <c r="G65" s="12">
        <v>64000</v>
      </c>
      <c r="H65" s="6" t="s">
        <v>207</v>
      </c>
      <c r="I65" s="9">
        <f ca="1">(TODAY()-Staff[[#This Row],[Date Joined]])/365</f>
        <v>1.3753424657534246</v>
      </c>
      <c r="J65" s="12">
        <f ca="1">ROUNDUP(IF(Staff[[#This Row],[Tenure]]&gt;2,3%,2%)*Staff[[#This Row],[Salary]],0)</f>
        <v>1280</v>
      </c>
      <c r="K65" s="46">
        <v>3</v>
      </c>
    </row>
    <row r="66" spans="1:11" x14ac:dyDescent="0.25">
      <c r="A66" s="6" t="s">
        <v>186</v>
      </c>
      <c r="B66" s="6" t="s">
        <v>8</v>
      </c>
      <c r="C66" s="6">
        <v>33</v>
      </c>
      <c r="D66" s="6" t="s">
        <v>16</v>
      </c>
      <c r="E66" s="7">
        <v>44006</v>
      </c>
      <c r="F66" s="6" t="s">
        <v>21</v>
      </c>
      <c r="G66" s="12">
        <v>65360</v>
      </c>
      <c r="H66" s="6" t="s">
        <v>205</v>
      </c>
      <c r="I66" s="9">
        <f ca="1">(TODAY()-Staff[[#This Row],[Date Joined]])/365</f>
        <v>2.9945205479452053</v>
      </c>
      <c r="J66" s="12">
        <f ca="1">ROUNDUP(IF(Staff[[#This Row],[Tenure]]&gt;2,3%,2%)*Staff[[#This Row],[Salary]],0)</f>
        <v>1961</v>
      </c>
      <c r="K66" s="46">
        <v>3</v>
      </c>
    </row>
    <row r="67" spans="1:11" x14ac:dyDescent="0.25">
      <c r="A67" s="6" t="s">
        <v>93</v>
      </c>
      <c r="B67" s="6" t="s">
        <v>8</v>
      </c>
      <c r="C67" s="6">
        <v>33</v>
      </c>
      <c r="D67" s="6" t="s">
        <v>16</v>
      </c>
      <c r="E67" s="7">
        <v>44067</v>
      </c>
      <c r="F67" s="6" t="s">
        <v>21</v>
      </c>
      <c r="G67" s="12">
        <v>65360</v>
      </c>
      <c r="H67" s="6" t="s">
        <v>207</v>
      </c>
      <c r="I67" s="9">
        <f ca="1">(TODAY()-Staff[[#This Row],[Date Joined]])/365</f>
        <v>2.8273972602739725</v>
      </c>
      <c r="J67" s="12">
        <f ca="1">ROUNDUP(IF(Staff[[#This Row],[Tenure]]&gt;2,3%,2%)*Staff[[#This Row],[Salary]],0)</f>
        <v>1961</v>
      </c>
      <c r="K67" s="46">
        <v>3</v>
      </c>
    </row>
    <row r="68" spans="1:11" x14ac:dyDescent="0.25">
      <c r="A68" s="6" t="s">
        <v>168</v>
      </c>
      <c r="B68" s="6" t="s">
        <v>15</v>
      </c>
      <c r="C68" s="6">
        <v>25</v>
      </c>
      <c r="D68" s="6" t="s">
        <v>16</v>
      </c>
      <c r="E68" s="7">
        <v>44322</v>
      </c>
      <c r="F68" s="6" t="s">
        <v>19</v>
      </c>
      <c r="G68" s="12">
        <v>65700</v>
      </c>
      <c r="H68" s="6" t="s">
        <v>205</v>
      </c>
      <c r="I68" s="9">
        <f ca="1">(TODAY()-Staff[[#This Row],[Date Joined]])/365</f>
        <v>2.128767123287671</v>
      </c>
      <c r="J68" s="12">
        <f ca="1">ROUNDUP(IF(Staff[[#This Row],[Tenure]]&gt;2,3%,2%)*Staff[[#This Row],[Salary]],0)</f>
        <v>1971</v>
      </c>
      <c r="K68" s="46">
        <v>3</v>
      </c>
    </row>
    <row r="69" spans="1:11" x14ac:dyDescent="0.25">
      <c r="A69" s="6" t="s">
        <v>76</v>
      </c>
      <c r="B69" s="6" t="s">
        <v>15</v>
      </c>
      <c r="C69" s="6">
        <v>25</v>
      </c>
      <c r="D69" s="6" t="s">
        <v>16</v>
      </c>
      <c r="E69" s="7">
        <v>44383</v>
      </c>
      <c r="F69" s="6" t="s">
        <v>19</v>
      </c>
      <c r="G69" s="12">
        <v>65700</v>
      </c>
      <c r="H69" s="6" t="s">
        <v>207</v>
      </c>
      <c r="I69" s="9">
        <f ca="1">(TODAY()-Staff[[#This Row],[Date Joined]])/365</f>
        <v>1.9616438356164383</v>
      </c>
      <c r="J69" s="12">
        <f ca="1">ROUNDUP(IF(Staff[[#This Row],[Tenure]]&gt;2,3%,2%)*Staff[[#This Row],[Salary]],0)</f>
        <v>1314</v>
      </c>
      <c r="K69" s="46">
        <v>3</v>
      </c>
    </row>
    <row r="70" spans="1:11" x14ac:dyDescent="0.25">
      <c r="A70" s="6" t="s">
        <v>126</v>
      </c>
      <c r="B70" s="6" t="s">
        <v>8</v>
      </c>
      <c r="C70" s="6">
        <v>21</v>
      </c>
      <c r="D70" s="6" t="s">
        <v>16</v>
      </c>
      <c r="E70" s="7">
        <v>44256</v>
      </c>
      <c r="F70" s="6" t="s">
        <v>21</v>
      </c>
      <c r="G70" s="12">
        <v>65920</v>
      </c>
      <c r="H70" s="6" t="s">
        <v>205</v>
      </c>
      <c r="I70" s="9">
        <f ca="1">(TODAY()-Staff[[#This Row],[Date Joined]])/365</f>
        <v>2.3095890410958906</v>
      </c>
      <c r="J70" s="12">
        <f ca="1">ROUNDUP(IF(Staff[[#This Row],[Tenure]]&gt;2,3%,2%)*Staff[[#This Row],[Salary]],0)</f>
        <v>1978</v>
      </c>
      <c r="K70" s="46">
        <v>3</v>
      </c>
    </row>
    <row r="71" spans="1:11" x14ac:dyDescent="0.25">
      <c r="A71" s="6" t="s">
        <v>32</v>
      </c>
      <c r="B71" s="6" t="s">
        <v>8</v>
      </c>
      <c r="C71" s="6">
        <v>21</v>
      </c>
      <c r="D71" s="6" t="s">
        <v>16</v>
      </c>
      <c r="E71" s="7">
        <v>44317</v>
      </c>
      <c r="F71" s="6" t="s">
        <v>21</v>
      </c>
      <c r="G71" s="12">
        <v>65920</v>
      </c>
      <c r="H71" s="6" t="s">
        <v>207</v>
      </c>
      <c r="I71" s="9">
        <f ca="1">(TODAY()-Staff[[#This Row],[Date Joined]])/365</f>
        <v>2.1424657534246574</v>
      </c>
      <c r="J71" s="12">
        <f ca="1">ROUNDUP(IF(Staff[[#This Row],[Tenure]]&gt;2,3%,2%)*Staff[[#This Row],[Salary]],0)</f>
        <v>1978</v>
      </c>
      <c r="K71" s="46">
        <v>3</v>
      </c>
    </row>
    <row r="72" spans="1:11" x14ac:dyDescent="0.25">
      <c r="A72" s="6" t="s">
        <v>121</v>
      </c>
      <c r="B72" s="6" t="s">
        <v>8</v>
      </c>
      <c r="C72" s="6">
        <v>30</v>
      </c>
      <c r="D72" s="6" t="s">
        <v>24</v>
      </c>
      <c r="E72" s="7">
        <v>44328</v>
      </c>
      <c r="F72" s="6" t="s">
        <v>21</v>
      </c>
      <c r="G72" s="12">
        <v>67910</v>
      </c>
      <c r="H72" s="6" t="s">
        <v>205</v>
      </c>
      <c r="I72" s="9">
        <f ca="1">(TODAY()-Staff[[#This Row],[Date Joined]])/365</f>
        <v>2.1123287671232878</v>
      </c>
      <c r="J72" s="12">
        <f ca="1">ROUNDUP(IF(Staff[[#This Row],[Tenure]]&gt;2,3%,2%)*Staff[[#This Row],[Salary]],0)</f>
        <v>2038</v>
      </c>
      <c r="K72" s="46">
        <v>2</v>
      </c>
    </row>
    <row r="73" spans="1:11" x14ac:dyDescent="0.25">
      <c r="A73" s="6" t="s">
        <v>27</v>
      </c>
      <c r="B73" s="6" t="s">
        <v>8</v>
      </c>
      <c r="C73" s="6">
        <v>30</v>
      </c>
      <c r="D73" s="6" t="s">
        <v>24</v>
      </c>
      <c r="E73" s="7">
        <v>44389</v>
      </c>
      <c r="F73" s="6" t="s">
        <v>21</v>
      </c>
      <c r="G73" s="12">
        <v>67910</v>
      </c>
      <c r="H73" s="6" t="s">
        <v>207</v>
      </c>
      <c r="I73" s="9">
        <f ca="1">(TODAY()-Staff[[#This Row],[Date Joined]])/365</f>
        <v>1.9452054794520548</v>
      </c>
      <c r="J73" s="12">
        <f ca="1">ROUNDUP(IF(Staff[[#This Row],[Tenure]]&gt;2,3%,2%)*Staff[[#This Row],[Salary]],0)</f>
        <v>1359</v>
      </c>
      <c r="K73" s="46">
        <v>2</v>
      </c>
    </row>
    <row r="74" spans="1:11" x14ac:dyDescent="0.25">
      <c r="A74" s="6" t="s">
        <v>138</v>
      </c>
      <c r="B74" s="6" t="s">
        <v>15</v>
      </c>
      <c r="C74" s="6">
        <v>30</v>
      </c>
      <c r="D74" s="6" t="s">
        <v>16</v>
      </c>
      <c r="E74" s="7">
        <v>44640</v>
      </c>
      <c r="F74" s="6" t="s">
        <v>9</v>
      </c>
      <c r="G74" s="12">
        <v>67950</v>
      </c>
      <c r="H74" s="6" t="s">
        <v>205</v>
      </c>
      <c r="I74" s="9">
        <f ca="1">(TODAY()-Staff[[#This Row],[Date Joined]])/365</f>
        <v>1.2575342465753425</v>
      </c>
      <c r="J74" s="12">
        <f ca="1">ROUNDUP(IF(Staff[[#This Row],[Tenure]]&gt;2,3%,2%)*Staff[[#This Row],[Salary]],0)</f>
        <v>1359</v>
      </c>
      <c r="K74" s="46">
        <v>3</v>
      </c>
    </row>
    <row r="75" spans="1:11" x14ac:dyDescent="0.25">
      <c r="A75" s="6" t="s">
        <v>45</v>
      </c>
      <c r="B75" s="6" t="s">
        <v>15</v>
      </c>
      <c r="C75" s="6">
        <v>30</v>
      </c>
      <c r="D75" s="6" t="s">
        <v>16</v>
      </c>
      <c r="E75" s="7">
        <v>44701</v>
      </c>
      <c r="F75" s="6" t="s">
        <v>9</v>
      </c>
      <c r="G75" s="12">
        <v>67950</v>
      </c>
      <c r="H75" s="6" t="s">
        <v>207</v>
      </c>
      <c r="I75" s="9">
        <f ca="1">(TODAY()-Staff[[#This Row],[Date Joined]])/365</f>
        <v>1.0904109589041096</v>
      </c>
      <c r="J75" s="12">
        <f ca="1">ROUNDUP(IF(Staff[[#This Row],[Tenure]]&gt;2,3%,2%)*Staff[[#This Row],[Salary]],0)</f>
        <v>1359</v>
      </c>
      <c r="K75" s="46">
        <v>3</v>
      </c>
    </row>
    <row r="76" spans="1:11" x14ac:dyDescent="0.25">
      <c r="A76" s="6" t="s">
        <v>184</v>
      </c>
      <c r="B76" s="6" t="s">
        <v>8</v>
      </c>
      <c r="C76" s="6">
        <v>20</v>
      </c>
      <c r="D76" s="6" t="s">
        <v>24</v>
      </c>
      <c r="E76" s="7">
        <v>44476</v>
      </c>
      <c r="F76" s="6" t="s">
        <v>19</v>
      </c>
      <c r="G76" s="12">
        <v>68900</v>
      </c>
      <c r="H76" s="6" t="s">
        <v>205</v>
      </c>
      <c r="I76" s="9">
        <f ca="1">(TODAY()-Staff[[#This Row],[Date Joined]])/365</f>
        <v>1.7068493150684931</v>
      </c>
      <c r="J76" s="12">
        <f ca="1">ROUNDUP(IF(Staff[[#This Row],[Tenure]]&gt;2,3%,2%)*Staff[[#This Row],[Salary]],0)</f>
        <v>1378</v>
      </c>
      <c r="K76" s="46">
        <v>2</v>
      </c>
    </row>
    <row r="77" spans="1:11" x14ac:dyDescent="0.25">
      <c r="A77" s="6" t="s">
        <v>91</v>
      </c>
      <c r="B77" s="6" t="s">
        <v>8</v>
      </c>
      <c r="C77" s="6">
        <v>20</v>
      </c>
      <c r="D77" s="6" t="s">
        <v>24</v>
      </c>
      <c r="E77" s="7">
        <v>44537</v>
      </c>
      <c r="F77" s="6" t="s">
        <v>19</v>
      </c>
      <c r="G77" s="12">
        <v>68900</v>
      </c>
      <c r="H77" s="6" t="s">
        <v>207</v>
      </c>
      <c r="I77" s="9">
        <f ca="1">(TODAY()-Staff[[#This Row],[Date Joined]])/365</f>
        <v>1.5397260273972602</v>
      </c>
      <c r="J77" s="12">
        <f ca="1">ROUNDUP(IF(Staff[[#This Row],[Tenure]]&gt;2,3%,2%)*Staff[[#This Row],[Salary]],0)</f>
        <v>1378</v>
      </c>
      <c r="K77" s="46">
        <v>2</v>
      </c>
    </row>
    <row r="78" spans="1:11" x14ac:dyDescent="0.25">
      <c r="A78" s="6" t="s">
        <v>190</v>
      </c>
      <c r="B78" s="6" t="s">
        <v>15</v>
      </c>
      <c r="C78" s="6">
        <v>37</v>
      </c>
      <c r="D78" s="6" t="s">
        <v>16</v>
      </c>
      <c r="E78" s="7">
        <v>44640</v>
      </c>
      <c r="F78" s="6" t="s">
        <v>12</v>
      </c>
      <c r="G78" s="12">
        <v>69070</v>
      </c>
      <c r="H78" s="6" t="s">
        <v>205</v>
      </c>
      <c r="I78" s="9">
        <f ca="1">(TODAY()-Staff[[#This Row],[Date Joined]])/365</f>
        <v>1.2575342465753425</v>
      </c>
      <c r="J78" s="12">
        <f ca="1">ROUNDUP(IF(Staff[[#This Row],[Tenure]]&gt;2,3%,2%)*Staff[[#This Row],[Salary]],0)</f>
        <v>1382</v>
      </c>
      <c r="K78" s="46">
        <v>3</v>
      </c>
    </row>
    <row r="79" spans="1:11" x14ac:dyDescent="0.25">
      <c r="A79" s="6" t="s">
        <v>97</v>
      </c>
      <c r="B79" s="6" t="s">
        <v>15</v>
      </c>
      <c r="C79" s="6">
        <v>37</v>
      </c>
      <c r="D79" s="6" t="s">
        <v>16</v>
      </c>
      <c r="E79" s="7">
        <v>44701</v>
      </c>
      <c r="F79" s="6" t="s">
        <v>12</v>
      </c>
      <c r="G79" s="12">
        <v>69070</v>
      </c>
      <c r="H79" s="6" t="s">
        <v>207</v>
      </c>
      <c r="I79" s="9">
        <f ca="1">(TODAY()-Staff[[#This Row],[Date Joined]])/365</f>
        <v>1.0904109589041096</v>
      </c>
      <c r="J79" s="12">
        <f ca="1">ROUNDUP(IF(Staff[[#This Row],[Tenure]]&gt;2,3%,2%)*Staff[[#This Row],[Salary]],0)</f>
        <v>1382</v>
      </c>
      <c r="K79" s="46">
        <v>3</v>
      </c>
    </row>
    <row r="80" spans="1:11" x14ac:dyDescent="0.25">
      <c r="A80" s="6" t="s">
        <v>119</v>
      </c>
      <c r="B80" s="6" t="s">
        <v>15</v>
      </c>
      <c r="C80" s="6">
        <v>30</v>
      </c>
      <c r="D80" s="6" t="s">
        <v>16</v>
      </c>
      <c r="E80" s="7">
        <v>44214</v>
      </c>
      <c r="F80" s="6" t="s">
        <v>12</v>
      </c>
      <c r="G80" s="12">
        <v>69120</v>
      </c>
      <c r="H80" s="6" t="s">
        <v>205</v>
      </c>
      <c r="I80" s="9">
        <f ca="1">(TODAY()-Staff[[#This Row],[Date Joined]])/365</f>
        <v>2.4246575342465753</v>
      </c>
      <c r="J80" s="12">
        <f ca="1">ROUNDUP(IF(Staff[[#This Row],[Tenure]]&gt;2,3%,2%)*Staff[[#This Row],[Salary]],0)</f>
        <v>2074</v>
      </c>
      <c r="K80" s="46">
        <v>3</v>
      </c>
    </row>
    <row r="81" spans="1:11" x14ac:dyDescent="0.25">
      <c r="A81" s="6" t="s">
        <v>25</v>
      </c>
      <c r="B81" s="6" t="s">
        <v>15</v>
      </c>
      <c r="C81" s="6">
        <v>30</v>
      </c>
      <c r="D81" s="6" t="s">
        <v>16</v>
      </c>
      <c r="E81" s="7">
        <v>44273</v>
      </c>
      <c r="F81" s="6" t="s">
        <v>12</v>
      </c>
      <c r="G81" s="12">
        <v>69120</v>
      </c>
      <c r="H81" s="6" t="s">
        <v>207</v>
      </c>
      <c r="I81" s="9">
        <f ca="1">(TODAY()-Staff[[#This Row],[Date Joined]])/365</f>
        <v>2.2630136986301368</v>
      </c>
      <c r="J81" s="12">
        <f ca="1">ROUNDUP(IF(Staff[[#This Row],[Tenure]]&gt;2,3%,2%)*Staff[[#This Row],[Salary]],0)</f>
        <v>2074</v>
      </c>
      <c r="K81" s="46">
        <v>3</v>
      </c>
    </row>
    <row r="82" spans="1:11" x14ac:dyDescent="0.25">
      <c r="A82" s="6" t="s">
        <v>159</v>
      </c>
      <c r="B82" s="6" t="s">
        <v>15</v>
      </c>
      <c r="C82" s="6">
        <v>30</v>
      </c>
      <c r="D82" s="6" t="s">
        <v>16</v>
      </c>
      <c r="E82" s="7">
        <v>44789</v>
      </c>
      <c r="F82" s="6" t="s">
        <v>12</v>
      </c>
      <c r="G82" s="12">
        <v>69710</v>
      </c>
      <c r="H82" s="6" t="s">
        <v>205</v>
      </c>
      <c r="I82" s="9">
        <f ca="1">(TODAY()-Staff[[#This Row],[Date Joined]])/365</f>
        <v>0.84931506849315064</v>
      </c>
      <c r="J82" s="12">
        <f ca="1">ROUNDUP(IF(Staff[[#This Row],[Tenure]]&gt;2,3%,2%)*Staff[[#This Row],[Salary]],0)</f>
        <v>1395</v>
      </c>
      <c r="K82" s="46">
        <v>3</v>
      </c>
    </row>
    <row r="83" spans="1:11" x14ac:dyDescent="0.25">
      <c r="A83" s="6" t="s">
        <v>67</v>
      </c>
      <c r="B83" s="6" t="s">
        <v>15</v>
      </c>
      <c r="C83" s="6">
        <v>30</v>
      </c>
      <c r="D83" s="6" t="s">
        <v>16</v>
      </c>
      <c r="E83" s="7">
        <v>44850</v>
      </c>
      <c r="F83" s="6" t="s">
        <v>12</v>
      </c>
      <c r="G83" s="12">
        <v>69710</v>
      </c>
      <c r="H83" s="6" t="s">
        <v>207</v>
      </c>
      <c r="I83" s="9">
        <f ca="1">(TODAY()-Staff[[#This Row],[Date Joined]])/365</f>
        <v>0.68219178082191778</v>
      </c>
      <c r="J83" s="12">
        <f ca="1">ROUNDUP(IF(Staff[[#This Row],[Tenure]]&gt;2,3%,2%)*Staff[[#This Row],[Salary]],0)</f>
        <v>1395</v>
      </c>
      <c r="K83" s="46">
        <v>3</v>
      </c>
    </row>
    <row r="84" spans="1:11" x14ac:dyDescent="0.25">
      <c r="A84" s="6" t="s">
        <v>183</v>
      </c>
      <c r="B84" s="6" t="s">
        <v>15</v>
      </c>
      <c r="C84" s="6">
        <v>42</v>
      </c>
      <c r="D84" s="6" t="s">
        <v>24</v>
      </c>
      <c r="E84" s="7">
        <v>44670</v>
      </c>
      <c r="F84" s="6" t="s">
        <v>21</v>
      </c>
      <c r="G84" s="12">
        <v>70270</v>
      </c>
      <c r="H84" s="6" t="s">
        <v>205</v>
      </c>
      <c r="I84" s="9">
        <f ca="1">(TODAY()-Staff[[#This Row],[Date Joined]])/365</f>
        <v>1.1753424657534246</v>
      </c>
      <c r="J84" s="12">
        <f ca="1">ROUNDUP(IF(Staff[[#This Row],[Tenure]]&gt;2,3%,2%)*Staff[[#This Row],[Salary]],0)</f>
        <v>1406</v>
      </c>
      <c r="K84" s="46">
        <v>2</v>
      </c>
    </row>
    <row r="85" spans="1:11" x14ac:dyDescent="0.25">
      <c r="A85" s="6" t="s">
        <v>90</v>
      </c>
      <c r="B85" s="6" t="s">
        <v>15</v>
      </c>
      <c r="C85" s="6">
        <v>42</v>
      </c>
      <c r="D85" s="6" t="s">
        <v>24</v>
      </c>
      <c r="E85" s="7">
        <v>44731</v>
      </c>
      <c r="F85" s="6" t="s">
        <v>21</v>
      </c>
      <c r="G85" s="12">
        <v>70270</v>
      </c>
      <c r="H85" s="6" t="s">
        <v>207</v>
      </c>
      <c r="I85" s="9">
        <f ca="1">(TODAY()-Staff[[#This Row],[Date Joined]])/365</f>
        <v>1.0082191780821919</v>
      </c>
      <c r="J85" s="12">
        <f ca="1">ROUNDUP(IF(Staff[[#This Row],[Tenure]]&gt;2,3%,2%)*Staff[[#This Row],[Salary]],0)</f>
        <v>1406</v>
      </c>
      <c r="K85" s="46">
        <v>2</v>
      </c>
    </row>
    <row r="86" spans="1:11" x14ac:dyDescent="0.25">
      <c r="A86" s="6" t="s">
        <v>162</v>
      </c>
      <c r="B86" s="6" t="s">
        <v>15</v>
      </c>
      <c r="C86" s="6">
        <v>46</v>
      </c>
      <c r="D86" s="6" t="s">
        <v>16</v>
      </c>
      <c r="E86" s="7">
        <v>44697</v>
      </c>
      <c r="F86" s="6" t="s">
        <v>9</v>
      </c>
      <c r="G86" s="12">
        <v>70610</v>
      </c>
      <c r="H86" s="6" t="s">
        <v>205</v>
      </c>
      <c r="I86" s="9">
        <f ca="1">(TODAY()-Staff[[#This Row],[Date Joined]])/365</f>
        <v>1.1013698630136985</v>
      </c>
      <c r="J86" s="12">
        <f ca="1">ROUNDUP(IF(Staff[[#This Row],[Tenure]]&gt;2,3%,2%)*Staff[[#This Row],[Salary]],0)</f>
        <v>1413</v>
      </c>
      <c r="K86" s="46">
        <v>3</v>
      </c>
    </row>
    <row r="87" spans="1:11" x14ac:dyDescent="0.25">
      <c r="A87" s="6" t="s">
        <v>70</v>
      </c>
      <c r="B87" s="6" t="s">
        <v>15</v>
      </c>
      <c r="C87" s="6">
        <v>46</v>
      </c>
      <c r="D87" s="6" t="s">
        <v>16</v>
      </c>
      <c r="E87" s="7">
        <v>44758</v>
      </c>
      <c r="F87" s="6" t="s">
        <v>9</v>
      </c>
      <c r="G87" s="12">
        <v>70610</v>
      </c>
      <c r="H87" s="6" t="s">
        <v>207</v>
      </c>
      <c r="I87" s="9">
        <f ca="1">(TODAY()-Staff[[#This Row],[Date Joined]])/365</f>
        <v>0.9342465753424658</v>
      </c>
      <c r="J87" s="12">
        <f ca="1">ROUNDUP(IF(Staff[[#This Row],[Tenure]]&gt;2,3%,2%)*Staff[[#This Row],[Salary]],0)</f>
        <v>1413</v>
      </c>
      <c r="K87" s="46">
        <v>3</v>
      </c>
    </row>
    <row r="88" spans="1:11" x14ac:dyDescent="0.25">
      <c r="A88" s="6" t="s">
        <v>187</v>
      </c>
      <c r="B88" s="6" t="s">
        <v>15</v>
      </c>
      <c r="C88" s="6">
        <v>36</v>
      </c>
      <c r="D88" s="6" t="s">
        <v>16</v>
      </c>
      <c r="E88" s="7">
        <v>44272</v>
      </c>
      <c r="F88" s="6" t="s">
        <v>21</v>
      </c>
      <c r="G88" s="12">
        <v>71380</v>
      </c>
      <c r="H88" s="6" t="s">
        <v>205</v>
      </c>
      <c r="I88" s="9">
        <f ca="1">(TODAY()-Staff[[#This Row],[Date Joined]])/365</f>
        <v>2.2657534246575342</v>
      </c>
      <c r="J88" s="12">
        <f ca="1">ROUNDUP(IF(Staff[[#This Row],[Tenure]]&gt;2,3%,2%)*Staff[[#This Row],[Salary]],0)</f>
        <v>2142</v>
      </c>
      <c r="K88" s="46">
        <v>3</v>
      </c>
    </row>
    <row r="89" spans="1:11" x14ac:dyDescent="0.25">
      <c r="A89" s="6" t="s">
        <v>94</v>
      </c>
      <c r="B89" s="6" t="s">
        <v>15</v>
      </c>
      <c r="C89" s="6">
        <v>36</v>
      </c>
      <c r="D89" s="6" t="s">
        <v>16</v>
      </c>
      <c r="E89" s="7">
        <v>44333</v>
      </c>
      <c r="F89" s="6" t="s">
        <v>21</v>
      </c>
      <c r="G89" s="12">
        <v>71380</v>
      </c>
      <c r="H89" s="6" t="s">
        <v>207</v>
      </c>
      <c r="I89" s="9">
        <f ca="1">(TODAY()-Staff[[#This Row],[Date Joined]])/365</f>
        <v>2.0986301369863014</v>
      </c>
      <c r="J89" s="12">
        <f ca="1">ROUNDUP(IF(Staff[[#This Row],[Tenure]]&gt;2,3%,2%)*Staff[[#This Row],[Salary]],0)</f>
        <v>2142</v>
      </c>
      <c r="K89" s="46">
        <v>3</v>
      </c>
    </row>
    <row r="90" spans="1:11" x14ac:dyDescent="0.25">
      <c r="A90" s="6" t="s">
        <v>115</v>
      </c>
      <c r="B90" s="6" t="s">
        <v>15</v>
      </c>
      <c r="C90" s="6">
        <v>33</v>
      </c>
      <c r="D90" s="6" t="s">
        <v>16</v>
      </c>
      <c r="E90" s="7">
        <v>44324</v>
      </c>
      <c r="F90" s="6" t="s">
        <v>19</v>
      </c>
      <c r="G90" s="12">
        <v>74550</v>
      </c>
      <c r="H90" s="6" t="s">
        <v>205</v>
      </c>
      <c r="I90" s="9">
        <f ca="1">(TODAY()-Staff[[#This Row],[Date Joined]])/365</f>
        <v>2.1232876712328768</v>
      </c>
      <c r="J90" s="12">
        <f ca="1">ROUNDUP(IF(Staff[[#This Row],[Tenure]]&gt;2,3%,2%)*Staff[[#This Row],[Salary]],0)</f>
        <v>2237</v>
      </c>
      <c r="K90" s="46">
        <v>3</v>
      </c>
    </row>
    <row r="91" spans="1:11" x14ac:dyDescent="0.25">
      <c r="A91" s="6" t="s">
        <v>18</v>
      </c>
      <c r="B91" s="6" t="s">
        <v>15</v>
      </c>
      <c r="C91" s="6">
        <v>33</v>
      </c>
      <c r="D91" s="6" t="s">
        <v>16</v>
      </c>
      <c r="E91" s="7">
        <v>44385</v>
      </c>
      <c r="F91" s="6" t="s">
        <v>19</v>
      </c>
      <c r="G91" s="12">
        <v>74550</v>
      </c>
      <c r="H91" s="6" t="s">
        <v>207</v>
      </c>
      <c r="I91" s="9">
        <f ca="1">(TODAY()-Staff[[#This Row],[Date Joined]])/365</f>
        <v>1.9561643835616438</v>
      </c>
      <c r="J91" s="12">
        <f ca="1">ROUNDUP(IF(Staff[[#This Row],[Tenure]]&gt;2,3%,2%)*Staff[[#This Row],[Salary]],0)</f>
        <v>1491</v>
      </c>
      <c r="K91" s="46">
        <v>3</v>
      </c>
    </row>
    <row r="92" spans="1:11" x14ac:dyDescent="0.25">
      <c r="A92" s="6" t="s">
        <v>111</v>
      </c>
      <c r="B92" s="6" t="s">
        <v>8</v>
      </c>
      <c r="C92" s="6">
        <v>42</v>
      </c>
      <c r="D92" s="6" t="s">
        <v>10</v>
      </c>
      <c r="E92" s="7">
        <v>44718</v>
      </c>
      <c r="F92" s="6" t="s">
        <v>9</v>
      </c>
      <c r="G92" s="12">
        <v>75000</v>
      </c>
      <c r="H92" s="6" t="s">
        <v>205</v>
      </c>
      <c r="I92" s="9">
        <f ca="1">(TODAY()-Staff[[#This Row],[Date Joined]])/365</f>
        <v>1.0438356164383562</v>
      </c>
      <c r="J92" s="12">
        <f ca="1">ROUNDUP(IF(Staff[[#This Row],[Tenure]]&gt;2,3%,2%)*Staff[[#This Row],[Salary]],0)</f>
        <v>1500</v>
      </c>
      <c r="K92" s="46">
        <v>5</v>
      </c>
    </row>
    <row r="93" spans="1:11" x14ac:dyDescent="0.25">
      <c r="A93" s="6" t="s">
        <v>7</v>
      </c>
      <c r="B93" s="6" t="s">
        <v>8</v>
      </c>
      <c r="C93" s="6">
        <v>42</v>
      </c>
      <c r="D93" s="6" t="s">
        <v>10</v>
      </c>
      <c r="E93" s="7">
        <v>44779</v>
      </c>
      <c r="F93" s="6" t="s">
        <v>9</v>
      </c>
      <c r="G93" s="12">
        <v>75000</v>
      </c>
      <c r="H93" s="6" t="s">
        <v>207</v>
      </c>
      <c r="I93" s="9">
        <f ca="1">(TODAY()-Staff[[#This Row],[Date Joined]])/365</f>
        <v>0.87671232876712324</v>
      </c>
      <c r="J93" s="12">
        <f ca="1">ROUNDUP(IF(Staff[[#This Row],[Tenure]]&gt;2,3%,2%)*Staff[[#This Row],[Salary]],0)</f>
        <v>1500</v>
      </c>
      <c r="K93" s="46">
        <v>5</v>
      </c>
    </row>
    <row r="94" spans="1:11" x14ac:dyDescent="0.25">
      <c r="A94" s="6" t="s">
        <v>188</v>
      </c>
      <c r="B94" s="6" t="s">
        <v>8</v>
      </c>
      <c r="C94" s="6">
        <v>33</v>
      </c>
      <c r="D94" s="6" t="s">
        <v>16</v>
      </c>
      <c r="E94" s="7">
        <v>44253</v>
      </c>
      <c r="F94" s="6" t="s">
        <v>12</v>
      </c>
      <c r="G94" s="12">
        <v>75280</v>
      </c>
      <c r="H94" s="6" t="s">
        <v>205</v>
      </c>
      <c r="I94" s="9">
        <f ca="1">(TODAY()-Staff[[#This Row],[Date Joined]])/365</f>
        <v>2.3178082191780822</v>
      </c>
      <c r="J94" s="12">
        <f ca="1">ROUNDUP(IF(Staff[[#This Row],[Tenure]]&gt;2,3%,2%)*Staff[[#This Row],[Salary]],0)</f>
        <v>2259</v>
      </c>
      <c r="K94" s="46">
        <v>3</v>
      </c>
    </row>
    <row r="95" spans="1:11" x14ac:dyDescent="0.25">
      <c r="A95" s="6" t="s">
        <v>95</v>
      </c>
      <c r="B95" s="6" t="s">
        <v>8</v>
      </c>
      <c r="C95" s="6">
        <v>33</v>
      </c>
      <c r="D95" s="6" t="s">
        <v>16</v>
      </c>
      <c r="E95" s="7">
        <v>44312</v>
      </c>
      <c r="F95" s="6" t="s">
        <v>12</v>
      </c>
      <c r="G95" s="12">
        <v>75280</v>
      </c>
      <c r="H95" s="6" t="s">
        <v>207</v>
      </c>
      <c r="I95" s="9">
        <f ca="1">(TODAY()-Staff[[#This Row],[Date Joined]])/365</f>
        <v>2.1561643835616437</v>
      </c>
      <c r="J95" s="12">
        <f ca="1">ROUNDUP(IF(Staff[[#This Row],[Tenure]]&gt;2,3%,2%)*Staff[[#This Row],[Salary]],0)</f>
        <v>2259</v>
      </c>
      <c r="K95" s="46">
        <v>3</v>
      </c>
    </row>
    <row r="96" spans="1:11" x14ac:dyDescent="0.25">
      <c r="A96" s="6" t="s">
        <v>135</v>
      </c>
      <c r="B96" s="6" t="s">
        <v>8</v>
      </c>
      <c r="C96" s="6">
        <v>33</v>
      </c>
      <c r="D96" s="6" t="s">
        <v>42</v>
      </c>
      <c r="E96" s="7">
        <v>44313</v>
      </c>
      <c r="F96" s="6" t="s">
        <v>12</v>
      </c>
      <c r="G96" s="12">
        <v>75480</v>
      </c>
      <c r="H96" s="6" t="s">
        <v>205</v>
      </c>
      <c r="I96" s="9">
        <f ca="1">(TODAY()-Staff[[#This Row],[Date Joined]])/365</f>
        <v>2.1534246575342464</v>
      </c>
      <c r="J96" s="12">
        <f ca="1">ROUNDUP(IF(Staff[[#This Row],[Tenure]]&gt;2,3%,2%)*Staff[[#This Row],[Salary]],0)</f>
        <v>2265</v>
      </c>
      <c r="K96" s="46">
        <v>1</v>
      </c>
    </row>
    <row r="97" spans="1:11" x14ac:dyDescent="0.25">
      <c r="A97" s="6" t="s">
        <v>41</v>
      </c>
      <c r="B97" s="6" t="s">
        <v>8</v>
      </c>
      <c r="C97" s="6">
        <v>33</v>
      </c>
      <c r="D97" s="6" t="s">
        <v>42</v>
      </c>
      <c r="E97" s="7">
        <v>44374</v>
      </c>
      <c r="F97" s="6" t="s">
        <v>12</v>
      </c>
      <c r="G97" s="12">
        <v>75480</v>
      </c>
      <c r="H97" s="6" t="s">
        <v>207</v>
      </c>
      <c r="I97" s="9">
        <f ca="1">(TODAY()-Staff[[#This Row],[Date Joined]])/365</f>
        <v>1.9863013698630136</v>
      </c>
      <c r="J97" s="12">
        <f ca="1">ROUNDUP(IF(Staff[[#This Row],[Tenure]]&gt;2,3%,2%)*Staff[[#This Row],[Salary]],0)</f>
        <v>1510</v>
      </c>
      <c r="K97" s="46">
        <v>1</v>
      </c>
    </row>
    <row r="98" spans="1:11" x14ac:dyDescent="0.25">
      <c r="A98" s="6" t="s">
        <v>170</v>
      </c>
      <c r="B98" s="6" t="s">
        <v>15</v>
      </c>
      <c r="C98" s="6">
        <v>21</v>
      </c>
      <c r="D98" s="6" t="s">
        <v>16</v>
      </c>
      <c r="E98" s="7">
        <v>44180</v>
      </c>
      <c r="F98" s="6" t="s">
        <v>56</v>
      </c>
      <c r="G98" s="12">
        <v>75880</v>
      </c>
      <c r="H98" s="6" t="s">
        <v>205</v>
      </c>
      <c r="I98" s="9">
        <f ca="1">(TODAY()-Staff[[#This Row],[Date Joined]])/365</f>
        <v>2.5178082191780824</v>
      </c>
      <c r="J98" s="12">
        <f ca="1">ROUNDUP(IF(Staff[[#This Row],[Tenure]]&gt;2,3%,2%)*Staff[[#This Row],[Salary]],0)</f>
        <v>2277</v>
      </c>
      <c r="K98" s="46">
        <v>3</v>
      </c>
    </row>
    <row r="99" spans="1:11" x14ac:dyDescent="0.25">
      <c r="A99" s="6" t="s">
        <v>78</v>
      </c>
      <c r="B99" s="6" t="s">
        <v>15</v>
      </c>
      <c r="C99" s="6">
        <v>21</v>
      </c>
      <c r="D99" s="6" t="s">
        <v>16</v>
      </c>
      <c r="E99" s="7">
        <v>44242</v>
      </c>
      <c r="F99" s="6" t="s">
        <v>56</v>
      </c>
      <c r="G99" s="12">
        <v>75880</v>
      </c>
      <c r="H99" s="6" t="s">
        <v>207</v>
      </c>
      <c r="I99" s="9">
        <f ca="1">(TODAY()-Staff[[#This Row],[Date Joined]])/365</f>
        <v>2.3479452054794518</v>
      </c>
      <c r="J99" s="12">
        <f ca="1">ROUNDUP(IF(Staff[[#This Row],[Tenure]]&gt;2,3%,2%)*Staff[[#This Row],[Salary]],0)</f>
        <v>2277</v>
      </c>
      <c r="K99" s="46">
        <v>3</v>
      </c>
    </row>
    <row r="100" spans="1:11" x14ac:dyDescent="0.25">
      <c r="A100" s="6" t="s">
        <v>129</v>
      </c>
      <c r="B100" s="6" t="s">
        <v>8</v>
      </c>
      <c r="C100" s="6">
        <v>28</v>
      </c>
      <c r="D100" s="6" t="s">
        <v>16</v>
      </c>
      <c r="E100" s="7">
        <v>44124</v>
      </c>
      <c r="F100" s="6" t="s">
        <v>21</v>
      </c>
      <c r="G100" s="12">
        <v>75970</v>
      </c>
      <c r="H100" s="6" t="s">
        <v>205</v>
      </c>
      <c r="I100" s="9">
        <f ca="1">(TODAY()-Staff[[#This Row],[Date Joined]])/365</f>
        <v>2.6712328767123288</v>
      </c>
      <c r="J100" s="12">
        <f ca="1">ROUNDUP(IF(Staff[[#This Row],[Tenure]]&gt;2,3%,2%)*Staff[[#This Row],[Salary]],0)</f>
        <v>2280</v>
      </c>
      <c r="K100" s="46">
        <v>3</v>
      </c>
    </row>
    <row r="101" spans="1:11" x14ac:dyDescent="0.25">
      <c r="A101" s="6" t="s">
        <v>35</v>
      </c>
      <c r="B101" s="6" t="s">
        <v>8</v>
      </c>
      <c r="C101" s="6">
        <v>28</v>
      </c>
      <c r="D101" s="6" t="s">
        <v>16</v>
      </c>
      <c r="E101" s="7">
        <v>44185</v>
      </c>
      <c r="F101" s="6" t="s">
        <v>21</v>
      </c>
      <c r="G101" s="12">
        <v>75970</v>
      </c>
      <c r="H101" s="6" t="s">
        <v>207</v>
      </c>
      <c r="I101" s="9">
        <f ca="1">(TODAY()-Staff[[#This Row],[Date Joined]])/365</f>
        <v>2.504109589041096</v>
      </c>
      <c r="J101" s="12">
        <f ca="1">ROUNDUP(IF(Staff[[#This Row],[Tenure]]&gt;2,3%,2%)*Staff[[#This Row],[Salary]],0)</f>
        <v>2280</v>
      </c>
      <c r="K101" s="46">
        <v>3</v>
      </c>
    </row>
    <row r="102" spans="1:11" x14ac:dyDescent="0.25">
      <c r="A102" s="6" t="s">
        <v>154</v>
      </c>
      <c r="B102" s="6" t="s">
        <v>8</v>
      </c>
      <c r="C102" s="6">
        <v>22</v>
      </c>
      <c r="D102" s="6" t="s">
        <v>13</v>
      </c>
      <c r="E102" s="7">
        <v>44388</v>
      </c>
      <c r="F102" s="6" t="s">
        <v>9</v>
      </c>
      <c r="G102" s="12">
        <v>76900</v>
      </c>
      <c r="H102" s="6" t="s">
        <v>205</v>
      </c>
      <c r="I102" s="9">
        <f ca="1">(TODAY()-Staff[[#This Row],[Date Joined]])/365</f>
        <v>1.9479452054794522</v>
      </c>
      <c r="J102" s="12">
        <f ca="1">ROUNDUP(IF(Staff[[#This Row],[Tenure]]&gt;2,3%,2%)*Staff[[#This Row],[Salary]],0)</f>
        <v>1538</v>
      </c>
      <c r="K102" s="46">
        <v>4</v>
      </c>
    </row>
    <row r="103" spans="1:11" x14ac:dyDescent="0.25">
      <c r="A103" s="6" t="s">
        <v>62</v>
      </c>
      <c r="B103" s="6" t="s">
        <v>8</v>
      </c>
      <c r="C103" s="6">
        <v>22</v>
      </c>
      <c r="D103" s="6" t="s">
        <v>13</v>
      </c>
      <c r="E103" s="7">
        <v>44450</v>
      </c>
      <c r="F103" s="6" t="s">
        <v>9</v>
      </c>
      <c r="G103" s="12">
        <v>76900</v>
      </c>
      <c r="H103" s="6" t="s">
        <v>207</v>
      </c>
      <c r="I103" s="9">
        <f ca="1">(TODAY()-Staff[[#This Row],[Date Joined]])/365</f>
        <v>1.7780821917808218</v>
      </c>
      <c r="J103" s="12">
        <f ca="1">ROUNDUP(IF(Staff[[#This Row],[Tenure]]&gt;2,3%,2%)*Staff[[#This Row],[Salary]],0)</f>
        <v>1538</v>
      </c>
      <c r="K103" s="46">
        <v>4</v>
      </c>
    </row>
    <row r="104" spans="1:11" x14ac:dyDescent="0.25">
      <c r="A104" s="6" t="s">
        <v>164</v>
      </c>
      <c r="B104" s="6" t="s">
        <v>8</v>
      </c>
      <c r="C104" s="6">
        <v>36</v>
      </c>
      <c r="D104" s="6" t="s">
        <v>16</v>
      </c>
      <c r="E104" s="7">
        <v>44468</v>
      </c>
      <c r="F104" s="6" t="s">
        <v>9</v>
      </c>
      <c r="G104" s="12">
        <v>78390</v>
      </c>
      <c r="H104" s="6" t="s">
        <v>205</v>
      </c>
      <c r="I104" s="9">
        <f ca="1">(TODAY()-Staff[[#This Row],[Date Joined]])/365</f>
        <v>1.7287671232876711</v>
      </c>
      <c r="J104" s="12">
        <f ca="1">ROUNDUP(IF(Staff[[#This Row],[Tenure]]&gt;2,3%,2%)*Staff[[#This Row],[Salary]],0)</f>
        <v>1568</v>
      </c>
      <c r="K104" s="46">
        <v>3</v>
      </c>
    </row>
    <row r="105" spans="1:11" x14ac:dyDescent="0.25">
      <c r="A105" s="6" t="s">
        <v>72</v>
      </c>
      <c r="B105" s="6" t="s">
        <v>8</v>
      </c>
      <c r="C105" s="6">
        <v>36</v>
      </c>
      <c r="D105" s="6" t="s">
        <v>16</v>
      </c>
      <c r="E105" s="7">
        <v>44529</v>
      </c>
      <c r="F105" s="6" t="s">
        <v>9</v>
      </c>
      <c r="G105" s="12">
        <v>78390</v>
      </c>
      <c r="H105" s="6" t="s">
        <v>207</v>
      </c>
      <c r="I105" s="9">
        <f ca="1">(TODAY()-Staff[[#This Row],[Date Joined]])/365</f>
        <v>1.5616438356164384</v>
      </c>
      <c r="J105" s="12">
        <f ca="1">ROUNDUP(IF(Staff[[#This Row],[Tenure]]&gt;2,3%,2%)*Staff[[#This Row],[Salary]],0)</f>
        <v>1568</v>
      </c>
      <c r="K105" s="46">
        <v>3</v>
      </c>
    </row>
    <row r="106" spans="1:11" x14ac:dyDescent="0.25">
      <c r="A106" s="6" t="s">
        <v>141</v>
      </c>
      <c r="B106" s="6" t="s">
        <v>8</v>
      </c>
      <c r="C106" s="6">
        <v>36</v>
      </c>
      <c r="D106" s="6" t="s">
        <v>16</v>
      </c>
      <c r="E106" s="7">
        <v>44433</v>
      </c>
      <c r="F106" s="6" t="s">
        <v>19</v>
      </c>
      <c r="G106" s="12">
        <v>78540</v>
      </c>
      <c r="H106" s="6" t="s">
        <v>205</v>
      </c>
      <c r="I106" s="9">
        <f ca="1">(TODAY()-Staff[[#This Row],[Date Joined]])/365</f>
        <v>1.8246575342465754</v>
      </c>
      <c r="J106" s="12">
        <f ca="1">ROUNDUP(IF(Staff[[#This Row],[Tenure]]&gt;2,3%,2%)*Staff[[#This Row],[Salary]],0)</f>
        <v>1571</v>
      </c>
      <c r="K106" s="46">
        <v>3</v>
      </c>
    </row>
    <row r="107" spans="1:11" x14ac:dyDescent="0.25">
      <c r="A107" s="6" t="s">
        <v>48</v>
      </c>
      <c r="B107" s="6" t="s">
        <v>8</v>
      </c>
      <c r="C107" s="6">
        <v>36</v>
      </c>
      <c r="D107" s="6" t="s">
        <v>16</v>
      </c>
      <c r="E107" s="7">
        <v>44494</v>
      </c>
      <c r="F107" s="6" t="s">
        <v>19</v>
      </c>
      <c r="G107" s="12">
        <v>78540</v>
      </c>
      <c r="H107" s="6" t="s">
        <v>207</v>
      </c>
      <c r="I107" s="9">
        <f ca="1">(TODAY()-Staff[[#This Row],[Date Joined]])/365</f>
        <v>1.6575342465753424</v>
      </c>
      <c r="J107" s="12">
        <f ca="1">ROUNDUP(IF(Staff[[#This Row],[Tenure]]&gt;2,3%,2%)*Staff[[#This Row],[Salary]],0)</f>
        <v>1571</v>
      </c>
      <c r="K107" s="46">
        <v>3</v>
      </c>
    </row>
    <row r="108" spans="1:11" x14ac:dyDescent="0.25">
      <c r="A108" s="6" t="s">
        <v>197</v>
      </c>
      <c r="B108" s="6" t="s">
        <v>15</v>
      </c>
      <c r="C108" s="6">
        <v>20</v>
      </c>
      <c r="D108" s="6" t="s">
        <v>16</v>
      </c>
      <c r="E108" s="7">
        <v>44683</v>
      </c>
      <c r="F108" s="6" t="s">
        <v>9</v>
      </c>
      <c r="G108" s="12">
        <v>79570</v>
      </c>
      <c r="H108" s="6" t="s">
        <v>205</v>
      </c>
      <c r="I108" s="9">
        <f ca="1">(TODAY()-Staff[[#This Row],[Date Joined]])/365</f>
        <v>1.1397260273972603</v>
      </c>
      <c r="J108" s="12">
        <f ca="1">ROUNDUP(IF(Staff[[#This Row],[Tenure]]&gt;2,3%,2%)*Staff[[#This Row],[Salary]],0)</f>
        <v>1592</v>
      </c>
      <c r="K108" s="46">
        <v>3</v>
      </c>
    </row>
    <row r="109" spans="1:11" x14ac:dyDescent="0.25">
      <c r="A109" s="6" t="s">
        <v>104</v>
      </c>
      <c r="B109" s="6" t="s">
        <v>15</v>
      </c>
      <c r="C109" s="6">
        <v>20</v>
      </c>
      <c r="D109" s="6" t="s">
        <v>16</v>
      </c>
      <c r="E109" s="7">
        <v>44744</v>
      </c>
      <c r="F109" s="6" t="s">
        <v>9</v>
      </c>
      <c r="G109" s="12">
        <v>79570</v>
      </c>
      <c r="H109" s="6" t="s">
        <v>207</v>
      </c>
      <c r="I109" s="9">
        <f ca="1">(TODAY()-Staff[[#This Row],[Date Joined]])/365</f>
        <v>0.9726027397260274</v>
      </c>
      <c r="J109" s="12">
        <f ca="1">ROUNDUP(IF(Staff[[#This Row],[Tenure]]&gt;2,3%,2%)*Staff[[#This Row],[Salary]],0)</f>
        <v>1592</v>
      </c>
      <c r="K109" s="46">
        <v>3</v>
      </c>
    </row>
    <row r="110" spans="1:11" x14ac:dyDescent="0.25">
      <c r="A110" s="6" t="s">
        <v>133</v>
      </c>
      <c r="B110" s="6" t="s">
        <v>8</v>
      </c>
      <c r="C110" s="6">
        <v>25</v>
      </c>
      <c r="D110" s="6" t="s">
        <v>13</v>
      </c>
      <c r="E110" s="7">
        <v>44633</v>
      </c>
      <c r="F110" s="6" t="s">
        <v>12</v>
      </c>
      <c r="G110" s="12">
        <v>80700</v>
      </c>
      <c r="H110" s="6" t="s">
        <v>205</v>
      </c>
      <c r="I110" s="9">
        <f ca="1">(TODAY()-Staff[[#This Row],[Date Joined]])/365</f>
        <v>1.2767123287671234</v>
      </c>
      <c r="J110" s="12">
        <f ca="1">ROUNDUP(IF(Staff[[#This Row],[Tenure]]&gt;2,3%,2%)*Staff[[#This Row],[Salary]],0)</f>
        <v>1614</v>
      </c>
      <c r="K110" s="46">
        <v>4</v>
      </c>
    </row>
    <row r="111" spans="1:11" x14ac:dyDescent="0.25">
      <c r="A111" s="6" t="s">
        <v>39</v>
      </c>
      <c r="B111" s="6" t="s">
        <v>8</v>
      </c>
      <c r="C111" s="6">
        <v>25</v>
      </c>
      <c r="D111" s="6" t="s">
        <v>13</v>
      </c>
      <c r="E111" s="7">
        <v>44694</v>
      </c>
      <c r="F111" s="6" t="s">
        <v>12</v>
      </c>
      <c r="G111" s="12">
        <v>80700</v>
      </c>
      <c r="H111" s="6" t="s">
        <v>207</v>
      </c>
      <c r="I111" s="9">
        <f ca="1">(TODAY()-Staff[[#This Row],[Date Joined]])/365</f>
        <v>1.1095890410958904</v>
      </c>
      <c r="J111" s="12">
        <f ca="1">ROUNDUP(IF(Staff[[#This Row],[Tenure]]&gt;2,3%,2%)*Staff[[#This Row],[Salary]],0)</f>
        <v>1614</v>
      </c>
      <c r="K111" s="46">
        <v>4</v>
      </c>
    </row>
    <row r="112" spans="1:11" x14ac:dyDescent="0.25">
      <c r="A112" s="6" t="s">
        <v>185</v>
      </c>
      <c r="B112" s="6" t="s">
        <v>8</v>
      </c>
      <c r="C112" s="6">
        <v>27</v>
      </c>
      <c r="D112" s="6" t="s">
        <v>16</v>
      </c>
      <c r="E112" s="7">
        <v>44625</v>
      </c>
      <c r="F112" s="6" t="s">
        <v>12</v>
      </c>
      <c r="G112" s="12">
        <v>83750</v>
      </c>
      <c r="H112" s="6" t="s">
        <v>205</v>
      </c>
      <c r="I112" s="9">
        <f ca="1">(TODAY()-Staff[[#This Row],[Date Joined]])/365</f>
        <v>1.2986301369863014</v>
      </c>
      <c r="J112" s="12">
        <f ca="1">ROUNDUP(IF(Staff[[#This Row],[Tenure]]&gt;2,3%,2%)*Staff[[#This Row],[Salary]],0)</f>
        <v>1675</v>
      </c>
      <c r="K112" s="46">
        <v>3</v>
      </c>
    </row>
    <row r="113" spans="1:11" x14ac:dyDescent="0.25">
      <c r="A113" s="6" t="s">
        <v>92</v>
      </c>
      <c r="B113" s="6" t="s">
        <v>8</v>
      </c>
      <c r="C113" s="6">
        <v>27</v>
      </c>
      <c r="D113" s="6" t="s">
        <v>16</v>
      </c>
      <c r="E113" s="7">
        <v>44686</v>
      </c>
      <c r="F113" s="6" t="s">
        <v>12</v>
      </c>
      <c r="G113" s="12">
        <v>83750</v>
      </c>
      <c r="H113" s="6" t="s">
        <v>207</v>
      </c>
      <c r="I113" s="9">
        <f ca="1">(TODAY()-Staff[[#This Row],[Date Joined]])/365</f>
        <v>1.1315068493150684</v>
      </c>
      <c r="J113" s="12">
        <f ca="1">ROUNDUP(IF(Staff[[#This Row],[Tenure]]&gt;2,3%,2%)*Staff[[#This Row],[Salary]],0)</f>
        <v>1675</v>
      </c>
      <c r="K113" s="46">
        <v>3</v>
      </c>
    </row>
    <row r="114" spans="1:11" x14ac:dyDescent="0.25">
      <c r="A114" s="6" t="s">
        <v>122</v>
      </c>
      <c r="B114" s="6" t="s">
        <v>8</v>
      </c>
      <c r="C114" s="6">
        <v>34</v>
      </c>
      <c r="D114" s="6" t="s">
        <v>16</v>
      </c>
      <c r="E114" s="7">
        <v>44397</v>
      </c>
      <c r="F114" s="6" t="s">
        <v>21</v>
      </c>
      <c r="G114" s="12">
        <v>85000</v>
      </c>
      <c r="H114" s="6" t="s">
        <v>205</v>
      </c>
      <c r="I114" s="9">
        <f ca="1">(TODAY()-Staff[[#This Row],[Date Joined]])/365</f>
        <v>1.9232876712328768</v>
      </c>
      <c r="J114" s="12">
        <f ca="1">ROUNDUP(IF(Staff[[#This Row],[Tenure]]&gt;2,3%,2%)*Staff[[#This Row],[Salary]],0)</f>
        <v>1700</v>
      </c>
      <c r="K114" s="46">
        <v>3</v>
      </c>
    </row>
    <row r="115" spans="1:11" x14ac:dyDescent="0.25">
      <c r="A115" s="6" t="s">
        <v>28</v>
      </c>
      <c r="B115" s="6" t="s">
        <v>8</v>
      </c>
      <c r="C115" s="6">
        <v>34</v>
      </c>
      <c r="D115" s="6" t="s">
        <v>16</v>
      </c>
      <c r="E115" s="7">
        <v>44459</v>
      </c>
      <c r="F115" s="6" t="s">
        <v>21</v>
      </c>
      <c r="G115" s="12">
        <v>85000</v>
      </c>
      <c r="H115" s="6" t="s">
        <v>207</v>
      </c>
      <c r="I115" s="9">
        <f ca="1">(TODAY()-Staff[[#This Row],[Date Joined]])/365</f>
        <v>1.7534246575342465</v>
      </c>
      <c r="J115" s="12">
        <f ca="1">ROUNDUP(IF(Staff[[#This Row],[Tenure]]&gt;2,3%,2%)*Staff[[#This Row],[Salary]],0)</f>
        <v>1700</v>
      </c>
      <c r="K115" s="46">
        <v>3</v>
      </c>
    </row>
    <row r="116" spans="1:11" x14ac:dyDescent="0.25">
      <c r="A116" s="6" t="s">
        <v>181</v>
      </c>
      <c r="B116" s="6" t="s">
        <v>8</v>
      </c>
      <c r="C116" s="6">
        <v>33</v>
      </c>
      <c r="D116" s="6" t="s">
        <v>16</v>
      </c>
      <c r="E116" s="7">
        <v>44747</v>
      </c>
      <c r="F116" s="6" t="s">
        <v>21</v>
      </c>
      <c r="G116" s="12">
        <v>86570</v>
      </c>
      <c r="H116" s="6" t="s">
        <v>205</v>
      </c>
      <c r="I116" s="9">
        <f ca="1">(TODAY()-Staff[[#This Row],[Date Joined]])/365</f>
        <v>0.96438356164383565</v>
      </c>
      <c r="J116" s="12">
        <f ca="1">ROUNDUP(IF(Staff[[#This Row],[Tenure]]&gt;2,3%,2%)*Staff[[#This Row],[Salary]],0)</f>
        <v>1732</v>
      </c>
      <c r="K116" s="46">
        <v>3</v>
      </c>
    </row>
    <row r="117" spans="1:11" x14ac:dyDescent="0.25">
      <c r="A117" s="6" t="s">
        <v>88</v>
      </c>
      <c r="B117" s="6" t="s">
        <v>8</v>
      </c>
      <c r="C117" s="6">
        <v>33</v>
      </c>
      <c r="D117" s="6" t="s">
        <v>16</v>
      </c>
      <c r="E117" s="7">
        <v>44809</v>
      </c>
      <c r="F117" s="6" t="s">
        <v>21</v>
      </c>
      <c r="G117" s="12">
        <v>86570</v>
      </c>
      <c r="H117" s="6" t="s">
        <v>207</v>
      </c>
      <c r="I117" s="9">
        <f ca="1">(TODAY()-Staff[[#This Row],[Date Joined]])/365</f>
        <v>0.79452054794520544</v>
      </c>
      <c r="J117" s="12">
        <f ca="1">ROUNDUP(IF(Staff[[#This Row],[Tenure]]&gt;2,3%,2%)*Staff[[#This Row],[Salary]],0)</f>
        <v>1732</v>
      </c>
      <c r="K117" s="46">
        <v>3</v>
      </c>
    </row>
    <row r="118" spans="1:11" x14ac:dyDescent="0.25">
      <c r="A118" s="6" t="s">
        <v>166</v>
      </c>
      <c r="B118" s="6" t="s">
        <v>8</v>
      </c>
      <c r="C118" s="6">
        <v>40</v>
      </c>
      <c r="D118" s="6" t="s">
        <v>16</v>
      </c>
      <c r="E118" s="7">
        <v>44276</v>
      </c>
      <c r="F118" s="6" t="s">
        <v>12</v>
      </c>
      <c r="G118" s="12">
        <v>87620</v>
      </c>
      <c r="H118" s="6" t="s">
        <v>205</v>
      </c>
      <c r="I118" s="9">
        <f ca="1">(TODAY()-Staff[[#This Row],[Date Joined]])/365</f>
        <v>2.2547945205479452</v>
      </c>
      <c r="J118" s="12">
        <f ca="1">ROUNDUP(IF(Staff[[#This Row],[Tenure]]&gt;2,3%,2%)*Staff[[#This Row],[Salary]],0)</f>
        <v>2629</v>
      </c>
      <c r="K118" s="46">
        <v>3</v>
      </c>
    </row>
    <row r="119" spans="1:11" x14ac:dyDescent="0.25">
      <c r="A119" s="6" t="s">
        <v>74</v>
      </c>
      <c r="B119" s="6" t="s">
        <v>8</v>
      </c>
      <c r="C119" s="6">
        <v>40</v>
      </c>
      <c r="D119" s="6" t="s">
        <v>16</v>
      </c>
      <c r="E119" s="7">
        <v>44337</v>
      </c>
      <c r="F119" s="6" t="s">
        <v>12</v>
      </c>
      <c r="G119" s="12">
        <v>87620</v>
      </c>
      <c r="H119" s="6" t="s">
        <v>207</v>
      </c>
      <c r="I119" s="9">
        <f ca="1">(TODAY()-Staff[[#This Row],[Date Joined]])/365</f>
        <v>2.0876712328767124</v>
      </c>
      <c r="J119" s="12">
        <f ca="1">ROUNDUP(IF(Staff[[#This Row],[Tenure]]&gt;2,3%,2%)*Staff[[#This Row],[Salary]],0)</f>
        <v>2629</v>
      </c>
      <c r="K119" s="46">
        <v>3</v>
      </c>
    </row>
    <row r="120" spans="1:11" x14ac:dyDescent="0.25">
      <c r="A120" s="6" t="s">
        <v>118</v>
      </c>
      <c r="B120" s="6" t="s">
        <v>15</v>
      </c>
      <c r="C120" s="6">
        <v>37</v>
      </c>
      <c r="D120" s="6" t="s">
        <v>24</v>
      </c>
      <c r="E120" s="7">
        <v>44277</v>
      </c>
      <c r="F120" s="6" t="s">
        <v>12</v>
      </c>
      <c r="G120" s="12">
        <v>88050</v>
      </c>
      <c r="H120" s="6" t="s">
        <v>205</v>
      </c>
      <c r="I120" s="9">
        <f ca="1">(TODAY()-Staff[[#This Row],[Date Joined]])/365</f>
        <v>2.2520547945205478</v>
      </c>
      <c r="J120" s="12">
        <f ca="1">ROUNDUP(IF(Staff[[#This Row],[Tenure]]&gt;2,3%,2%)*Staff[[#This Row],[Salary]],0)</f>
        <v>2642</v>
      </c>
      <c r="K120" s="46">
        <v>2</v>
      </c>
    </row>
    <row r="121" spans="1:11" x14ac:dyDescent="0.25">
      <c r="A121" s="6" t="s">
        <v>23</v>
      </c>
      <c r="B121" s="6" t="s">
        <v>15</v>
      </c>
      <c r="C121" s="6">
        <v>37</v>
      </c>
      <c r="D121" s="6" t="s">
        <v>24</v>
      </c>
      <c r="E121" s="7">
        <v>44338</v>
      </c>
      <c r="F121" s="6" t="s">
        <v>12</v>
      </c>
      <c r="G121" s="12">
        <v>88050</v>
      </c>
      <c r="H121" s="6" t="s">
        <v>207</v>
      </c>
      <c r="I121" s="9">
        <f ca="1">(TODAY()-Staff[[#This Row],[Date Joined]])/365</f>
        <v>2.0849315068493151</v>
      </c>
      <c r="J121" s="12">
        <f ca="1">ROUNDUP(IF(Staff[[#This Row],[Tenure]]&gt;2,3%,2%)*Staff[[#This Row],[Salary]],0)</f>
        <v>2642</v>
      </c>
      <c r="K121" s="46">
        <v>2</v>
      </c>
    </row>
    <row r="122" spans="1:11" x14ac:dyDescent="0.25">
      <c r="A122" s="6" t="s">
        <v>112</v>
      </c>
      <c r="B122" s="6" t="s">
        <v>206</v>
      </c>
      <c r="C122" s="6">
        <v>27</v>
      </c>
      <c r="D122" s="6" t="s">
        <v>13</v>
      </c>
      <c r="E122" s="7">
        <v>44212</v>
      </c>
      <c r="F122" s="6" t="s">
        <v>12</v>
      </c>
      <c r="G122" s="12">
        <v>90700</v>
      </c>
      <c r="H122" s="6" t="s">
        <v>205</v>
      </c>
      <c r="I122" s="9">
        <f ca="1">(TODAY()-Staff[[#This Row],[Date Joined]])/365</f>
        <v>2.43013698630137</v>
      </c>
      <c r="J122" s="12">
        <f ca="1">ROUNDUP(IF(Staff[[#This Row],[Tenure]]&gt;2,3%,2%)*Staff[[#This Row],[Salary]],0)</f>
        <v>2721</v>
      </c>
      <c r="K122" s="46">
        <v>4</v>
      </c>
    </row>
    <row r="123" spans="1:11" x14ac:dyDescent="0.25">
      <c r="A123" s="6" t="s">
        <v>11</v>
      </c>
      <c r="B123" s="6" t="s">
        <v>206</v>
      </c>
      <c r="C123" s="6">
        <v>26</v>
      </c>
      <c r="D123" s="6" t="s">
        <v>13</v>
      </c>
      <c r="E123" s="7">
        <v>44271</v>
      </c>
      <c r="F123" s="6" t="s">
        <v>12</v>
      </c>
      <c r="G123" s="12">
        <v>90700</v>
      </c>
      <c r="H123" s="6" t="s">
        <v>207</v>
      </c>
      <c r="I123" s="9">
        <f ca="1">(TODAY()-Staff[[#This Row],[Date Joined]])/365</f>
        <v>2.2684931506849315</v>
      </c>
      <c r="J123" s="12">
        <f ca="1">ROUNDUP(IF(Staff[[#This Row],[Tenure]]&gt;2,3%,2%)*Staff[[#This Row],[Salary]],0)</f>
        <v>2721</v>
      </c>
      <c r="K123" s="46">
        <v>4</v>
      </c>
    </row>
    <row r="124" spans="1:11" x14ac:dyDescent="0.25">
      <c r="A124" s="6" t="s">
        <v>145</v>
      </c>
      <c r="B124" s="6" t="s">
        <v>206</v>
      </c>
      <c r="C124" s="6">
        <v>32</v>
      </c>
      <c r="D124" s="6" t="s">
        <v>16</v>
      </c>
      <c r="E124" s="7">
        <v>44713</v>
      </c>
      <c r="F124" s="6" t="s">
        <v>12</v>
      </c>
      <c r="G124" s="12">
        <v>91310</v>
      </c>
      <c r="H124" s="6" t="s">
        <v>205</v>
      </c>
      <c r="I124" s="9">
        <f ca="1">(TODAY()-Staff[[#This Row],[Date Joined]])/365</f>
        <v>1.0575342465753426</v>
      </c>
      <c r="J124" s="12">
        <f ca="1">ROUNDUP(IF(Staff[[#This Row],[Tenure]]&gt;2,3%,2%)*Staff[[#This Row],[Salary]],0)</f>
        <v>1827</v>
      </c>
      <c r="K124" s="46">
        <v>3</v>
      </c>
    </row>
    <row r="125" spans="1:11" x14ac:dyDescent="0.25">
      <c r="A125" s="6" t="s">
        <v>52</v>
      </c>
      <c r="B125" s="6" t="s">
        <v>206</v>
      </c>
      <c r="C125" s="6">
        <v>32</v>
      </c>
      <c r="D125" s="6" t="s">
        <v>16</v>
      </c>
      <c r="E125" s="7">
        <v>44774</v>
      </c>
      <c r="F125" s="6" t="s">
        <v>12</v>
      </c>
      <c r="G125" s="12">
        <v>91310</v>
      </c>
      <c r="H125" s="6" t="s">
        <v>207</v>
      </c>
      <c r="I125" s="9">
        <f ca="1">(TODAY()-Staff[[#This Row],[Date Joined]])/365</f>
        <v>0.8904109589041096</v>
      </c>
      <c r="J125" s="12">
        <f ca="1">ROUNDUP(IF(Staff[[#This Row],[Tenure]]&gt;2,3%,2%)*Staff[[#This Row],[Salary]],0)</f>
        <v>1827</v>
      </c>
      <c r="K125" s="46">
        <v>3</v>
      </c>
    </row>
    <row r="126" spans="1:11" x14ac:dyDescent="0.25">
      <c r="A126" s="6" t="s">
        <v>160</v>
      </c>
      <c r="B126" s="6" t="s">
        <v>15</v>
      </c>
      <c r="C126" s="6">
        <v>27</v>
      </c>
      <c r="D126" s="6" t="s">
        <v>13</v>
      </c>
      <c r="E126" s="7">
        <v>44174</v>
      </c>
      <c r="F126" s="6" t="s">
        <v>21</v>
      </c>
      <c r="G126" s="12">
        <v>91650</v>
      </c>
      <c r="H126" s="6" t="s">
        <v>205</v>
      </c>
      <c r="I126" s="9">
        <f ca="1">(TODAY()-Staff[[#This Row],[Date Joined]])/365</f>
        <v>2.5342465753424657</v>
      </c>
      <c r="J126" s="12">
        <f ca="1">ROUNDUP(IF(Staff[[#This Row],[Tenure]]&gt;2,3%,2%)*Staff[[#This Row],[Salary]],0)</f>
        <v>2750</v>
      </c>
      <c r="K126" s="46">
        <v>4</v>
      </c>
    </row>
    <row r="127" spans="1:11" x14ac:dyDescent="0.25">
      <c r="A127" s="6" t="s">
        <v>68</v>
      </c>
      <c r="B127" s="6" t="s">
        <v>15</v>
      </c>
      <c r="C127" s="6">
        <v>27</v>
      </c>
      <c r="D127" s="6" t="s">
        <v>13</v>
      </c>
      <c r="E127" s="7">
        <v>44236</v>
      </c>
      <c r="F127" s="6" t="s">
        <v>21</v>
      </c>
      <c r="G127" s="12">
        <v>91650</v>
      </c>
      <c r="H127" s="6" t="s">
        <v>207</v>
      </c>
      <c r="I127" s="9">
        <f ca="1">(TODAY()-Staff[[#This Row],[Date Joined]])/365</f>
        <v>2.3643835616438356</v>
      </c>
      <c r="J127" s="12">
        <f ca="1">ROUNDUP(IF(Staff[[#This Row],[Tenure]]&gt;2,3%,2%)*Staff[[#This Row],[Salary]],0)</f>
        <v>2750</v>
      </c>
      <c r="K127" s="46">
        <v>4</v>
      </c>
    </row>
    <row r="128" spans="1:11" x14ac:dyDescent="0.25">
      <c r="A128" s="6" t="s">
        <v>195</v>
      </c>
      <c r="B128" s="6" t="s">
        <v>8</v>
      </c>
      <c r="C128" s="6">
        <v>34</v>
      </c>
      <c r="D128" s="6" t="s">
        <v>16</v>
      </c>
      <c r="E128" s="7">
        <v>44383</v>
      </c>
      <c r="F128" s="6" t="s">
        <v>21</v>
      </c>
      <c r="G128" s="12">
        <v>92450</v>
      </c>
      <c r="H128" s="6" t="s">
        <v>205</v>
      </c>
      <c r="I128" s="9">
        <f ca="1">(TODAY()-Staff[[#This Row],[Date Joined]])/365</f>
        <v>1.9616438356164383</v>
      </c>
      <c r="J128" s="12">
        <f ca="1">ROUNDUP(IF(Staff[[#This Row],[Tenure]]&gt;2,3%,2%)*Staff[[#This Row],[Salary]],0)</f>
        <v>1849</v>
      </c>
      <c r="K128" s="46">
        <v>3</v>
      </c>
    </row>
    <row r="129" spans="1:11" x14ac:dyDescent="0.25">
      <c r="A129" s="6" t="s">
        <v>102</v>
      </c>
      <c r="B129" s="6" t="s">
        <v>8</v>
      </c>
      <c r="C129" s="6">
        <v>34</v>
      </c>
      <c r="D129" s="6" t="s">
        <v>16</v>
      </c>
      <c r="E129" s="7">
        <v>44445</v>
      </c>
      <c r="F129" s="6" t="s">
        <v>21</v>
      </c>
      <c r="G129" s="12">
        <v>92450</v>
      </c>
      <c r="H129" s="6" t="s">
        <v>207</v>
      </c>
      <c r="I129" s="9">
        <f ca="1">(TODAY()-Staff[[#This Row],[Date Joined]])/365</f>
        <v>1.7917808219178082</v>
      </c>
      <c r="J129" s="12">
        <f ca="1">ROUNDUP(IF(Staff[[#This Row],[Tenure]]&gt;2,3%,2%)*Staff[[#This Row],[Salary]],0)</f>
        <v>1849</v>
      </c>
      <c r="K129" s="46">
        <v>3</v>
      </c>
    </row>
    <row r="130" spans="1:11" x14ac:dyDescent="0.25">
      <c r="A130" s="6" t="s">
        <v>169</v>
      </c>
      <c r="B130" s="6" t="s">
        <v>8</v>
      </c>
      <c r="C130" s="6">
        <v>25</v>
      </c>
      <c r="D130" s="6" t="s">
        <v>16</v>
      </c>
      <c r="E130" s="7">
        <v>44144</v>
      </c>
      <c r="F130" s="6" t="s">
        <v>19</v>
      </c>
      <c r="G130" s="12">
        <v>92700</v>
      </c>
      <c r="H130" s="6" t="s">
        <v>205</v>
      </c>
      <c r="I130" s="9">
        <f ca="1">(TODAY()-Staff[[#This Row],[Date Joined]])/365</f>
        <v>2.6164383561643834</v>
      </c>
      <c r="J130" s="12">
        <f ca="1">ROUNDUP(IF(Staff[[#This Row],[Tenure]]&gt;2,3%,2%)*Staff[[#This Row],[Salary]],0)</f>
        <v>2781</v>
      </c>
      <c r="K130" s="46">
        <v>3</v>
      </c>
    </row>
    <row r="131" spans="1:11" x14ac:dyDescent="0.25">
      <c r="A131" s="6" t="s">
        <v>77</v>
      </c>
      <c r="B131" s="6" t="s">
        <v>8</v>
      </c>
      <c r="C131" s="6">
        <v>25</v>
      </c>
      <c r="D131" s="6" t="s">
        <v>16</v>
      </c>
      <c r="E131" s="7">
        <v>44205</v>
      </c>
      <c r="F131" s="6" t="s">
        <v>19</v>
      </c>
      <c r="G131" s="12">
        <v>92700</v>
      </c>
      <c r="H131" s="6" t="s">
        <v>207</v>
      </c>
      <c r="I131" s="9">
        <f ca="1">(TODAY()-Staff[[#This Row],[Date Joined]])/365</f>
        <v>2.4493150684931506</v>
      </c>
      <c r="J131" s="12">
        <f ca="1">ROUNDUP(IF(Staff[[#This Row],[Tenure]]&gt;2,3%,2%)*Staff[[#This Row],[Salary]],0)</f>
        <v>2781</v>
      </c>
      <c r="K131" s="46">
        <v>3</v>
      </c>
    </row>
    <row r="132" spans="1:11" x14ac:dyDescent="0.25">
      <c r="A132" s="6" t="s">
        <v>163</v>
      </c>
      <c r="B132" s="6" t="s">
        <v>8</v>
      </c>
      <c r="C132" s="6">
        <v>33</v>
      </c>
      <c r="D132" s="6" t="s">
        <v>16</v>
      </c>
      <c r="E132" s="7">
        <v>44129</v>
      </c>
      <c r="F132" s="6" t="s">
        <v>12</v>
      </c>
      <c r="G132" s="12">
        <v>96140</v>
      </c>
      <c r="H132" s="6" t="s">
        <v>205</v>
      </c>
      <c r="I132" s="9">
        <f ca="1">(TODAY()-Staff[[#This Row],[Date Joined]])/365</f>
        <v>2.6575342465753424</v>
      </c>
      <c r="J132" s="12">
        <f ca="1">ROUNDUP(IF(Staff[[#This Row],[Tenure]]&gt;2,3%,2%)*Staff[[#This Row],[Salary]],0)</f>
        <v>2885</v>
      </c>
      <c r="K132" s="46">
        <v>3</v>
      </c>
    </row>
    <row r="133" spans="1:11" x14ac:dyDescent="0.25">
      <c r="A133" s="6" t="s">
        <v>71</v>
      </c>
      <c r="B133" s="6" t="s">
        <v>8</v>
      </c>
      <c r="C133" s="6">
        <v>33</v>
      </c>
      <c r="D133" s="6" t="s">
        <v>16</v>
      </c>
      <c r="E133" s="7">
        <v>44190</v>
      </c>
      <c r="F133" s="6" t="s">
        <v>12</v>
      </c>
      <c r="G133" s="12">
        <v>96140</v>
      </c>
      <c r="H133" s="6" t="s">
        <v>207</v>
      </c>
      <c r="I133" s="9">
        <f ca="1">(TODAY()-Staff[[#This Row],[Date Joined]])/365</f>
        <v>2.4904109589041097</v>
      </c>
      <c r="J133" s="12">
        <f ca="1">ROUNDUP(IF(Staff[[#This Row],[Tenure]]&gt;2,3%,2%)*Staff[[#This Row],[Salary]],0)</f>
        <v>2885</v>
      </c>
      <c r="K133" s="46">
        <v>3</v>
      </c>
    </row>
    <row r="134" spans="1:11" x14ac:dyDescent="0.25">
      <c r="A134" s="6" t="s">
        <v>177</v>
      </c>
      <c r="B134" s="6" t="s">
        <v>15</v>
      </c>
      <c r="C134" s="6">
        <v>30</v>
      </c>
      <c r="D134" s="6" t="s">
        <v>16</v>
      </c>
      <c r="E134" s="7">
        <v>44544</v>
      </c>
      <c r="F134" s="6" t="s">
        <v>21</v>
      </c>
      <c r="G134" s="12">
        <v>96800</v>
      </c>
      <c r="H134" s="6" t="s">
        <v>205</v>
      </c>
      <c r="I134" s="9">
        <f ca="1">(TODAY()-Staff[[#This Row],[Date Joined]])/365</f>
        <v>1.5205479452054795</v>
      </c>
      <c r="J134" s="12">
        <f ca="1">ROUNDUP(IF(Staff[[#This Row],[Tenure]]&gt;2,3%,2%)*Staff[[#This Row],[Salary]],0)</f>
        <v>1936</v>
      </c>
      <c r="K134" s="46">
        <v>3</v>
      </c>
    </row>
    <row r="135" spans="1:11" x14ac:dyDescent="0.25">
      <c r="A135" s="6" t="s">
        <v>85</v>
      </c>
      <c r="B135" s="6" t="s">
        <v>15</v>
      </c>
      <c r="C135" s="6">
        <v>30</v>
      </c>
      <c r="D135" s="6" t="s">
        <v>16</v>
      </c>
      <c r="E135" s="7">
        <v>44606</v>
      </c>
      <c r="F135" s="6" t="s">
        <v>21</v>
      </c>
      <c r="G135" s="12">
        <v>96800</v>
      </c>
      <c r="H135" s="6" t="s">
        <v>207</v>
      </c>
      <c r="I135" s="9">
        <f ca="1">(TODAY()-Staff[[#This Row],[Date Joined]])/365</f>
        <v>1.3506849315068492</v>
      </c>
      <c r="J135" s="12">
        <f ca="1">ROUNDUP(IF(Staff[[#This Row],[Tenure]]&gt;2,3%,2%)*Staff[[#This Row],[Salary]],0)</f>
        <v>1936</v>
      </c>
      <c r="K135" s="46">
        <v>3</v>
      </c>
    </row>
    <row r="136" spans="1:11" x14ac:dyDescent="0.25">
      <c r="A136" s="6" t="s">
        <v>198</v>
      </c>
      <c r="B136" s="6" t="s">
        <v>15</v>
      </c>
      <c r="C136" s="6">
        <v>40</v>
      </c>
      <c r="D136" s="6" t="s">
        <v>16</v>
      </c>
      <c r="E136" s="7">
        <v>44204</v>
      </c>
      <c r="F136" s="6" t="s">
        <v>9</v>
      </c>
      <c r="G136" s="12">
        <v>99750</v>
      </c>
      <c r="H136" s="6" t="s">
        <v>205</v>
      </c>
      <c r="I136" s="9">
        <f ca="1">(TODAY()-Staff[[#This Row],[Date Joined]])/365</f>
        <v>2.452054794520548</v>
      </c>
      <c r="J136" s="12">
        <f ca="1">ROUNDUP(IF(Staff[[#This Row],[Tenure]]&gt;2,3%,2%)*Staff[[#This Row],[Salary]],0)</f>
        <v>2993</v>
      </c>
      <c r="K136" s="46">
        <v>3</v>
      </c>
    </row>
    <row r="137" spans="1:11" x14ac:dyDescent="0.25">
      <c r="A137" s="6" t="s">
        <v>105</v>
      </c>
      <c r="B137" s="6" t="s">
        <v>15</v>
      </c>
      <c r="C137" s="6">
        <v>40</v>
      </c>
      <c r="D137" s="6" t="s">
        <v>16</v>
      </c>
      <c r="E137" s="7">
        <v>44263</v>
      </c>
      <c r="F137" s="6" t="s">
        <v>9</v>
      </c>
      <c r="G137" s="12">
        <v>99750</v>
      </c>
      <c r="H137" s="6" t="s">
        <v>207</v>
      </c>
      <c r="I137" s="9">
        <f ca="1">(TODAY()-Staff[[#This Row],[Date Joined]])/365</f>
        <v>2.2904109589041095</v>
      </c>
      <c r="J137" s="12">
        <f ca="1">ROUNDUP(IF(Staff[[#This Row],[Tenure]]&gt;2,3%,2%)*Staff[[#This Row],[Salary]],0)</f>
        <v>2993</v>
      </c>
      <c r="K137" s="46">
        <v>3</v>
      </c>
    </row>
    <row r="138" spans="1:11" x14ac:dyDescent="0.25">
      <c r="A138" s="6" t="s">
        <v>200</v>
      </c>
      <c r="B138" s="6" t="s">
        <v>8</v>
      </c>
      <c r="C138" s="6">
        <v>28</v>
      </c>
      <c r="D138" s="6" t="s">
        <v>16</v>
      </c>
      <c r="E138" s="7">
        <v>44571</v>
      </c>
      <c r="F138" s="6" t="s">
        <v>9</v>
      </c>
      <c r="G138" s="12">
        <v>99970</v>
      </c>
      <c r="H138" s="6" t="s">
        <v>205</v>
      </c>
      <c r="I138" s="9">
        <f ca="1">(TODAY()-Staff[[#This Row],[Date Joined]])/365</f>
        <v>1.4465753424657535</v>
      </c>
      <c r="J138" s="12">
        <f ca="1">ROUNDUP(IF(Staff[[#This Row],[Tenure]]&gt;2,3%,2%)*Staff[[#This Row],[Salary]],0)</f>
        <v>2000</v>
      </c>
      <c r="K138" s="46">
        <v>3</v>
      </c>
    </row>
    <row r="139" spans="1:11" x14ac:dyDescent="0.25">
      <c r="A139" s="6" t="s">
        <v>107</v>
      </c>
      <c r="B139" s="6" t="s">
        <v>8</v>
      </c>
      <c r="C139" s="6">
        <v>28</v>
      </c>
      <c r="D139" s="6" t="s">
        <v>16</v>
      </c>
      <c r="E139" s="7">
        <v>44630</v>
      </c>
      <c r="F139" s="6" t="s">
        <v>9</v>
      </c>
      <c r="G139" s="12">
        <v>99970</v>
      </c>
      <c r="H139" s="6" t="s">
        <v>207</v>
      </c>
      <c r="I139" s="9">
        <f ca="1">(TODAY()-Staff[[#This Row],[Date Joined]])/365</f>
        <v>1.284931506849315</v>
      </c>
      <c r="J139" s="12">
        <f ca="1">ROUNDUP(IF(Staff[[#This Row],[Tenure]]&gt;2,3%,2%)*Staff[[#This Row],[Salary]],0)</f>
        <v>2000</v>
      </c>
      <c r="K139" s="46">
        <v>3</v>
      </c>
    </row>
    <row r="140" spans="1:11" x14ac:dyDescent="0.25">
      <c r="A140" s="6" t="s">
        <v>196</v>
      </c>
      <c r="B140" s="6" t="s">
        <v>15</v>
      </c>
      <c r="C140" s="6">
        <v>24</v>
      </c>
      <c r="D140" s="6" t="s">
        <v>16</v>
      </c>
      <c r="E140" s="7">
        <v>44625</v>
      </c>
      <c r="F140" s="6" t="s">
        <v>12</v>
      </c>
      <c r="G140" s="12">
        <v>100420</v>
      </c>
      <c r="H140" s="6" t="s">
        <v>205</v>
      </c>
      <c r="I140" s="9">
        <f ca="1">(TODAY()-Staff[[#This Row],[Date Joined]])/365</f>
        <v>1.2986301369863014</v>
      </c>
      <c r="J140" s="12">
        <f ca="1">ROUNDUP(IF(Staff[[#This Row],[Tenure]]&gt;2,3%,2%)*Staff[[#This Row],[Salary]],0)</f>
        <v>2009</v>
      </c>
      <c r="K140" s="46">
        <v>3</v>
      </c>
    </row>
    <row r="141" spans="1:11" x14ac:dyDescent="0.25">
      <c r="A141" s="6" t="s">
        <v>103</v>
      </c>
      <c r="B141" s="6" t="s">
        <v>15</v>
      </c>
      <c r="C141" s="6">
        <v>24</v>
      </c>
      <c r="D141" s="6" t="s">
        <v>16</v>
      </c>
      <c r="E141" s="7">
        <v>44686</v>
      </c>
      <c r="F141" s="6" t="s">
        <v>12</v>
      </c>
      <c r="G141" s="12">
        <v>100420</v>
      </c>
      <c r="H141" s="6" t="s">
        <v>207</v>
      </c>
      <c r="I141" s="9">
        <f ca="1">(TODAY()-Staff[[#This Row],[Date Joined]])/365</f>
        <v>1.1315068493150684</v>
      </c>
      <c r="J141" s="12">
        <f ca="1">ROUNDUP(IF(Staff[[#This Row],[Tenure]]&gt;2,3%,2%)*Staff[[#This Row],[Salary]],0)</f>
        <v>2009</v>
      </c>
      <c r="K141" s="46">
        <v>3</v>
      </c>
    </row>
    <row r="142" spans="1:11" x14ac:dyDescent="0.25">
      <c r="A142" s="6" t="s">
        <v>143</v>
      </c>
      <c r="B142" s="6" t="s">
        <v>15</v>
      </c>
      <c r="C142" s="6">
        <v>31</v>
      </c>
      <c r="D142" s="6" t="s">
        <v>16</v>
      </c>
      <c r="E142" s="7">
        <v>44663</v>
      </c>
      <c r="F142" s="6" t="s">
        <v>9</v>
      </c>
      <c r="G142" s="12">
        <v>103550</v>
      </c>
      <c r="H142" s="6" t="s">
        <v>205</v>
      </c>
      <c r="I142" s="9">
        <f ca="1">(TODAY()-Staff[[#This Row],[Date Joined]])/365</f>
        <v>1.1945205479452055</v>
      </c>
      <c r="J142" s="12">
        <f ca="1">ROUNDUP(IF(Staff[[#This Row],[Tenure]]&gt;2,3%,2%)*Staff[[#This Row],[Salary]],0)</f>
        <v>2071</v>
      </c>
      <c r="K142" s="46">
        <v>3</v>
      </c>
    </row>
    <row r="143" spans="1:11" x14ac:dyDescent="0.25">
      <c r="A143" s="6" t="s">
        <v>50</v>
      </c>
      <c r="B143" s="6" t="s">
        <v>15</v>
      </c>
      <c r="C143" s="6">
        <v>31</v>
      </c>
      <c r="D143" s="6" t="s">
        <v>16</v>
      </c>
      <c r="E143" s="7">
        <v>44724</v>
      </c>
      <c r="F143" s="6" t="s">
        <v>9</v>
      </c>
      <c r="G143" s="12">
        <v>103550</v>
      </c>
      <c r="H143" s="6" t="s">
        <v>207</v>
      </c>
      <c r="I143" s="9">
        <f ca="1">(TODAY()-Staff[[#This Row],[Date Joined]])/365</f>
        <v>1.0273972602739727</v>
      </c>
      <c r="J143" s="12">
        <f ca="1">ROUNDUP(IF(Staff[[#This Row],[Tenure]]&gt;2,3%,2%)*Staff[[#This Row],[Salary]],0)</f>
        <v>2071</v>
      </c>
      <c r="K143" s="46">
        <v>3</v>
      </c>
    </row>
    <row r="144" spans="1:11" x14ac:dyDescent="0.25">
      <c r="A144" s="6" t="s">
        <v>189</v>
      </c>
      <c r="B144" s="6" t="s">
        <v>8</v>
      </c>
      <c r="C144" s="6">
        <v>28</v>
      </c>
      <c r="D144" s="6" t="s">
        <v>16</v>
      </c>
      <c r="E144" s="7">
        <v>44590</v>
      </c>
      <c r="F144" s="6" t="s">
        <v>9</v>
      </c>
      <c r="G144" s="12">
        <v>104120</v>
      </c>
      <c r="H144" s="6" t="s">
        <v>205</v>
      </c>
      <c r="I144" s="9">
        <f ca="1">(TODAY()-Staff[[#This Row],[Date Joined]])/365</f>
        <v>1.3945205479452054</v>
      </c>
      <c r="J144" s="12">
        <f ca="1">ROUNDUP(IF(Staff[[#This Row],[Tenure]]&gt;2,3%,2%)*Staff[[#This Row],[Salary]],0)</f>
        <v>2083</v>
      </c>
      <c r="K144" s="46">
        <v>3</v>
      </c>
    </row>
    <row r="145" spans="1:11" x14ac:dyDescent="0.25">
      <c r="A145" s="6" t="s">
        <v>96</v>
      </c>
      <c r="B145" s="6" t="s">
        <v>8</v>
      </c>
      <c r="C145" s="6">
        <v>28</v>
      </c>
      <c r="D145" s="6" t="s">
        <v>16</v>
      </c>
      <c r="E145" s="7">
        <v>44649</v>
      </c>
      <c r="F145" s="6" t="s">
        <v>9</v>
      </c>
      <c r="G145" s="12">
        <v>104120</v>
      </c>
      <c r="H145" s="6" t="s">
        <v>207</v>
      </c>
      <c r="I145" s="9">
        <f ca="1">(TODAY()-Staff[[#This Row],[Date Joined]])/365</f>
        <v>1.2328767123287672</v>
      </c>
      <c r="J145" s="12">
        <f ca="1">ROUNDUP(IF(Staff[[#This Row],[Tenure]]&gt;2,3%,2%)*Staff[[#This Row],[Salary]],0)</f>
        <v>2083</v>
      </c>
      <c r="K145" s="46">
        <v>3</v>
      </c>
    </row>
    <row r="146" spans="1:11" x14ac:dyDescent="0.25">
      <c r="A146" s="6" t="s">
        <v>194</v>
      </c>
      <c r="B146" s="6" t="s">
        <v>206</v>
      </c>
      <c r="C146" s="6">
        <v>40</v>
      </c>
      <c r="D146" s="6" t="s">
        <v>16</v>
      </c>
      <c r="E146" s="7">
        <v>44320</v>
      </c>
      <c r="F146" s="6" t="s">
        <v>12</v>
      </c>
      <c r="G146" s="12">
        <v>104410</v>
      </c>
      <c r="H146" s="6" t="s">
        <v>205</v>
      </c>
      <c r="I146" s="9">
        <f ca="1">(TODAY()-Staff[[#This Row],[Date Joined]])/365</f>
        <v>2.1342465753424658</v>
      </c>
      <c r="J146" s="12">
        <f ca="1">ROUNDUP(IF(Staff[[#This Row],[Tenure]]&gt;2,3%,2%)*Staff[[#This Row],[Salary]],0)</f>
        <v>3133</v>
      </c>
      <c r="K146" s="46">
        <v>3</v>
      </c>
    </row>
    <row r="147" spans="1:11" x14ac:dyDescent="0.25">
      <c r="A147" s="6" t="s">
        <v>101</v>
      </c>
      <c r="B147" s="6" t="s">
        <v>8</v>
      </c>
      <c r="C147" s="6">
        <v>40</v>
      </c>
      <c r="D147" s="6" t="s">
        <v>16</v>
      </c>
      <c r="E147" s="7">
        <v>44381</v>
      </c>
      <c r="F147" s="6" t="s">
        <v>12</v>
      </c>
      <c r="G147" s="12">
        <v>104410</v>
      </c>
      <c r="H147" s="6" t="s">
        <v>207</v>
      </c>
      <c r="I147" s="9">
        <f ca="1">(TODAY()-Staff[[#This Row],[Date Joined]])/365</f>
        <v>1.9671232876712328</v>
      </c>
      <c r="J147" s="12">
        <f ca="1">ROUNDUP(IF(Staff[[#This Row],[Tenure]]&gt;2,3%,2%)*Staff[[#This Row],[Salary]],0)</f>
        <v>2089</v>
      </c>
      <c r="K147" s="46">
        <v>3</v>
      </c>
    </row>
    <row r="148" spans="1:11" x14ac:dyDescent="0.25">
      <c r="A148" s="6" t="s">
        <v>136</v>
      </c>
      <c r="B148" s="6" t="s">
        <v>8</v>
      </c>
      <c r="C148" s="6">
        <v>28</v>
      </c>
      <c r="D148" s="6" t="s">
        <v>16</v>
      </c>
      <c r="E148" s="7">
        <v>44425</v>
      </c>
      <c r="F148" s="6" t="s">
        <v>9</v>
      </c>
      <c r="G148" s="12">
        <v>104770</v>
      </c>
      <c r="H148" s="6" t="s">
        <v>205</v>
      </c>
      <c r="I148" s="9">
        <f ca="1">(TODAY()-Staff[[#This Row],[Date Joined]])/365</f>
        <v>1.8465753424657534</v>
      </c>
      <c r="J148" s="12">
        <f ca="1">ROUNDUP(IF(Staff[[#This Row],[Tenure]]&gt;2,3%,2%)*Staff[[#This Row],[Salary]],0)</f>
        <v>2096</v>
      </c>
      <c r="K148" s="46">
        <v>3</v>
      </c>
    </row>
    <row r="149" spans="1:11" x14ac:dyDescent="0.25">
      <c r="A149" s="6" t="s">
        <v>43</v>
      </c>
      <c r="B149" s="6" t="s">
        <v>8</v>
      </c>
      <c r="C149" s="6">
        <v>28</v>
      </c>
      <c r="D149" s="6" t="s">
        <v>16</v>
      </c>
      <c r="E149" s="7">
        <v>44486</v>
      </c>
      <c r="F149" s="6" t="s">
        <v>9</v>
      </c>
      <c r="G149" s="12">
        <v>104770</v>
      </c>
      <c r="H149" s="6" t="s">
        <v>207</v>
      </c>
      <c r="I149" s="9">
        <f ca="1">(TODAY()-Staff[[#This Row],[Date Joined]])/365</f>
        <v>1.6794520547945206</v>
      </c>
      <c r="J149" s="12">
        <f ca="1">ROUNDUP(IF(Staff[[#This Row],[Tenure]]&gt;2,3%,2%)*Staff[[#This Row],[Salary]],0)</f>
        <v>2096</v>
      </c>
      <c r="K149" s="46">
        <v>3</v>
      </c>
    </row>
    <row r="150" spans="1:11" x14ac:dyDescent="0.25">
      <c r="A150" s="6" t="s">
        <v>161</v>
      </c>
      <c r="B150" s="6" t="s">
        <v>15</v>
      </c>
      <c r="C150" s="6">
        <v>23</v>
      </c>
      <c r="D150" s="6" t="s">
        <v>16</v>
      </c>
      <c r="E150" s="7">
        <v>44378</v>
      </c>
      <c r="F150" s="6" t="s">
        <v>9</v>
      </c>
      <c r="G150" s="12">
        <v>106460</v>
      </c>
      <c r="H150" s="6" t="s">
        <v>205</v>
      </c>
      <c r="I150" s="9">
        <f ca="1">(TODAY()-Staff[[#This Row],[Date Joined]])/365</f>
        <v>1.9753424657534246</v>
      </c>
      <c r="J150" s="12">
        <f ca="1">ROUNDUP(IF(Staff[[#This Row],[Tenure]]&gt;2,3%,2%)*Staff[[#This Row],[Salary]],0)</f>
        <v>2130</v>
      </c>
      <c r="K150" s="46">
        <v>3</v>
      </c>
    </row>
    <row r="151" spans="1:11" x14ac:dyDescent="0.25">
      <c r="A151" s="6" t="s">
        <v>69</v>
      </c>
      <c r="B151" s="6" t="s">
        <v>15</v>
      </c>
      <c r="C151" s="6">
        <v>23</v>
      </c>
      <c r="D151" s="6" t="s">
        <v>16</v>
      </c>
      <c r="E151" s="7">
        <v>44440</v>
      </c>
      <c r="F151" s="6" t="s">
        <v>9</v>
      </c>
      <c r="G151" s="12">
        <v>106460</v>
      </c>
      <c r="H151" s="6" t="s">
        <v>207</v>
      </c>
      <c r="I151" s="9">
        <f ca="1">(TODAY()-Staff[[#This Row],[Date Joined]])/365</f>
        <v>1.8054794520547945</v>
      </c>
      <c r="J151" s="12">
        <f ca="1">ROUNDUP(IF(Staff[[#This Row],[Tenure]]&gt;2,3%,2%)*Staff[[#This Row],[Salary]],0)</f>
        <v>2130</v>
      </c>
      <c r="K151" s="46">
        <v>3</v>
      </c>
    </row>
    <row r="152" spans="1:11" x14ac:dyDescent="0.25">
      <c r="A152" s="6" t="s">
        <v>117</v>
      </c>
      <c r="B152" s="6" t="s">
        <v>15</v>
      </c>
      <c r="C152" s="6">
        <v>20</v>
      </c>
      <c r="D152" s="6" t="s">
        <v>16</v>
      </c>
      <c r="E152" s="7">
        <v>44397</v>
      </c>
      <c r="F152" s="6" t="s">
        <v>12</v>
      </c>
      <c r="G152" s="12">
        <v>107700</v>
      </c>
      <c r="H152" s="6" t="s">
        <v>205</v>
      </c>
      <c r="I152" s="9">
        <f ca="1">(TODAY()-Staff[[#This Row],[Date Joined]])/365</f>
        <v>1.9232876712328768</v>
      </c>
      <c r="J152" s="12">
        <f ca="1">ROUNDUP(IF(Staff[[#This Row],[Tenure]]&gt;2,3%,2%)*Staff[[#This Row],[Salary]],0)</f>
        <v>2154</v>
      </c>
      <c r="K152" s="46">
        <v>3</v>
      </c>
    </row>
    <row r="153" spans="1:11" x14ac:dyDescent="0.25">
      <c r="A153" s="6" t="s">
        <v>22</v>
      </c>
      <c r="B153" s="6" t="s">
        <v>15</v>
      </c>
      <c r="C153" s="6">
        <v>20</v>
      </c>
      <c r="D153" s="6" t="s">
        <v>16</v>
      </c>
      <c r="E153" s="7">
        <v>44459</v>
      </c>
      <c r="F153" s="6" t="s">
        <v>12</v>
      </c>
      <c r="G153" s="12">
        <v>107700</v>
      </c>
      <c r="H153" s="6" t="s">
        <v>207</v>
      </c>
      <c r="I153" s="9">
        <f ca="1">(TODAY()-Staff[[#This Row],[Date Joined]])/365</f>
        <v>1.7534246575342465</v>
      </c>
      <c r="J153" s="12">
        <f ca="1">ROUNDUP(IF(Staff[[#This Row],[Tenure]]&gt;2,3%,2%)*Staff[[#This Row],[Salary]],0)</f>
        <v>2154</v>
      </c>
      <c r="K153" s="46">
        <v>3</v>
      </c>
    </row>
    <row r="154" spans="1:11" x14ac:dyDescent="0.25">
      <c r="A154" s="6" t="s">
        <v>127</v>
      </c>
      <c r="B154" s="6" t="s">
        <v>8</v>
      </c>
      <c r="C154" s="6">
        <v>38</v>
      </c>
      <c r="D154" s="6" t="s">
        <v>10</v>
      </c>
      <c r="E154" s="7">
        <v>44316</v>
      </c>
      <c r="F154" s="6" t="s">
        <v>19</v>
      </c>
      <c r="G154" s="12">
        <v>109160</v>
      </c>
      <c r="H154" s="6" t="s">
        <v>205</v>
      </c>
      <c r="I154" s="9">
        <f ca="1">(TODAY()-Staff[[#This Row],[Date Joined]])/365</f>
        <v>2.1452054794520548</v>
      </c>
      <c r="J154" s="12">
        <f ca="1">ROUNDUP(IF(Staff[[#This Row],[Tenure]]&gt;2,3%,2%)*Staff[[#This Row],[Salary]],0)</f>
        <v>3275</v>
      </c>
      <c r="K154" s="46">
        <v>5</v>
      </c>
    </row>
    <row r="155" spans="1:11" x14ac:dyDescent="0.25">
      <c r="A155" s="6" t="s">
        <v>33</v>
      </c>
      <c r="B155" s="6" t="s">
        <v>8</v>
      </c>
      <c r="C155" s="6">
        <v>38</v>
      </c>
      <c r="D155" s="6" t="s">
        <v>10</v>
      </c>
      <c r="E155" s="7">
        <v>44377</v>
      </c>
      <c r="F155" s="6" t="s">
        <v>19</v>
      </c>
      <c r="G155" s="12">
        <v>109160</v>
      </c>
      <c r="H155" s="6" t="s">
        <v>207</v>
      </c>
      <c r="I155" s="9">
        <f ca="1">(TODAY()-Staff[[#This Row],[Date Joined]])/365</f>
        <v>1.978082191780822</v>
      </c>
      <c r="J155" s="12">
        <f ca="1">ROUNDUP(IF(Staff[[#This Row],[Tenure]]&gt;2,3%,2%)*Staff[[#This Row],[Salary]],0)</f>
        <v>2184</v>
      </c>
      <c r="K155" s="46">
        <v>5</v>
      </c>
    </row>
    <row r="156" spans="1:11" x14ac:dyDescent="0.25">
      <c r="A156" s="6" t="s">
        <v>128</v>
      </c>
      <c r="B156" s="6" t="s">
        <v>15</v>
      </c>
      <c r="C156" s="6">
        <v>25</v>
      </c>
      <c r="D156" s="6" t="s">
        <v>13</v>
      </c>
      <c r="E156" s="7">
        <v>44665</v>
      </c>
      <c r="F156" s="6" t="s">
        <v>9</v>
      </c>
      <c r="G156" s="12">
        <v>109190</v>
      </c>
      <c r="H156" s="6" t="s">
        <v>205</v>
      </c>
      <c r="I156" s="9">
        <f ca="1">(TODAY()-Staff[[#This Row],[Date Joined]])/365</f>
        <v>1.189041095890411</v>
      </c>
      <c r="J156" s="12">
        <f ca="1">ROUNDUP(IF(Staff[[#This Row],[Tenure]]&gt;2,3%,2%)*Staff[[#This Row],[Salary]],0)</f>
        <v>2184</v>
      </c>
      <c r="K156" s="46">
        <v>4</v>
      </c>
    </row>
    <row r="157" spans="1:11" x14ac:dyDescent="0.25">
      <c r="A157" s="6" t="s">
        <v>34</v>
      </c>
      <c r="B157" s="6" t="s">
        <v>15</v>
      </c>
      <c r="C157" s="6">
        <v>25</v>
      </c>
      <c r="D157" s="6" t="s">
        <v>13</v>
      </c>
      <c r="E157" s="7">
        <v>44726</v>
      </c>
      <c r="F157" s="6" t="s">
        <v>9</v>
      </c>
      <c r="G157" s="12">
        <v>109190</v>
      </c>
      <c r="H157" s="6" t="s">
        <v>207</v>
      </c>
      <c r="I157" s="9">
        <f ca="1">(TODAY()-Staff[[#This Row],[Date Joined]])/365</f>
        <v>1.021917808219178</v>
      </c>
      <c r="J157" s="12">
        <f ca="1">ROUNDUP(IF(Staff[[#This Row],[Tenure]]&gt;2,3%,2%)*Staff[[#This Row],[Salary]],0)</f>
        <v>2184</v>
      </c>
      <c r="K157" s="46">
        <v>4</v>
      </c>
    </row>
    <row r="158" spans="1:11" x14ac:dyDescent="0.25">
      <c r="A158" s="6" t="s">
        <v>180</v>
      </c>
      <c r="B158" s="6" t="s">
        <v>15</v>
      </c>
      <c r="C158" s="6">
        <v>29</v>
      </c>
      <c r="D158" s="6" t="s">
        <v>24</v>
      </c>
      <c r="E158" s="7">
        <v>44119</v>
      </c>
      <c r="F158" s="6" t="s">
        <v>12</v>
      </c>
      <c r="G158" s="12">
        <v>112110</v>
      </c>
      <c r="H158" s="6" t="s">
        <v>205</v>
      </c>
      <c r="I158" s="9">
        <f ca="1">(TODAY()-Staff[[#This Row],[Date Joined]])/365</f>
        <v>2.6849315068493151</v>
      </c>
      <c r="J158" s="12">
        <f ca="1">ROUNDUP(IF(Staff[[#This Row],[Tenure]]&gt;2,3%,2%)*Staff[[#This Row],[Salary]],0)</f>
        <v>3364</v>
      </c>
      <c r="K158" s="46">
        <v>2</v>
      </c>
    </row>
    <row r="159" spans="1:11" x14ac:dyDescent="0.25">
      <c r="A159" s="6" t="s">
        <v>87</v>
      </c>
      <c r="B159" s="6" t="s">
        <v>15</v>
      </c>
      <c r="C159" s="6">
        <v>29</v>
      </c>
      <c r="D159" s="6" t="s">
        <v>24</v>
      </c>
      <c r="E159" s="7">
        <v>44180</v>
      </c>
      <c r="F159" s="6" t="s">
        <v>12</v>
      </c>
      <c r="G159" s="12">
        <v>112110</v>
      </c>
      <c r="H159" s="6" t="s">
        <v>207</v>
      </c>
      <c r="I159" s="9">
        <f ca="1">(TODAY()-Staff[[#This Row],[Date Joined]])/365</f>
        <v>2.5178082191780824</v>
      </c>
      <c r="J159" s="12">
        <f ca="1">ROUNDUP(IF(Staff[[#This Row],[Tenure]]&gt;2,3%,2%)*Staff[[#This Row],[Salary]],0)</f>
        <v>3364</v>
      </c>
      <c r="K159" s="46">
        <v>2</v>
      </c>
    </row>
    <row r="160" spans="1:11" x14ac:dyDescent="0.25">
      <c r="A160" s="6" t="s">
        <v>173</v>
      </c>
      <c r="B160" s="6" t="s">
        <v>8</v>
      </c>
      <c r="C160" s="6">
        <v>30</v>
      </c>
      <c r="D160" s="6" t="s">
        <v>16</v>
      </c>
      <c r="E160" s="7">
        <v>44800</v>
      </c>
      <c r="F160" s="6" t="s">
        <v>9</v>
      </c>
      <c r="G160" s="12">
        <v>112570</v>
      </c>
      <c r="H160" s="6" t="s">
        <v>205</v>
      </c>
      <c r="I160" s="9">
        <f ca="1">(TODAY()-Staff[[#This Row],[Date Joined]])/365</f>
        <v>0.81917808219178079</v>
      </c>
      <c r="J160" s="12">
        <f ca="1">ROUNDUP(IF(Staff[[#This Row],[Tenure]]&gt;2,3%,2%)*Staff[[#This Row],[Salary]],0)</f>
        <v>2252</v>
      </c>
      <c r="K160" s="46">
        <v>3</v>
      </c>
    </row>
    <row r="161" spans="1:11" x14ac:dyDescent="0.25">
      <c r="A161" s="6" t="s">
        <v>81</v>
      </c>
      <c r="B161" s="6" t="s">
        <v>8</v>
      </c>
      <c r="C161" s="6">
        <v>30</v>
      </c>
      <c r="D161" s="6" t="s">
        <v>16</v>
      </c>
      <c r="E161" s="7">
        <v>44861</v>
      </c>
      <c r="F161" s="6" t="s">
        <v>9</v>
      </c>
      <c r="G161" s="12">
        <v>112570</v>
      </c>
      <c r="H161" s="6" t="s">
        <v>207</v>
      </c>
      <c r="I161" s="9">
        <f ca="1">(TODAY()-Staff[[#This Row],[Date Joined]])/365</f>
        <v>0.65205479452054793</v>
      </c>
      <c r="J161" s="12">
        <f ca="1">ROUNDUP(IF(Staff[[#This Row],[Tenure]]&gt;2,3%,2%)*Staff[[#This Row],[Salary]],0)</f>
        <v>2252</v>
      </c>
      <c r="K161" s="46">
        <v>3</v>
      </c>
    </row>
    <row r="162" spans="1:11" x14ac:dyDescent="0.25">
      <c r="A162" s="6" t="s">
        <v>156</v>
      </c>
      <c r="B162" s="6" t="s">
        <v>15</v>
      </c>
      <c r="C162" s="6">
        <v>20</v>
      </c>
      <c r="D162" s="6" t="s">
        <v>16</v>
      </c>
      <c r="E162" s="7">
        <v>44122</v>
      </c>
      <c r="F162" s="6" t="s">
        <v>12</v>
      </c>
      <c r="G162" s="12">
        <v>112650</v>
      </c>
      <c r="H162" s="6" t="s">
        <v>205</v>
      </c>
      <c r="I162" s="9">
        <f ca="1">(TODAY()-Staff[[#This Row],[Date Joined]])/365</f>
        <v>2.6767123287671235</v>
      </c>
      <c r="J162" s="12">
        <f ca="1">ROUNDUP(IF(Staff[[#This Row],[Tenure]]&gt;2,3%,2%)*Staff[[#This Row],[Salary]],0)</f>
        <v>3380</v>
      </c>
      <c r="K162" s="46">
        <v>3</v>
      </c>
    </row>
    <row r="163" spans="1:11" x14ac:dyDescent="0.25">
      <c r="A163" s="6" t="s">
        <v>178</v>
      </c>
      <c r="B163" s="6" t="s">
        <v>15</v>
      </c>
      <c r="C163" s="6">
        <v>34</v>
      </c>
      <c r="D163" s="6" t="s">
        <v>16</v>
      </c>
      <c r="E163" s="7">
        <v>44642</v>
      </c>
      <c r="F163" s="6" t="s">
        <v>9</v>
      </c>
      <c r="G163" s="12">
        <v>112650</v>
      </c>
      <c r="H163" s="6" t="s">
        <v>205</v>
      </c>
      <c r="I163" s="9">
        <f ca="1">(TODAY()-Staff[[#This Row],[Date Joined]])/365</f>
        <v>1.252054794520548</v>
      </c>
      <c r="J163" s="12">
        <f ca="1">ROUNDUP(IF(Staff[[#This Row],[Tenure]]&gt;2,3%,2%)*Staff[[#This Row],[Salary]],0)</f>
        <v>2253</v>
      </c>
      <c r="K163" s="46">
        <v>3</v>
      </c>
    </row>
    <row r="164" spans="1:11" x14ac:dyDescent="0.25">
      <c r="A164" s="6" t="s">
        <v>64</v>
      </c>
      <c r="B164" s="6" t="s">
        <v>15</v>
      </c>
      <c r="C164" s="6">
        <v>20</v>
      </c>
      <c r="D164" s="6" t="s">
        <v>16</v>
      </c>
      <c r="E164" s="7">
        <v>44183</v>
      </c>
      <c r="F164" s="6" t="s">
        <v>12</v>
      </c>
      <c r="G164" s="12">
        <v>112650</v>
      </c>
      <c r="H164" s="6" t="s">
        <v>207</v>
      </c>
      <c r="I164" s="9">
        <f ca="1">(TODAY()-Staff[[#This Row],[Date Joined]])/365</f>
        <v>2.5095890410958903</v>
      </c>
      <c r="J164" s="12">
        <f ca="1">ROUNDUP(IF(Staff[[#This Row],[Tenure]]&gt;2,3%,2%)*Staff[[#This Row],[Salary]],0)</f>
        <v>3380</v>
      </c>
      <c r="K164" s="46">
        <v>3</v>
      </c>
    </row>
    <row r="165" spans="1:11" x14ac:dyDescent="0.25">
      <c r="A165" s="6" t="s">
        <v>150</v>
      </c>
      <c r="B165" s="6" t="s">
        <v>15</v>
      </c>
      <c r="C165" s="6">
        <v>22</v>
      </c>
      <c r="D165" s="6" t="s">
        <v>13</v>
      </c>
      <c r="E165" s="7">
        <v>44384</v>
      </c>
      <c r="F165" s="6" t="s">
        <v>19</v>
      </c>
      <c r="G165" s="12">
        <v>112780</v>
      </c>
      <c r="H165" s="6" t="s">
        <v>205</v>
      </c>
      <c r="I165" s="9">
        <f ca="1">(TODAY()-Staff[[#This Row],[Date Joined]])/365</f>
        <v>1.9589041095890412</v>
      </c>
      <c r="J165" s="12">
        <f ca="1">ROUNDUP(IF(Staff[[#This Row],[Tenure]]&gt;2,3%,2%)*Staff[[#This Row],[Salary]],0)</f>
        <v>2256</v>
      </c>
      <c r="K165" s="46">
        <v>4</v>
      </c>
    </row>
    <row r="166" spans="1:11" x14ac:dyDescent="0.25">
      <c r="A166" s="6" t="s">
        <v>58</v>
      </c>
      <c r="B166" s="6" t="s">
        <v>15</v>
      </c>
      <c r="C166" s="6">
        <v>22</v>
      </c>
      <c r="D166" s="6" t="s">
        <v>13</v>
      </c>
      <c r="E166" s="7">
        <v>44446</v>
      </c>
      <c r="F166" s="6" t="s">
        <v>19</v>
      </c>
      <c r="G166" s="12">
        <v>112780</v>
      </c>
      <c r="H166" s="6" t="s">
        <v>207</v>
      </c>
      <c r="I166" s="9">
        <f ca="1">(TODAY()-Staff[[#This Row],[Date Joined]])/365</f>
        <v>1.789041095890411</v>
      </c>
      <c r="J166" s="12">
        <f ca="1">ROUNDUP(IF(Staff[[#This Row],[Tenure]]&gt;2,3%,2%)*Staff[[#This Row],[Salary]],0)</f>
        <v>2256</v>
      </c>
      <c r="K166" s="46">
        <v>4</v>
      </c>
    </row>
    <row r="167" spans="1:11" x14ac:dyDescent="0.25">
      <c r="A167" s="6" t="s">
        <v>191</v>
      </c>
      <c r="B167" s="6" t="s">
        <v>15</v>
      </c>
      <c r="C167" s="6">
        <v>27</v>
      </c>
      <c r="D167" s="6" t="s">
        <v>42</v>
      </c>
      <c r="E167" s="7">
        <v>44547</v>
      </c>
      <c r="F167" s="6" t="s">
        <v>9</v>
      </c>
      <c r="G167" s="12">
        <v>113280</v>
      </c>
      <c r="H167" s="6" t="s">
        <v>205</v>
      </c>
      <c r="I167" s="9">
        <f ca="1">(TODAY()-Staff[[#This Row],[Date Joined]])/365</f>
        <v>1.5123287671232877</v>
      </c>
      <c r="J167" s="12">
        <f ca="1">ROUNDUP(IF(Staff[[#This Row],[Tenure]]&gt;2,3%,2%)*Staff[[#This Row],[Salary]],0)</f>
        <v>2266</v>
      </c>
      <c r="K167" s="46">
        <v>1</v>
      </c>
    </row>
    <row r="168" spans="1:11" x14ac:dyDescent="0.25">
      <c r="A168" s="6" t="s">
        <v>98</v>
      </c>
      <c r="B168" s="6" t="s">
        <v>15</v>
      </c>
      <c r="C168" s="6">
        <v>27</v>
      </c>
      <c r="D168" s="6" t="s">
        <v>42</v>
      </c>
      <c r="E168" s="7">
        <v>44609</v>
      </c>
      <c r="F168" s="6" t="s">
        <v>9</v>
      </c>
      <c r="G168" s="12">
        <v>113280</v>
      </c>
      <c r="H168" s="6" t="s">
        <v>207</v>
      </c>
      <c r="I168" s="9">
        <f ca="1">(TODAY()-Staff[[#This Row],[Date Joined]])/365</f>
        <v>1.3424657534246576</v>
      </c>
      <c r="J168" s="12">
        <f ca="1">ROUNDUP(IF(Staff[[#This Row],[Tenure]]&gt;2,3%,2%)*Staff[[#This Row],[Salary]],0)</f>
        <v>2266</v>
      </c>
      <c r="K168" s="46">
        <v>1</v>
      </c>
    </row>
    <row r="169" spans="1:11" x14ac:dyDescent="0.25">
      <c r="A169" s="6" t="s">
        <v>147</v>
      </c>
      <c r="B169" s="6" t="s">
        <v>8</v>
      </c>
      <c r="C169" s="6">
        <v>30</v>
      </c>
      <c r="D169" s="6" t="s">
        <v>16</v>
      </c>
      <c r="E169" s="7">
        <v>44789</v>
      </c>
      <c r="F169" s="6" t="s">
        <v>9</v>
      </c>
      <c r="G169" s="12">
        <v>114180</v>
      </c>
      <c r="H169" s="6" t="s">
        <v>205</v>
      </c>
      <c r="I169" s="9">
        <f ca="1">(TODAY()-Staff[[#This Row],[Date Joined]])/365</f>
        <v>0.84931506849315064</v>
      </c>
      <c r="J169" s="12">
        <f ca="1">ROUNDUP(IF(Staff[[#This Row],[Tenure]]&gt;2,3%,2%)*Staff[[#This Row],[Salary]],0)</f>
        <v>2284</v>
      </c>
      <c r="K169" s="46">
        <v>3</v>
      </c>
    </row>
    <row r="170" spans="1:11" x14ac:dyDescent="0.25">
      <c r="A170" s="6" t="s">
        <v>54</v>
      </c>
      <c r="B170" s="6" t="s">
        <v>8</v>
      </c>
      <c r="C170" s="6">
        <v>30</v>
      </c>
      <c r="D170" s="6" t="s">
        <v>16</v>
      </c>
      <c r="E170" s="7">
        <v>44850</v>
      </c>
      <c r="F170" s="6" t="s">
        <v>9</v>
      </c>
      <c r="G170" s="12">
        <v>114180</v>
      </c>
      <c r="H170" s="6" t="s">
        <v>207</v>
      </c>
      <c r="I170" s="9">
        <f ca="1">(TODAY()-Staff[[#This Row],[Date Joined]])/365</f>
        <v>0.68219178082191778</v>
      </c>
      <c r="J170" s="12">
        <f ca="1">ROUNDUP(IF(Staff[[#This Row],[Tenure]]&gt;2,3%,2%)*Staff[[#This Row],[Salary]],0)</f>
        <v>2284</v>
      </c>
      <c r="K170" s="46">
        <v>3</v>
      </c>
    </row>
    <row r="171" spans="1:11" x14ac:dyDescent="0.25">
      <c r="A171" s="6" t="s">
        <v>114</v>
      </c>
      <c r="B171" s="6" t="s">
        <v>8</v>
      </c>
      <c r="C171" s="6">
        <v>44</v>
      </c>
      <c r="D171" s="6" t="s">
        <v>16</v>
      </c>
      <c r="E171" s="7">
        <v>44985</v>
      </c>
      <c r="F171" s="6" t="s">
        <v>12</v>
      </c>
      <c r="G171" s="12">
        <v>114870</v>
      </c>
      <c r="H171" s="6" t="s">
        <v>205</v>
      </c>
      <c r="I171" s="9">
        <f ca="1">(TODAY()-Staff[[#This Row],[Date Joined]])/365</f>
        <v>0.31232876712328766</v>
      </c>
      <c r="J171" s="12">
        <f ca="1">ROUNDUP(IF(Staff[[#This Row],[Tenure]]&gt;2,3%,2%)*Staff[[#This Row],[Salary]],0)</f>
        <v>2298</v>
      </c>
      <c r="K171" s="46">
        <v>3</v>
      </c>
    </row>
    <row r="172" spans="1:11" x14ac:dyDescent="0.25">
      <c r="A172" s="6" t="s">
        <v>17</v>
      </c>
      <c r="B172" s="6" t="s">
        <v>8</v>
      </c>
      <c r="C172" s="6">
        <v>43</v>
      </c>
      <c r="D172" s="6" t="s">
        <v>16</v>
      </c>
      <c r="E172" s="7">
        <v>45045</v>
      </c>
      <c r="F172" s="6" t="s">
        <v>12</v>
      </c>
      <c r="G172" s="12">
        <v>114870</v>
      </c>
      <c r="H172" s="6" t="s">
        <v>207</v>
      </c>
      <c r="I172" s="9">
        <f ca="1">(TODAY()-Staff[[#This Row],[Date Joined]])/365</f>
        <v>0.14794520547945206</v>
      </c>
      <c r="J172" s="12">
        <f ca="1">ROUNDUP(IF(Staff[[#This Row],[Tenure]]&gt;2,3%,2%)*Staff[[#This Row],[Salary]],0)</f>
        <v>2298</v>
      </c>
      <c r="K172" s="46">
        <v>3</v>
      </c>
    </row>
    <row r="173" spans="1:11" x14ac:dyDescent="0.25">
      <c r="A173" s="6" t="s">
        <v>175</v>
      </c>
      <c r="B173" s="6" t="s">
        <v>8</v>
      </c>
      <c r="C173" s="6">
        <v>36</v>
      </c>
      <c r="D173" s="6" t="s">
        <v>16</v>
      </c>
      <c r="E173" s="7">
        <v>44023</v>
      </c>
      <c r="F173" s="6" t="s">
        <v>9</v>
      </c>
      <c r="G173" s="12">
        <v>114890</v>
      </c>
      <c r="H173" s="6" t="s">
        <v>205</v>
      </c>
      <c r="I173" s="9">
        <f ca="1">(TODAY()-Staff[[#This Row],[Date Joined]])/365</f>
        <v>2.9479452054794519</v>
      </c>
      <c r="J173" s="12">
        <f ca="1">ROUNDUP(IF(Staff[[#This Row],[Tenure]]&gt;2,3%,2%)*Staff[[#This Row],[Salary]],0)</f>
        <v>3447</v>
      </c>
      <c r="K173" s="46">
        <v>3</v>
      </c>
    </row>
    <row r="174" spans="1:11" x14ac:dyDescent="0.25">
      <c r="A174" s="6" t="s">
        <v>83</v>
      </c>
      <c r="B174" s="6" t="s">
        <v>8</v>
      </c>
      <c r="C174" s="6">
        <v>36</v>
      </c>
      <c r="D174" s="6" t="s">
        <v>16</v>
      </c>
      <c r="E174" s="7">
        <v>44085</v>
      </c>
      <c r="F174" s="6" t="s">
        <v>9</v>
      </c>
      <c r="G174" s="12">
        <v>114890</v>
      </c>
      <c r="H174" s="6" t="s">
        <v>207</v>
      </c>
      <c r="I174" s="9">
        <f ca="1">(TODAY()-Staff[[#This Row],[Date Joined]])/365</f>
        <v>2.7780821917808218</v>
      </c>
      <c r="J174" s="12">
        <f ca="1">ROUNDUP(IF(Staff[[#This Row],[Tenure]]&gt;2,3%,2%)*Staff[[#This Row],[Salary]],0)</f>
        <v>3447</v>
      </c>
      <c r="K174" s="46">
        <v>3</v>
      </c>
    </row>
    <row r="175" spans="1:11" x14ac:dyDescent="0.25">
      <c r="A175" s="6" t="s">
        <v>142</v>
      </c>
      <c r="B175" s="6" t="s">
        <v>206</v>
      </c>
      <c r="C175" s="6">
        <v>37</v>
      </c>
      <c r="D175" s="6" t="s">
        <v>24</v>
      </c>
      <c r="E175" s="7">
        <v>44085</v>
      </c>
      <c r="F175" s="6" t="s">
        <v>21</v>
      </c>
      <c r="G175" s="12">
        <v>115440</v>
      </c>
      <c r="H175" s="6" t="s">
        <v>205</v>
      </c>
      <c r="I175" s="9">
        <f ca="1">(TODAY()-Staff[[#This Row],[Date Joined]])/365</f>
        <v>2.7780821917808218</v>
      </c>
      <c r="J175" s="12">
        <f ca="1">ROUNDUP(IF(Staff[[#This Row],[Tenure]]&gt;2,3%,2%)*Staff[[#This Row],[Salary]],0)</f>
        <v>3464</v>
      </c>
      <c r="K175" s="46">
        <v>2</v>
      </c>
    </row>
    <row r="176" spans="1:11" x14ac:dyDescent="0.25">
      <c r="A176" s="6" t="s">
        <v>49</v>
      </c>
      <c r="B176" s="6" t="s">
        <v>206</v>
      </c>
      <c r="C176" s="6">
        <v>37</v>
      </c>
      <c r="D176" s="6" t="s">
        <v>24</v>
      </c>
      <c r="E176" s="7">
        <v>44146</v>
      </c>
      <c r="F176" s="6" t="s">
        <v>21</v>
      </c>
      <c r="G176" s="12">
        <v>115440</v>
      </c>
      <c r="H176" s="6" t="s">
        <v>207</v>
      </c>
      <c r="I176" s="9">
        <f ca="1">(TODAY()-Staff[[#This Row],[Date Joined]])/365</f>
        <v>2.6109589041095891</v>
      </c>
      <c r="J176" s="12">
        <f ca="1">ROUNDUP(IF(Staff[[#This Row],[Tenure]]&gt;2,3%,2%)*Staff[[#This Row],[Salary]],0)</f>
        <v>3464</v>
      </c>
      <c r="K176" s="46">
        <v>2</v>
      </c>
    </row>
    <row r="177" spans="1:11" x14ac:dyDescent="0.25">
      <c r="A177" s="6" t="s">
        <v>134</v>
      </c>
      <c r="B177" s="6" t="s">
        <v>15</v>
      </c>
      <c r="C177" s="6">
        <v>33</v>
      </c>
      <c r="D177" s="6" t="s">
        <v>16</v>
      </c>
      <c r="E177" s="7">
        <v>44103</v>
      </c>
      <c r="F177" s="6" t="s">
        <v>9</v>
      </c>
      <c r="G177" s="12">
        <v>115920</v>
      </c>
      <c r="H177" s="6" t="s">
        <v>205</v>
      </c>
      <c r="I177" s="9">
        <f ca="1">(TODAY()-Staff[[#This Row],[Date Joined]])/365</f>
        <v>2.7287671232876711</v>
      </c>
      <c r="J177" s="12">
        <f ca="1">ROUNDUP(IF(Staff[[#This Row],[Tenure]]&gt;2,3%,2%)*Staff[[#This Row],[Salary]],0)</f>
        <v>3478</v>
      </c>
      <c r="K177" s="46">
        <v>3</v>
      </c>
    </row>
    <row r="178" spans="1:11" x14ac:dyDescent="0.25">
      <c r="A178" s="6" t="s">
        <v>40</v>
      </c>
      <c r="B178" s="6" t="s">
        <v>15</v>
      </c>
      <c r="C178" s="6">
        <v>33</v>
      </c>
      <c r="D178" s="6" t="s">
        <v>16</v>
      </c>
      <c r="E178" s="7">
        <v>44164</v>
      </c>
      <c r="F178" s="6" t="s">
        <v>9</v>
      </c>
      <c r="G178" s="12">
        <v>115920</v>
      </c>
      <c r="H178" s="6" t="s">
        <v>207</v>
      </c>
      <c r="I178" s="9">
        <f ca="1">(TODAY()-Staff[[#This Row],[Date Joined]])/365</f>
        <v>2.5616438356164384</v>
      </c>
      <c r="J178" s="12">
        <f ca="1">ROUNDUP(IF(Staff[[#This Row],[Tenure]]&gt;2,3%,2%)*Staff[[#This Row],[Salary]],0)</f>
        <v>3478</v>
      </c>
      <c r="K178" s="46">
        <v>3</v>
      </c>
    </row>
    <row r="179" spans="1:11" x14ac:dyDescent="0.25">
      <c r="A179" s="6" t="s">
        <v>148</v>
      </c>
      <c r="B179" s="6" t="s">
        <v>8</v>
      </c>
      <c r="C179" s="6">
        <v>37</v>
      </c>
      <c r="D179" s="6" t="s">
        <v>16</v>
      </c>
      <c r="E179" s="7">
        <v>44389</v>
      </c>
      <c r="F179" s="6" t="s">
        <v>56</v>
      </c>
      <c r="G179" s="12">
        <v>118100</v>
      </c>
      <c r="H179" s="6" t="s">
        <v>205</v>
      </c>
      <c r="I179" s="9">
        <f ca="1">(TODAY()-Staff[[#This Row],[Date Joined]])/365</f>
        <v>1.9452054794520548</v>
      </c>
      <c r="J179" s="12">
        <f ca="1">ROUNDUP(IF(Staff[[#This Row],[Tenure]]&gt;2,3%,2%)*Staff[[#This Row],[Salary]],0)</f>
        <v>2362</v>
      </c>
      <c r="K179" s="46">
        <v>3</v>
      </c>
    </row>
    <row r="180" spans="1:11" x14ac:dyDescent="0.25">
      <c r="A180" s="6" t="s">
        <v>55</v>
      </c>
      <c r="B180" s="6" t="s">
        <v>8</v>
      </c>
      <c r="C180" s="6">
        <v>37</v>
      </c>
      <c r="D180" s="6" t="s">
        <v>16</v>
      </c>
      <c r="E180" s="7">
        <v>44451</v>
      </c>
      <c r="F180" s="6" t="s">
        <v>56</v>
      </c>
      <c r="G180" s="12">
        <v>118100</v>
      </c>
      <c r="H180" s="6" t="s">
        <v>207</v>
      </c>
      <c r="I180" s="9">
        <f ca="1">(TODAY()-Staff[[#This Row],[Date Joined]])/365</f>
        <v>1.7753424657534247</v>
      </c>
      <c r="J180" s="12">
        <f ca="1">ROUNDUP(IF(Staff[[#This Row],[Tenure]]&gt;2,3%,2%)*Staff[[#This Row],[Salary]],0)</f>
        <v>2362</v>
      </c>
      <c r="K180" s="46">
        <v>3</v>
      </c>
    </row>
    <row r="181" spans="1:11" x14ac:dyDescent="0.25">
      <c r="A181" s="6" t="s">
        <v>199</v>
      </c>
      <c r="B181" s="6" t="s">
        <v>15</v>
      </c>
      <c r="C181" s="6">
        <v>36</v>
      </c>
      <c r="D181" s="6" t="s">
        <v>16</v>
      </c>
      <c r="E181" s="7">
        <v>43958</v>
      </c>
      <c r="F181" s="6" t="s">
        <v>12</v>
      </c>
      <c r="G181" s="12">
        <v>118840</v>
      </c>
      <c r="H181" s="6" t="s">
        <v>205</v>
      </c>
      <c r="I181" s="9">
        <f ca="1">(TODAY()-Staff[[#This Row],[Date Joined]])/365</f>
        <v>3.1260273972602741</v>
      </c>
      <c r="J181" s="12">
        <f ca="1">ROUNDUP(IF(Staff[[#This Row],[Tenure]]&gt;2,3%,2%)*Staff[[#This Row],[Salary]],0)</f>
        <v>3566</v>
      </c>
      <c r="K181" s="46">
        <v>3</v>
      </c>
    </row>
    <row r="182" spans="1:11" x14ac:dyDescent="0.25">
      <c r="A182" s="6" t="s">
        <v>106</v>
      </c>
      <c r="B182" s="6" t="s">
        <v>15</v>
      </c>
      <c r="C182" s="6">
        <v>36</v>
      </c>
      <c r="D182" s="6" t="s">
        <v>16</v>
      </c>
      <c r="E182" s="7">
        <v>44019</v>
      </c>
      <c r="F182" s="6" t="s">
        <v>12</v>
      </c>
      <c r="G182" s="12">
        <v>118840</v>
      </c>
      <c r="H182" s="6" t="s">
        <v>207</v>
      </c>
      <c r="I182" s="9">
        <f ca="1">(TODAY()-Staff[[#This Row],[Date Joined]])/365</f>
        <v>2.9589041095890409</v>
      </c>
      <c r="J182" s="12">
        <f ca="1">ROUNDUP(IF(Staff[[#This Row],[Tenure]]&gt;2,3%,2%)*Staff[[#This Row],[Salary]],0)</f>
        <v>3566</v>
      </c>
      <c r="K182" s="46">
        <v>3</v>
      </c>
    </row>
    <row r="183" spans="1:11" x14ac:dyDescent="0.25">
      <c r="A183" s="6" t="s">
        <v>152</v>
      </c>
      <c r="B183" s="6" t="s">
        <v>8</v>
      </c>
      <c r="C183" s="6">
        <v>27</v>
      </c>
      <c r="D183" s="6" t="s">
        <v>16</v>
      </c>
      <c r="E183" s="7">
        <v>44061</v>
      </c>
      <c r="F183" s="6" t="s">
        <v>56</v>
      </c>
      <c r="G183" s="12">
        <v>119110</v>
      </c>
      <c r="H183" s="6" t="s">
        <v>205</v>
      </c>
      <c r="I183" s="9">
        <f ca="1">(TODAY()-Staff[[#This Row],[Date Joined]])/365</f>
        <v>2.8438356164383563</v>
      </c>
      <c r="J183" s="12">
        <f ca="1">ROUNDUP(IF(Staff[[#This Row],[Tenure]]&gt;2,3%,2%)*Staff[[#This Row],[Salary]],0)</f>
        <v>3574</v>
      </c>
      <c r="K183" s="46">
        <v>3</v>
      </c>
    </row>
    <row r="184" spans="1:11" x14ac:dyDescent="0.25">
      <c r="A184" s="6" t="s">
        <v>60</v>
      </c>
      <c r="B184" s="6" t="s">
        <v>8</v>
      </c>
      <c r="C184" s="6">
        <v>27</v>
      </c>
      <c r="D184" s="6" t="s">
        <v>16</v>
      </c>
      <c r="E184" s="7">
        <v>44122</v>
      </c>
      <c r="F184" s="6" t="s">
        <v>56</v>
      </c>
      <c r="G184" s="12">
        <v>119110</v>
      </c>
      <c r="H184" s="6" t="s">
        <v>207</v>
      </c>
      <c r="I184" s="9">
        <f ca="1">(TODAY()-Staff[[#This Row],[Date Joined]])/365</f>
        <v>2.6767123287671235</v>
      </c>
      <c r="J184" s="12">
        <f ca="1">ROUNDUP(IF(Staff[[#This Row],[Tenure]]&gt;2,3%,2%)*Staff[[#This Row],[Salary]],0)</f>
        <v>3574</v>
      </c>
      <c r="K184" s="46">
        <v>3</v>
      </c>
    </row>
  </sheetData>
  <conditionalFormatting sqref="A2:A184">
    <cfRule type="duplicateValues" dxfId="1" priority="2"/>
  </conditionalFormatting>
  <conditionalFormatting sqref="G1:G184">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12"/>
  <sheetViews>
    <sheetView workbookViewId="0">
      <selection activeCell="C14" sqref="C14"/>
    </sheetView>
  </sheetViews>
  <sheetFormatPr defaultRowHeight="15" x14ac:dyDescent="0.25"/>
  <cols>
    <col min="1" max="1" width="17.5703125" customWidth="1"/>
    <col min="2" max="2" width="16.28515625" bestFit="1" customWidth="1"/>
    <col min="3" max="3" width="7.5703125" customWidth="1"/>
    <col min="4" max="4" width="17.5703125" bestFit="1" customWidth="1"/>
    <col min="5" max="5" width="16.28515625" bestFit="1" customWidth="1"/>
    <col min="6" max="6" width="7.5703125" bestFit="1" customWidth="1"/>
    <col min="7" max="7" width="19.42578125" bestFit="1" customWidth="1"/>
    <col min="8" max="8" width="16" bestFit="1" customWidth="1"/>
  </cols>
  <sheetData>
    <row r="7" spans="4:6" x14ac:dyDescent="0.25">
      <c r="D7" s="33"/>
      <c r="E7" s="64" t="s">
        <v>223</v>
      </c>
      <c r="F7" s="33"/>
    </row>
    <row r="8" spans="4:6" x14ac:dyDescent="0.25">
      <c r="D8" s="64" t="s">
        <v>225</v>
      </c>
      <c r="E8" s="33" t="s">
        <v>8</v>
      </c>
      <c r="F8" s="33" t="s">
        <v>15</v>
      </c>
    </row>
    <row r="9" spans="4:6" x14ac:dyDescent="0.25">
      <c r="D9" s="47" t="s">
        <v>224</v>
      </c>
      <c r="E9" s="65">
        <v>42</v>
      </c>
      <c r="F9" s="65">
        <v>45</v>
      </c>
    </row>
    <row r="10" spans="4:6" x14ac:dyDescent="0.25">
      <c r="D10" s="47" t="s">
        <v>226</v>
      </c>
      <c r="E10" s="66">
        <v>31.214285714285715</v>
      </c>
      <c r="F10" s="66">
        <v>29.444444444444443</v>
      </c>
    </row>
    <row r="11" spans="4:6" x14ac:dyDescent="0.25">
      <c r="D11" s="47" t="s">
        <v>228</v>
      </c>
      <c r="E11" s="67">
        <v>77662.142857142855</v>
      </c>
      <c r="F11" s="67">
        <v>75334.444444444438</v>
      </c>
    </row>
    <row r="12" spans="4:6" x14ac:dyDescent="0.25">
      <c r="D12" s="47" t="s">
        <v>227</v>
      </c>
      <c r="E12" s="66">
        <v>1.8997390737116768</v>
      </c>
      <c r="F12" s="66">
        <v>1.888097412480974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5"/>
  <sheetViews>
    <sheetView workbookViewId="0">
      <selection activeCell="J21" sqref="J21"/>
    </sheetView>
  </sheetViews>
  <sheetFormatPr defaultRowHeight="15" x14ac:dyDescent="0.25"/>
  <cols>
    <col min="3" max="3" width="21.5703125" bestFit="1" customWidth="1"/>
    <col min="7" max="7" width="11.42578125" bestFit="1" customWidth="1"/>
    <col min="9" max="9" width="12.85546875" bestFit="1" customWidth="1"/>
  </cols>
  <sheetData>
    <row r="3" spans="3:12" ht="21" x14ac:dyDescent="0.35">
      <c r="D3" s="30" t="s">
        <v>230</v>
      </c>
      <c r="E3" s="30"/>
      <c r="F3" s="30"/>
      <c r="G3" s="30"/>
    </row>
    <row r="5" spans="3:12" x14ac:dyDescent="0.25">
      <c r="C5" s="29" t="s">
        <v>0</v>
      </c>
      <c r="D5" s="13" t="s">
        <v>1</v>
      </c>
      <c r="E5" s="13" t="s">
        <v>3</v>
      </c>
      <c r="F5" s="13" t="s">
        <v>6</v>
      </c>
      <c r="G5" s="14" t="s">
        <v>4</v>
      </c>
      <c r="H5" s="13" t="s">
        <v>2</v>
      </c>
      <c r="I5" s="13" t="s">
        <v>5</v>
      </c>
      <c r="J5" s="13" t="s">
        <v>204</v>
      </c>
      <c r="K5" s="22" t="s">
        <v>213</v>
      </c>
      <c r="L5" s="15" t="s">
        <v>229</v>
      </c>
    </row>
    <row r="6" spans="3:12" x14ac:dyDescent="0.25">
      <c r="C6" s="27" t="s">
        <v>175</v>
      </c>
      <c r="D6" s="16" t="s">
        <v>206</v>
      </c>
      <c r="E6" s="16">
        <v>37</v>
      </c>
      <c r="F6" s="16" t="s">
        <v>24</v>
      </c>
      <c r="G6" s="17">
        <v>44085</v>
      </c>
      <c r="H6" s="16" t="s">
        <v>21</v>
      </c>
      <c r="I6" s="18">
        <v>115440</v>
      </c>
      <c r="J6" s="16" t="s">
        <v>205</v>
      </c>
      <c r="K6" s="23">
        <v>2.7726027397260276</v>
      </c>
      <c r="L6" s="25">
        <v>3464</v>
      </c>
    </row>
    <row r="7" spans="3:12" x14ac:dyDescent="0.25">
      <c r="C7" s="28" t="s">
        <v>83</v>
      </c>
      <c r="D7" s="19" t="s">
        <v>15</v>
      </c>
      <c r="E7" s="19">
        <v>36</v>
      </c>
      <c r="F7" s="19" t="s">
        <v>16</v>
      </c>
      <c r="G7" s="20">
        <v>43958</v>
      </c>
      <c r="H7" s="19" t="s">
        <v>12</v>
      </c>
      <c r="I7" s="21">
        <v>118840</v>
      </c>
      <c r="J7" s="19" t="s">
        <v>205</v>
      </c>
      <c r="K7" s="24">
        <v>3.1205479452054794</v>
      </c>
      <c r="L7" s="26">
        <v>3566</v>
      </c>
    </row>
    <row r="8" spans="3:12" x14ac:dyDescent="0.25">
      <c r="C8" s="27" t="s">
        <v>142</v>
      </c>
      <c r="D8" s="16" t="s">
        <v>8</v>
      </c>
      <c r="E8" s="16">
        <v>27</v>
      </c>
      <c r="F8" s="16" t="s">
        <v>16</v>
      </c>
      <c r="G8" s="17">
        <v>44061</v>
      </c>
      <c r="H8" s="16" t="s">
        <v>56</v>
      </c>
      <c r="I8" s="18">
        <v>119110</v>
      </c>
      <c r="J8" s="16" t="s">
        <v>205</v>
      </c>
      <c r="K8" s="23">
        <v>2.8383561643835615</v>
      </c>
      <c r="L8" s="25">
        <v>3574</v>
      </c>
    </row>
    <row r="9" spans="3:12" x14ac:dyDescent="0.25">
      <c r="C9" s="28" t="s">
        <v>49</v>
      </c>
      <c r="D9" s="19" t="s">
        <v>8</v>
      </c>
      <c r="E9" s="19">
        <v>36</v>
      </c>
      <c r="F9" s="19" t="s">
        <v>16</v>
      </c>
      <c r="G9" s="20">
        <v>44023</v>
      </c>
      <c r="H9" s="19" t="s">
        <v>9</v>
      </c>
      <c r="I9" s="21">
        <v>114890</v>
      </c>
      <c r="J9" s="19" t="s">
        <v>205</v>
      </c>
      <c r="K9" s="24">
        <v>2.9424657534246577</v>
      </c>
      <c r="L9" s="26">
        <v>3447</v>
      </c>
    </row>
    <row r="10" spans="3:12" x14ac:dyDescent="0.25">
      <c r="C10" s="27" t="s">
        <v>134</v>
      </c>
      <c r="D10" s="16" t="s">
        <v>15</v>
      </c>
      <c r="E10" s="16">
        <v>33</v>
      </c>
      <c r="F10" s="16" t="s">
        <v>16</v>
      </c>
      <c r="G10" s="17">
        <v>44103</v>
      </c>
      <c r="H10" s="16" t="s">
        <v>9</v>
      </c>
      <c r="I10" s="18">
        <v>115920</v>
      </c>
      <c r="J10" s="16" t="s">
        <v>205</v>
      </c>
      <c r="K10" s="23">
        <v>2.7232876712328768</v>
      </c>
      <c r="L10" s="25">
        <v>3478</v>
      </c>
    </row>
    <row r="11" spans="3:12" x14ac:dyDescent="0.25">
      <c r="C11" s="28" t="s">
        <v>40</v>
      </c>
      <c r="D11" s="19" t="s">
        <v>206</v>
      </c>
      <c r="E11" s="19">
        <v>37</v>
      </c>
      <c r="F11" s="19" t="s">
        <v>24</v>
      </c>
      <c r="G11" s="20">
        <v>44146</v>
      </c>
      <c r="H11" s="19" t="s">
        <v>21</v>
      </c>
      <c r="I11" s="21">
        <v>115440</v>
      </c>
      <c r="J11" s="19" t="s">
        <v>207</v>
      </c>
      <c r="K11" s="24">
        <v>2.6054794520547944</v>
      </c>
      <c r="L11" s="26">
        <v>3464</v>
      </c>
    </row>
    <row r="12" spans="3:12" x14ac:dyDescent="0.25">
      <c r="C12" s="27" t="s">
        <v>199</v>
      </c>
      <c r="D12" s="16" t="s">
        <v>8</v>
      </c>
      <c r="E12" s="16">
        <v>27</v>
      </c>
      <c r="F12" s="16" t="s">
        <v>16</v>
      </c>
      <c r="G12" s="17">
        <v>44122</v>
      </c>
      <c r="H12" s="16" t="s">
        <v>56</v>
      </c>
      <c r="I12" s="18">
        <v>119110</v>
      </c>
      <c r="J12" s="16" t="s">
        <v>207</v>
      </c>
      <c r="K12" s="23">
        <v>2.6712328767123288</v>
      </c>
      <c r="L12" s="25">
        <v>3574</v>
      </c>
    </row>
    <row r="13" spans="3:12" x14ac:dyDescent="0.25">
      <c r="C13" s="28" t="s">
        <v>106</v>
      </c>
      <c r="D13" s="19" t="s">
        <v>15</v>
      </c>
      <c r="E13" s="19">
        <v>33</v>
      </c>
      <c r="F13" s="19" t="s">
        <v>16</v>
      </c>
      <c r="G13" s="20">
        <v>44164</v>
      </c>
      <c r="H13" s="19" t="s">
        <v>9</v>
      </c>
      <c r="I13" s="21">
        <v>115920</v>
      </c>
      <c r="J13" s="19" t="s">
        <v>207</v>
      </c>
      <c r="K13" s="24">
        <v>2.5561643835616437</v>
      </c>
      <c r="L13" s="26">
        <v>3478</v>
      </c>
    </row>
    <row r="14" spans="3:12" x14ac:dyDescent="0.25">
      <c r="C14" s="27" t="s">
        <v>152</v>
      </c>
      <c r="D14" s="16" t="s">
        <v>15</v>
      </c>
      <c r="E14" s="16">
        <v>36</v>
      </c>
      <c r="F14" s="16" t="s">
        <v>16</v>
      </c>
      <c r="G14" s="17">
        <v>44019</v>
      </c>
      <c r="H14" s="16" t="s">
        <v>12</v>
      </c>
      <c r="I14" s="18">
        <v>118840</v>
      </c>
      <c r="J14" s="16" t="s">
        <v>207</v>
      </c>
      <c r="K14" s="23">
        <v>2.9534246575342467</v>
      </c>
      <c r="L14" s="25">
        <v>3566</v>
      </c>
    </row>
    <row r="15" spans="3:12" x14ac:dyDescent="0.25">
      <c r="C15" s="28" t="s">
        <v>60</v>
      </c>
      <c r="D15" s="19" t="s">
        <v>8</v>
      </c>
      <c r="E15" s="19">
        <v>36</v>
      </c>
      <c r="F15" s="19" t="s">
        <v>16</v>
      </c>
      <c r="G15" s="20">
        <v>44085</v>
      </c>
      <c r="H15" s="19" t="s">
        <v>9</v>
      </c>
      <c r="I15" s="21">
        <v>114890</v>
      </c>
      <c r="J15" s="19" t="s">
        <v>207</v>
      </c>
      <c r="K15" s="24">
        <v>2.7726027397260276</v>
      </c>
      <c r="L15" s="26">
        <v>3447</v>
      </c>
    </row>
  </sheetData>
  <conditionalFormatting sqref="C6:C15">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2" sqref="S1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12"/>
  <sheetViews>
    <sheetView workbookViewId="0">
      <selection activeCell="E16" sqref="E16"/>
    </sheetView>
  </sheetViews>
  <sheetFormatPr defaultRowHeight="15" x14ac:dyDescent="0.25"/>
  <cols>
    <col min="1" max="2" width="14.28515625" bestFit="1" customWidth="1"/>
    <col min="3" max="3" width="14.42578125" bestFit="1" customWidth="1"/>
    <col min="4" max="4" width="16.42578125" bestFit="1" customWidth="1"/>
  </cols>
  <sheetData>
    <row r="6" spans="2:4" x14ac:dyDescent="0.25">
      <c r="B6" s="10" t="s">
        <v>231</v>
      </c>
      <c r="C6" t="s">
        <v>224</v>
      </c>
      <c r="D6" t="s">
        <v>228</v>
      </c>
    </row>
    <row r="7" spans="2:4" x14ac:dyDescent="0.25">
      <c r="B7" s="11" t="s">
        <v>10</v>
      </c>
      <c r="C7" s="6">
        <v>4</v>
      </c>
      <c r="D7" s="12">
        <v>92080</v>
      </c>
    </row>
    <row r="8" spans="2:4" x14ac:dyDescent="0.25">
      <c r="B8" s="11" t="s">
        <v>13</v>
      </c>
      <c r="C8" s="6">
        <v>20</v>
      </c>
      <c r="D8" s="12">
        <v>75933</v>
      </c>
    </row>
    <row r="9" spans="2:4" x14ac:dyDescent="0.25">
      <c r="B9" s="11" t="s">
        <v>16</v>
      </c>
      <c r="C9" s="6">
        <v>137</v>
      </c>
      <c r="D9" s="12">
        <v>76798.759124087592</v>
      </c>
    </row>
    <row r="10" spans="2:4" x14ac:dyDescent="0.25">
      <c r="B10" s="11" t="s">
        <v>24</v>
      </c>
      <c r="C10" s="6">
        <v>16</v>
      </c>
      <c r="D10" s="12">
        <v>78115</v>
      </c>
    </row>
    <row r="11" spans="2:4" x14ac:dyDescent="0.25">
      <c r="B11" s="11" t="s">
        <v>42</v>
      </c>
      <c r="C11" s="6">
        <v>6</v>
      </c>
      <c r="D11" s="12">
        <v>77423.333333333328</v>
      </c>
    </row>
    <row r="12" spans="2:4" x14ac:dyDescent="0.25">
      <c r="B12" s="11" t="s">
        <v>232</v>
      </c>
      <c r="C12" s="6">
        <v>183</v>
      </c>
      <c r="D12" s="12">
        <v>77173.715846994543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0"/>
  <sheetViews>
    <sheetView topLeftCell="H1" workbookViewId="0">
      <selection activeCell="I2" sqref="I2"/>
    </sheetView>
  </sheetViews>
  <sheetFormatPr defaultRowHeight="15" x14ac:dyDescent="0.25"/>
  <cols>
    <col min="1" max="1" width="13.140625" customWidth="1"/>
    <col min="2" max="2" width="14.42578125" bestFit="1" customWidth="1"/>
    <col min="15" max="15" width="11.28515625" bestFit="1" customWidth="1"/>
    <col min="16" max="17" width="13.28515625" bestFit="1" customWidth="1"/>
  </cols>
  <sheetData>
    <row r="3" spans="1:16" x14ac:dyDescent="0.25">
      <c r="A3" s="10" t="s">
        <v>231</v>
      </c>
      <c r="B3" t="s">
        <v>224</v>
      </c>
    </row>
    <row r="4" spans="1:16" x14ac:dyDescent="0.25">
      <c r="A4" s="11" t="s">
        <v>234</v>
      </c>
      <c r="B4" s="6"/>
      <c r="N4" t="s">
        <v>250</v>
      </c>
      <c r="O4" t="s">
        <v>251</v>
      </c>
      <c r="P4" t="s">
        <v>252</v>
      </c>
    </row>
    <row r="5" spans="1:16" x14ac:dyDescent="0.25">
      <c r="A5" s="48" t="s">
        <v>235</v>
      </c>
      <c r="B5" s="6">
        <v>3</v>
      </c>
      <c r="M5">
        <v>1</v>
      </c>
      <c r="N5" s="49">
        <v>43952</v>
      </c>
      <c r="O5">
        <f>COUNTIFS(Staff[Date Joined],"&gt;="&amp;N5,Staff[Date Joined],"&lt;="&amp;EOMONTH(N5,0))</f>
        <v>3</v>
      </c>
      <c r="P5">
        <f>SUM($O$5:O5)</f>
        <v>3</v>
      </c>
    </row>
    <row r="6" spans="1:16" x14ac:dyDescent="0.25">
      <c r="A6" s="48" t="s">
        <v>236</v>
      </c>
      <c r="B6" s="6">
        <v>4</v>
      </c>
      <c r="M6">
        <v>2</v>
      </c>
      <c r="N6" s="49">
        <v>43983</v>
      </c>
      <c r="O6">
        <f>COUNTIFS(Staff[Date Joined],"&gt;="&amp;N6,Staff[Date Joined],"&lt;="&amp;EOMONTH(N6,0))</f>
        <v>1</v>
      </c>
      <c r="P6">
        <f>SUM($O$5:O6)</f>
        <v>4</v>
      </c>
    </row>
    <row r="7" spans="1:16" x14ac:dyDescent="0.25">
      <c r="A7" s="48" t="s">
        <v>237</v>
      </c>
      <c r="B7" s="6">
        <v>9</v>
      </c>
      <c r="M7">
        <v>3</v>
      </c>
      <c r="N7" s="49">
        <v>44013</v>
      </c>
      <c r="O7">
        <f>COUNTIFS(Staff[Date Joined],"&gt;="&amp;N7,Staff[Date Joined],"&lt;="&amp;EOMONTH(N7,0))</f>
        <v>5</v>
      </c>
      <c r="P7">
        <f>SUM($O$5:O7)</f>
        <v>9</v>
      </c>
    </row>
    <row r="8" spans="1:16" x14ac:dyDescent="0.25">
      <c r="A8" s="48" t="s">
        <v>238</v>
      </c>
      <c r="B8" s="6">
        <v>12</v>
      </c>
      <c r="M8">
        <v>4</v>
      </c>
      <c r="N8" s="49">
        <v>44044</v>
      </c>
      <c r="O8">
        <f>COUNTIFS(Staff[Date Joined],"&gt;="&amp;N8,Staff[Date Joined],"&lt;="&amp;EOMONTH(N8,0))</f>
        <v>3</v>
      </c>
      <c r="P8">
        <f>SUM($O$5:O8)</f>
        <v>12</v>
      </c>
    </row>
    <row r="9" spans="1:16" x14ac:dyDescent="0.25">
      <c r="A9" s="48" t="s">
        <v>239</v>
      </c>
      <c r="B9" s="6">
        <v>18</v>
      </c>
      <c r="M9">
        <v>5</v>
      </c>
      <c r="N9" s="49">
        <v>44075</v>
      </c>
      <c r="O9">
        <f>COUNTIFS(Staff[Date Joined],"&gt;="&amp;N9,Staff[Date Joined],"&lt;="&amp;EOMONTH(N9,0))</f>
        <v>6</v>
      </c>
      <c r="P9">
        <f>SUM($O$5:O9)</f>
        <v>18</v>
      </c>
    </row>
    <row r="10" spans="1:16" x14ac:dyDescent="0.25">
      <c r="A10" s="48" t="s">
        <v>240</v>
      </c>
      <c r="B10" s="6">
        <v>24</v>
      </c>
      <c r="M10">
        <v>6</v>
      </c>
      <c r="N10" s="49">
        <v>44105</v>
      </c>
      <c r="O10">
        <f>COUNTIFS(Staff[Date Joined],"&gt;="&amp;N10,Staff[Date Joined],"&lt;="&amp;EOMONTH(N10,0))</f>
        <v>6</v>
      </c>
      <c r="P10">
        <f>SUM($O$5:O10)</f>
        <v>24</v>
      </c>
    </row>
    <row r="11" spans="1:16" x14ac:dyDescent="0.25">
      <c r="A11" s="48" t="s">
        <v>241</v>
      </c>
      <c r="B11" s="6">
        <v>30</v>
      </c>
      <c r="M11">
        <v>7</v>
      </c>
      <c r="N11" s="49">
        <v>44136</v>
      </c>
      <c r="O11">
        <f>COUNTIFS(Staff[Date Joined],"&gt;="&amp;N11,Staff[Date Joined],"&lt;="&amp;EOMONTH(N11,0))</f>
        <v>6</v>
      </c>
      <c r="P11">
        <f>SUM($O$5:O11)</f>
        <v>30</v>
      </c>
    </row>
    <row r="12" spans="1:16" x14ac:dyDescent="0.25">
      <c r="A12" s="48" t="s">
        <v>242</v>
      </c>
      <c r="B12" s="6">
        <v>37</v>
      </c>
      <c r="M12">
        <v>8</v>
      </c>
      <c r="N12" s="49">
        <v>44166</v>
      </c>
      <c r="O12">
        <f>COUNTIFS(Staff[Date Joined],"&gt;="&amp;N12,Staff[Date Joined],"&lt;="&amp;EOMONTH(N12,0))</f>
        <v>7</v>
      </c>
      <c r="P12">
        <f>SUM($O$5:O12)</f>
        <v>37</v>
      </c>
    </row>
    <row r="13" spans="1:16" x14ac:dyDescent="0.25">
      <c r="A13" s="11" t="s">
        <v>243</v>
      </c>
      <c r="B13" s="6"/>
      <c r="M13">
        <v>9</v>
      </c>
      <c r="N13" s="49">
        <v>44197</v>
      </c>
      <c r="O13">
        <f>COUNTIFS(Staff[Date Joined],"&gt;="&amp;N13,Staff[Date Joined],"&lt;="&amp;EOMONTH(N13,0))</f>
        <v>6</v>
      </c>
      <c r="P13">
        <f>SUM($O$5:O13)</f>
        <v>43</v>
      </c>
    </row>
    <row r="14" spans="1:16" x14ac:dyDescent="0.25">
      <c r="A14" s="48" t="s">
        <v>244</v>
      </c>
      <c r="B14" s="6">
        <v>6</v>
      </c>
      <c r="M14">
        <v>10</v>
      </c>
      <c r="N14" s="49">
        <v>44228</v>
      </c>
      <c r="O14">
        <f>COUNTIFS(Staff[Date Joined],"&gt;="&amp;N14,Staff[Date Joined],"&lt;="&amp;EOMONTH(N14,0))</f>
        <v>4</v>
      </c>
      <c r="P14">
        <f>SUM($O$5:O14)</f>
        <v>47</v>
      </c>
    </row>
    <row r="15" spans="1:16" x14ac:dyDescent="0.25">
      <c r="A15" s="48" t="s">
        <v>245</v>
      </c>
      <c r="B15" s="6">
        <v>10</v>
      </c>
      <c r="M15">
        <v>11</v>
      </c>
      <c r="N15" s="49">
        <v>44256</v>
      </c>
      <c r="O15">
        <f>COUNTIFS(Staff[Date Joined],"&gt;="&amp;N15,Staff[Date Joined],"&lt;="&amp;EOMONTH(N15,0))</f>
        <v>9</v>
      </c>
      <c r="P15">
        <f>SUM($O$5:O15)</f>
        <v>56</v>
      </c>
    </row>
    <row r="16" spans="1:16" x14ac:dyDescent="0.25">
      <c r="A16" s="48" t="s">
        <v>246</v>
      </c>
      <c r="B16" s="6">
        <v>19</v>
      </c>
      <c r="M16">
        <v>12</v>
      </c>
      <c r="N16" s="49">
        <v>44287</v>
      </c>
      <c r="O16">
        <f>COUNTIFS(Staff[Date Joined],"&gt;="&amp;N16,Staff[Date Joined],"&lt;="&amp;EOMONTH(N16,0))</f>
        <v>5</v>
      </c>
      <c r="P16">
        <f>SUM($O$5:O16)</f>
        <v>61</v>
      </c>
    </row>
    <row r="17" spans="1:16" x14ac:dyDescent="0.25">
      <c r="A17" s="48" t="s">
        <v>247</v>
      </c>
      <c r="B17" s="6">
        <v>24</v>
      </c>
      <c r="M17">
        <v>13</v>
      </c>
      <c r="N17" s="49">
        <v>44317</v>
      </c>
      <c r="O17">
        <f>COUNTIFS(Staff[Date Joined],"&gt;="&amp;N17,Staff[Date Joined],"&lt;="&amp;EOMONTH(N17,0))</f>
        <v>10</v>
      </c>
      <c r="P17">
        <f>SUM($O$5:O17)</f>
        <v>71</v>
      </c>
    </row>
    <row r="18" spans="1:16" x14ac:dyDescent="0.25">
      <c r="A18" s="48" t="s">
        <v>235</v>
      </c>
      <c r="B18" s="6">
        <v>34</v>
      </c>
      <c r="M18">
        <v>14</v>
      </c>
      <c r="N18" s="49">
        <v>44348</v>
      </c>
      <c r="O18">
        <f>COUNTIFS(Staff[Date Joined],"&gt;="&amp;N18,Staff[Date Joined],"&lt;="&amp;EOMONTH(N18,0))</f>
        <v>6</v>
      </c>
      <c r="P18">
        <f>SUM($O$5:O18)</f>
        <v>77</v>
      </c>
    </row>
    <row r="19" spans="1:16" x14ac:dyDescent="0.25">
      <c r="A19" s="48" t="s">
        <v>236</v>
      </c>
      <c r="B19" s="6">
        <v>40</v>
      </c>
      <c r="M19">
        <v>15</v>
      </c>
      <c r="N19" s="49">
        <v>44378</v>
      </c>
      <c r="O19">
        <f>COUNTIFS(Staff[Date Joined],"&gt;="&amp;N19,Staff[Date Joined],"&lt;="&amp;EOMONTH(N19,0))</f>
        <v>13</v>
      </c>
      <c r="P19">
        <f>SUM($O$5:O19)</f>
        <v>90</v>
      </c>
    </row>
    <row r="20" spans="1:16" x14ac:dyDescent="0.25">
      <c r="A20" s="48" t="s">
        <v>237</v>
      </c>
      <c r="B20" s="6">
        <v>53</v>
      </c>
      <c r="M20">
        <v>16</v>
      </c>
      <c r="N20" s="49">
        <v>44409</v>
      </c>
      <c r="O20">
        <f>COUNTIFS(Staff[Date Joined],"&gt;="&amp;N20,Staff[Date Joined],"&lt;="&amp;EOMONTH(N20,0))</f>
        <v>4</v>
      </c>
      <c r="P20">
        <f>SUM($O$5:O20)</f>
        <v>94</v>
      </c>
    </row>
    <row r="21" spans="1:16" x14ac:dyDescent="0.25">
      <c r="A21" s="48" t="s">
        <v>238</v>
      </c>
      <c r="B21" s="6">
        <v>57</v>
      </c>
      <c r="M21">
        <v>17</v>
      </c>
      <c r="N21" s="49">
        <v>44440</v>
      </c>
      <c r="O21">
        <f>COUNTIFS(Staff[Date Joined],"&gt;="&amp;N21,Staff[Date Joined],"&lt;="&amp;EOMONTH(N21,0))</f>
        <v>11</v>
      </c>
      <c r="P21">
        <f>SUM($O$5:O21)</f>
        <v>105</v>
      </c>
    </row>
    <row r="22" spans="1:16" x14ac:dyDescent="0.25">
      <c r="A22" s="48" t="s">
        <v>239</v>
      </c>
      <c r="B22" s="6">
        <v>68</v>
      </c>
      <c r="M22">
        <v>18</v>
      </c>
      <c r="N22" s="49">
        <v>44470</v>
      </c>
      <c r="O22">
        <f>COUNTIFS(Staff[Date Joined],"&gt;="&amp;N22,Staff[Date Joined],"&lt;="&amp;EOMONTH(N22,0))</f>
        <v>3</v>
      </c>
      <c r="P22">
        <f>SUM($O$5:O22)</f>
        <v>108</v>
      </c>
    </row>
    <row r="23" spans="1:16" x14ac:dyDescent="0.25">
      <c r="A23" s="48" t="s">
        <v>240</v>
      </c>
      <c r="B23" s="6">
        <v>71</v>
      </c>
      <c r="M23">
        <v>19</v>
      </c>
      <c r="N23" s="49">
        <v>44501</v>
      </c>
      <c r="O23">
        <f>COUNTIFS(Staff[Date Joined],"&gt;="&amp;N23,Staff[Date Joined],"&lt;="&amp;EOMONTH(N23,0))</f>
        <v>4</v>
      </c>
      <c r="P23">
        <f>SUM($O$5:O23)</f>
        <v>112</v>
      </c>
    </row>
    <row r="24" spans="1:16" x14ac:dyDescent="0.25">
      <c r="A24" s="48" t="s">
        <v>241</v>
      </c>
      <c r="B24" s="6">
        <v>75</v>
      </c>
      <c r="M24">
        <v>20</v>
      </c>
      <c r="N24" s="49">
        <v>44531</v>
      </c>
      <c r="O24">
        <f>COUNTIFS(Staff[Date Joined],"&gt;="&amp;N24,Staff[Date Joined],"&lt;="&amp;EOMONTH(N24,0))</f>
        <v>7</v>
      </c>
      <c r="P24">
        <f>SUM($O$5:O24)</f>
        <v>119</v>
      </c>
    </row>
    <row r="25" spans="1:16" x14ac:dyDescent="0.25">
      <c r="A25" s="48" t="s">
        <v>242</v>
      </c>
      <c r="B25" s="6">
        <v>82</v>
      </c>
      <c r="M25">
        <v>21</v>
      </c>
      <c r="N25" s="49">
        <v>44562</v>
      </c>
      <c r="O25">
        <f>COUNTIFS(Staff[Date Joined],"&gt;="&amp;N25,Staff[Date Joined],"&lt;="&amp;EOMONTH(N25,0))</f>
        <v>3</v>
      </c>
      <c r="P25">
        <f>SUM($O$5:O25)</f>
        <v>122</v>
      </c>
    </row>
    <row r="26" spans="1:16" x14ac:dyDescent="0.25">
      <c r="A26" s="11" t="s">
        <v>248</v>
      </c>
      <c r="B26" s="6"/>
      <c r="M26">
        <v>22</v>
      </c>
      <c r="N26" s="49">
        <v>44593</v>
      </c>
      <c r="O26">
        <f>COUNTIFS(Staff[Date Joined],"&gt;="&amp;N26,Staff[Date Joined],"&lt;="&amp;EOMONTH(N26,0))</f>
        <v>10</v>
      </c>
      <c r="P26">
        <f>SUM($O$5:O26)</f>
        <v>132</v>
      </c>
    </row>
    <row r="27" spans="1:16" x14ac:dyDescent="0.25">
      <c r="A27" s="48" t="s">
        <v>244</v>
      </c>
      <c r="B27" s="6">
        <v>3</v>
      </c>
      <c r="M27">
        <v>23</v>
      </c>
      <c r="N27" s="49">
        <v>44621</v>
      </c>
      <c r="O27">
        <f>COUNTIFS(Staff[Date Joined],"&gt;="&amp;N27,Staff[Date Joined],"&lt;="&amp;EOMONTH(N27,0))</f>
        <v>9</v>
      </c>
      <c r="P27">
        <f>SUM($O$5:O27)</f>
        <v>141</v>
      </c>
    </row>
    <row r="28" spans="1:16" x14ac:dyDescent="0.25">
      <c r="A28" s="48" t="s">
        <v>245</v>
      </c>
      <c r="B28" s="6">
        <v>13</v>
      </c>
      <c r="M28">
        <v>24</v>
      </c>
      <c r="N28" s="49">
        <v>44652</v>
      </c>
      <c r="O28">
        <f>COUNTIFS(Staff[Date Joined],"&gt;="&amp;N28,Staff[Date Joined],"&lt;="&amp;EOMONTH(N28,0))</f>
        <v>9</v>
      </c>
      <c r="P28">
        <f>SUM($O$5:O28)</f>
        <v>150</v>
      </c>
    </row>
    <row r="29" spans="1:16" x14ac:dyDescent="0.25">
      <c r="A29" s="48" t="s">
        <v>246</v>
      </c>
      <c r="B29" s="6">
        <v>22</v>
      </c>
      <c r="M29">
        <v>25</v>
      </c>
      <c r="N29" s="49">
        <v>44682</v>
      </c>
      <c r="O29">
        <f>COUNTIFS(Staff[Date Joined],"&gt;="&amp;N29,Staff[Date Joined],"&lt;="&amp;EOMONTH(N29,0))</f>
        <v>9</v>
      </c>
      <c r="P29">
        <f>SUM($O$5:O29)</f>
        <v>159</v>
      </c>
    </row>
    <row r="30" spans="1:16" x14ac:dyDescent="0.25">
      <c r="A30" s="48" t="s">
        <v>247</v>
      </c>
      <c r="B30" s="6">
        <v>31</v>
      </c>
      <c r="M30">
        <v>26</v>
      </c>
      <c r="N30" s="49">
        <v>44713</v>
      </c>
      <c r="O30">
        <f>COUNTIFS(Staff[Date Joined],"&gt;="&amp;N30,Staff[Date Joined],"&lt;="&amp;EOMONTH(N30,0))</f>
        <v>7</v>
      </c>
      <c r="P30">
        <f>SUM($O$5:O30)</f>
        <v>166</v>
      </c>
    </row>
    <row r="31" spans="1:16" x14ac:dyDescent="0.25">
      <c r="A31" s="48" t="s">
        <v>235</v>
      </c>
      <c r="B31" s="6">
        <v>40</v>
      </c>
      <c r="M31">
        <v>27</v>
      </c>
      <c r="N31" s="49">
        <v>44743</v>
      </c>
      <c r="O31">
        <f>COUNTIFS(Staff[Date Joined],"&gt;="&amp;N31,Staff[Date Joined],"&lt;="&amp;EOMONTH(N31,0))</f>
        <v>5</v>
      </c>
      <c r="P31">
        <f>SUM($O$5:O31)</f>
        <v>171</v>
      </c>
    </row>
    <row r="32" spans="1:16" x14ac:dyDescent="0.25">
      <c r="A32" s="48" t="s">
        <v>236</v>
      </c>
      <c r="B32" s="6">
        <v>47</v>
      </c>
      <c r="M32">
        <v>28</v>
      </c>
      <c r="N32" s="49">
        <v>44774</v>
      </c>
      <c r="O32">
        <f>COUNTIFS(Staff[Date Joined],"&gt;="&amp;N32,Staff[Date Joined],"&lt;="&amp;EOMONTH(N32,0))</f>
        <v>5</v>
      </c>
      <c r="P32">
        <f>SUM($O$5:O32)</f>
        <v>176</v>
      </c>
    </row>
    <row r="33" spans="1:16" x14ac:dyDescent="0.25">
      <c r="A33" s="48" t="s">
        <v>237</v>
      </c>
      <c r="B33" s="6">
        <v>52</v>
      </c>
      <c r="M33">
        <v>29</v>
      </c>
      <c r="N33" s="49">
        <v>44805</v>
      </c>
      <c r="O33">
        <f>COUNTIFS(Staff[Date Joined],"&gt;="&amp;N33,Staff[Date Joined],"&lt;="&amp;EOMONTH(N33,0))</f>
        <v>2</v>
      </c>
      <c r="P33">
        <f>SUM($O$5:O33)</f>
        <v>178</v>
      </c>
    </row>
    <row r="34" spans="1:16" x14ac:dyDescent="0.25">
      <c r="A34" s="48" t="s">
        <v>238</v>
      </c>
      <c r="B34" s="6">
        <v>57</v>
      </c>
      <c r="M34">
        <v>30</v>
      </c>
      <c r="N34" s="49">
        <v>44835</v>
      </c>
      <c r="O34">
        <f>COUNTIFS(Staff[Date Joined],"&gt;="&amp;N34,Staff[Date Joined],"&lt;="&amp;EOMONTH(N34,0))</f>
        <v>3</v>
      </c>
      <c r="P34">
        <f>SUM($O$5:O34)</f>
        <v>181</v>
      </c>
    </row>
    <row r="35" spans="1:16" x14ac:dyDescent="0.25">
      <c r="A35" s="48" t="s">
        <v>239</v>
      </c>
      <c r="B35" s="6">
        <v>59</v>
      </c>
      <c r="M35">
        <v>31</v>
      </c>
      <c r="N35" s="49">
        <v>44866</v>
      </c>
      <c r="O35">
        <f>COUNTIFS(Staff[Date Joined],"&gt;="&amp;N35,Staff[Date Joined],"&lt;="&amp;EOMONTH(N35,0))</f>
        <v>0</v>
      </c>
      <c r="P35">
        <f>SUM($O$5:O35)</f>
        <v>181</v>
      </c>
    </row>
    <row r="36" spans="1:16" x14ac:dyDescent="0.25">
      <c r="A36" s="48" t="s">
        <v>240</v>
      </c>
      <c r="B36" s="6">
        <v>62</v>
      </c>
      <c r="M36">
        <v>32</v>
      </c>
      <c r="N36" s="49">
        <v>44896</v>
      </c>
      <c r="O36">
        <f>COUNTIFS(Staff[Date Joined],"&gt;="&amp;N36,Staff[Date Joined],"&lt;="&amp;EOMONTH(N36,0))</f>
        <v>0</v>
      </c>
      <c r="P36">
        <f>SUM($O$5:O36)</f>
        <v>181</v>
      </c>
    </row>
    <row r="37" spans="1:16" x14ac:dyDescent="0.25">
      <c r="A37" s="11" t="s">
        <v>249</v>
      </c>
      <c r="B37" s="6"/>
      <c r="M37">
        <v>33</v>
      </c>
      <c r="N37" s="49">
        <v>44927</v>
      </c>
      <c r="O37">
        <f>COUNTIFS(Staff[Date Joined],"&gt;="&amp;N37,Staff[Date Joined],"&lt;="&amp;EOMONTH(N37,0))</f>
        <v>0</v>
      </c>
      <c r="P37">
        <f>SUM($O$5:O37)</f>
        <v>181</v>
      </c>
    </row>
    <row r="38" spans="1:16" x14ac:dyDescent="0.25">
      <c r="A38" s="48" t="s">
        <v>245</v>
      </c>
      <c r="B38" s="6">
        <v>1</v>
      </c>
      <c r="M38">
        <v>34</v>
      </c>
      <c r="N38" s="49">
        <v>44958</v>
      </c>
      <c r="O38">
        <f>COUNTIFS(Staff[Date Joined],"&gt;="&amp;N38,Staff[Date Joined],"&lt;="&amp;EOMONTH(N38,0))</f>
        <v>1</v>
      </c>
      <c r="P38">
        <f>SUM($O$5:O38)</f>
        <v>182</v>
      </c>
    </row>
    <row r="39" spans="1:16" x14ac:dyDescent="0.25">
      <c r="A39" s="48" t="s">
        <v>247</v>
      </c>
      <c r="B39" s="6">
        <v>2</v>
      </c>
      <c r="M39">
        <v>35</v>
      </c>
      <c r="N39" s="49">
        <v>44986</v>
      </c>
      <c r="O39">
        <f>COUNTIFS(Staff[Date Joined],"&gt;="&amp;N39,Staff[Date Joined],"&lt;="&amp;EOMONTH(N39,0))</f>
        <v>0</v>
      </c>
      <c r="P39">
        <f>SUM($O$5:O39)</f>
        <v>182</v>
      </c>
    </row>
    <row r="40" spans="1:16" x14ac:dyDescent="0.25">
      <c r="A40" s="11" t="s">
        <v>232</v>
      </c>
      <c r="B40" s="6"/>
      <c r="M40">
        <v>36</v>
      </c>
      <c r="N40" s="49">
        <v>45017</v>
      </c>
      <c r="O40">
        <f>COUNTIFS(Staff[Date Joined],"&gt;="&amp;N40,Staff[Date Joined],"&lt;="&amp;EOMONTH(N40,0))</f>
        <v>1</v>
      </c>
      <c r="P40">
        <f>SUM($O$5:O40)</f>
        <v>183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24"/>
  <sheetViews>
    <sheetView showGridLines="0" topLeftCell="A2" zoomScale="80" zoomScaleNormal="80" workbookViewId="0">
      <selection activeCell="C2" sqref="C2:N24"/>
    </sheetView>
  </sheetViews>
  <sheetFormatPr defaultRowHeight="15" x14ac:dyDescent="0.25"/>
  <cols>
    <col min="3" max="3" width="18.140625" customWidth="1"/>
    <col min="4" max="4" width="1.7109375" customWidth="1"/>
    <col min="5" max="5" width="18.28515625" customWidth="1"/>
    <col min="6" max="6" width="1.7109375" customWidth="1"/>
    <col min="7" max="7" width="18.5703125" customWidth="1"/>
    <col min="10" max="10" width="18.140625" customWidth="1"/>
    <col min="11" max="11" width="1.7109375" customWidth="1"/>
    <col min="12" max="12" width="18.28515625" customWidth="1"/>
    <col min="13" max="13" width="1.7109375" customWidth="1"/>
    <col min="14" max="14" width="18.5703125" customWidth="1"/>
  </cols>
  <sheetData>
    <row r="2" spans="3:14" ht="32.25" customHeight="1" x14ac:dyDescent="0.25">
      <c r="C2" s="69" t="s">
        <v>254</v>
      </c>
      <c r="D2" s="69"/>
      <c r="E2" s="69"/>
      <c r="F2" s="69"/>
      <c r="G2" s="69"/>
      <c r="J2" s="69" t="s">
        <v>255</v>
      </c>
      <c r="K2" s="69"/>
      <c r="L2" s="69"/>
      <c r="M2" s="69"/>
      <c r="N2" s="69"/>
    </row>
    <row r="3" spans="3:14" ht="75.75" customHeight="1" x14ac:dyDescent="0.25">
      <c r="C3" s="51">
        <f>COUNTIFS(Staff[Country],"nz")</f>
        <v>91</v>
      </c>
      <c r="E3" s="52">
        <f>COUNTIFS(Staff[Country],"nz",Staff[Gender],"Female")/91</f>
        <v>0.47252747252747251</v>
      </c>
      <c r="G3" s="53">
        <f>AVERAGEIFS(Staff[Salary],Staff[Country],"nz")</f>
        <v>76978.791208791212</v>
      </c>
      <c r="J3" s="57">
        <f>COUNTIFS(Staff[Country],"IND")</f>
        <v>92</v>
      </c>
      <c r="L3" s="58">
        <f>COUNTIFS(Staff[Country],"IND",Staff[Gender],"Female")/92</f>
        <v>0.45652173913043476</v>
      </c>
      <c r="N3" s="59">
        <f>AVERAGEIFS(Staff[Salary],Staff[Country],"IND")</f>
        <v>77366.521739130432</v>
      </c>
    </row>
    <row r="4" spans="3:14" ht="16.5" x14ac:dyDescent="0.3">
      <c r="C4" s="61" t="s">
        <v>256</v>
      </c>
      <c r="E4" s="61" t="s">
        <v>257</v>
      </c>
      <c r="G4" s="61" t="s">
        <v>209</v>
      </c>
      <c r="J4" s="63" t="s">
        <v>256</v>
      </c>
      <c r="L4" s="63" t="s">
        <v>257</v>
      </c>
      <c r="N4" s="63" t="s">
        <v>209</v>
      </c>
    </row>
    <row r="5" spans="3:14" ht="16.5" x14ac:dyDescent="0.3">
      <c r="C5" s="62"/>
      <c r="D5" s="60"/>
      <c r="E5" s="62"/>
      <c r="F5" s="60"/>
      <c r="G5" s="62"/>
      <c r="H5" s="60"/>
      <c r="I5" s="60"/>
      <c r="J5" s="62"/>
      <c r="K5" s="60"/>
      <c r="L5" s="62"/>
      <c r="M5" s="60"/>
      <c r="N5" s="62"/>
    </row>
    <row r="6" spans="3:14" ht="30.75" customHeight="1" x14ac:dyDescent="0.25">
      <c r="C6" s="68" t="s">
        <v>253</v>
      </c>
      <c r="D6" s="68"/>
      <c r="E6" s="68"/>
      <c r="F6" s="68"/>
      <c r="G6" s="68"/>
      <c r="H6" s="68"/>
      <c r="I6" s="68"/>
      <c r="J6" s="68"/>
      <c r="K6" s="68"/>
      <c r="L6" s="68"/>
      <c r="M6" s="68"/>
      <c r="N6" s="68"/>
    </row>
    <row r="8" spans="3:14" ht="15.75" thickBot="1" x14ac:dyDescent="0.3"/>
    <row r="9" spans="3:14" x14ac:dyDescent="0.25">
      <c r="C9" s="50"/>
      <c r="D9" s="35"/>
      <c r="E9" s="35"/>
      <c r="F9" s="35"/>
      <c r="G9" s="36"/>
      <c r="J9" s="50"/>
      <c r="K9" s="35"/>
      <c r="L9" s="35"/>
      <c r="M9" s="35"/>
      <c r="N9" s="36"/>
    </row>
    <row r="10" spans="3:14" x14ac:dyDescent="0.25">
      <c r="C10" s="37"/>
      <c r="D10" s="31"/>
      <c r="E10" s="31"/>
      <c r="F10" s="31"/>
      <c r="G10" s="38"/>
      <c r="J10" s="37"/>
      <c r="K10" s="31"/>
      <c r="L10" s="31"/>
      <c r="M10" s="31"/>
      <c r="N10" s="38"/>
    </row>
    <row r="11" spans="3:14" x14ac:dyDescent="0.25">
      <c r="C11" s="37"/>
      <c r="D11" s="31"/>
      <c r="E11" s="31"/>
      <c r="F11" s="31"/>
      <c r="G11" s="38"/>
      <c r="J11" s="37"/>
      <c r="K11" s="31"/>
      <c r="L11" s="31"/>
      <c r="M11" s="31"/>
      <c r="N11" s="38"/>
    </row>
    <row r="12" spans="3:14" x14ac:dyDescent="0.25">
      <c r="C12" s="37"/>
      <c r="D12" s="31"/>
      <c r="E12" s="31"/>
      <c r="F12" s="31"/>
      <c r="G12" s="38"/>
      <c r="J12" s="37"/>
      <c r="K12" s="31"/>
      <c r="L12" s="31"/>
      <c r="M12" s="31"/>
      <c r="N12" s="38"/>
    </row>
    <row r="13" spans="3:14" x14ac:dyDescent="0.25">
      <c r="C13" s="37"/>
      <c r="D13" s="31"/>
      <c r="E13" s="31"/>
      <c r="F13" s="31"/>
      <c r="G13" s="38"/>
      <c r="J13" s="37"/>
      <c r="K13" s="31"/>
      <c r="L13" s="31"/>
      <c r="M13" s="31"/>
      <c r="N13" s="38"/>
    </row>
    <row r="14" spans="3:14" x14ac:dyDescent="0.25">
      <c r="C14" s="37"/>
      <c r="D14" s="31"/>
      <c r="E14" s="31"/>
      <c r="F14" s="31"/>
      <c r="G14" s="38"/>
      <c r="J14" s="37"/>
      <c r="K14" s="31"/>
      <c r="L14" s="31"/>
      <c r="M14" s="31"/>
      <c r="N14" s="38"/>
    </row>
    <row r="15" spans="3:14" x14ac:dyDescent="0.25">
      <c r="C15" s="37"/>
      <c r="D15" s="31"/>
      <c r="E15" s="31"/>
      <c r="F15" s="31"/>
      <c r="G15" s="38"/>
      <c r="J15" s="37"/>
      <c r="K15" s="31"/>
      <c r="L15" s="31"/>
      <c r="M15" s="31"/>
      <c r="N15" s="38"/>
    </row>
    <row r="16" spans="3:14" x14ac:dyDescent="0.25">
      <c r="C16" s="37"/>
      <c r="D16" s="31"/>
      <c r="E16" s="31"/>
      <c r="F16" s="31"/>
      <c r="G16" s="38"/>
      <c r="J16" s="37"/>
      <c r="K16" s="31"/>
      <c r="L16" s="31"/>
      <c r="M16" s="31"/>
      <c r="N16" s="38"/>
    </row>
    <row r="17" spans="3:14" x14ac:dyDescent="0.25">
      <c r="C17" s="37"/>
      <c r="D17" s="31"/>
      <c r="E17" s="31"/>
      <c r="F17" s="31"/>
      <c r="G17" s="38"/>
      <c r="J17" s="37"/>
      <c r="K17" s="31"/>
      <c r="L17" s="31"/>
      <c r="M17" s="31"/>
      <c r="N17" s="38"/>
    </row>
    <row r="18" spans="3:14" x14ac:dyDescent="0.25">
      <c r="C18" s="37"/>
      <c r="D18" s="31"/>
      <c r="E18" s="31"/>
      <c r="F18" s="31"/>
      <c r="G18" s="38"/>
      <c r="J18" s="37"/>
      <c r="K18" s="31"/>
      <c r="L18" s="31"/>
      <c r="M18" s="31"/>
      <c r="N18" s="38"/>
    </row>
    <row r="19" spans="3:14" x14ac:dyDescent="0.25">
      <c r="C19" s="37"/>
      <c r="D19" s="31"/>
      <c r="E19" s="31"/>
      <c r="F19" s="31"/>
      <c r="G19" s="38"/>
      <c r="J19" s="37"/>
      <c r="K19" s="31"/>
      <c r="L19" s="31"/>
      <c r="M19" s="31"/>
      <c r="N19" s="38"/>
    </row>
    <row r="20" spans="3:14" x14ac:dyDescent="0.25">
      <c r="C20" s="37"/>
      <c r="D20" s="31"/>
      <c r="E20" s="31"/>
      <c r="F20" s="31"/>
      <c r="G20" s="38"/>
      <c r="J20" s="37"/>
      <c r="K20" s="31"/>
      <c r="L20" s="31"/>
      <c r="M20" s="31"/>
      <c r="N20" s="38"/>
    </row>
    <row r="21" spans="3:14" x14ac:dyDescent="0.25">
      <c r="C21" s="37"/>
      <c r="D21" s="31"/>
      <c r="E21" s="31"/>
      <c r="F21" s="31"/>
      <c r="G21" s="38"/>
      <c r="J21" s="37"/>
      <c r="K21" s="31"/>
      <c r="L21" s="31"/>
      <c r="M21" s="31"/>
      <c r="N21" s="38"/>
    </row>
    <row r="22" spans="3:14" x14ac:dyDescent="0.25">
      <c r="C22" s="37"/>
      <c r="D22" s="31"/>
      <c r="E22" s="31"/>
      <c r="F22" s="31"/>
      <c r="G22" s="38"/>
      <c r="J22" s="37"/>
      <c r="K22" s="31"/>
      <c r="L22" s="31"/>
      <c r="M22" s="31"/>
      <c r="N22" s="38"/>
    </row>
    <row r="23" spans="3:14" x14ac:dyDescent="0.25">
      <c r="C23" s="37"/>
      <c r="D23" s="31"/>
      <c r="E23" s="31"/>
      <c r="F23" s="31"/>
      <c r="G23" s="38"/>
      <c r="J23" s="37"/>
      <c r="K23" s="31"/>
      <c r="L23" s="31"/>
      <c r="M23" s="31"/>
      <c r="N23" s="38"/>
    </row>
    <row r="24" spans="3:14" ht="15.75" thickBot="1" x14ac:dyDescent="0.3">
      <c r="C24" s="39"/>
      <c r="D24" s="40"/>
      <c r="E24" s="40"/>
      <c r="F24" s="40"/>
      <c r="G24" s="42"/>
      <c r="J24" s="39"/>
      <c r="K24" s="40"/>
      <c r="L24" s="40"/>
      <c r="M24" s="40"/>
      <c r="N24" s="42"/>
    </row>
  </sheetData>
  <mergeCells count="3">
    <mergeCell ref="C6:N6"/>
    <mergeCell ref="C2:G2"/>
    <mergeCell ref="J2:N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8 5 d 3 9 5 - 8 f 6 4 - 4 f a 6 - 9 7 4 6 - 7 9 a 3 8 6 f 9 6 d b e "   x m l n s = " h t t p : / / s c h e m a s . m i c r o s o f t . c o m / D a t a M a s h u p " > A A A A A H 8 E A A B Q S w M E F A A C A A g A s l z U V 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s l z 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c 1 F a + b 3 J W d g E A A A o E A A A T A B w A R m 9 y b X V s Y X M v U 2 V j d G l v b j E u b S C i G A A o o B Q A A A A A A A A A A A A A A A A A A A A A A A A A A A C 1 k 1 F L w z A U h d 8 H / Q 8 h e + k g D H y e E 6 R V m Q 8 T 1 6 H g G J K 1 d z Y s T U q a q L P 0 v 5 u s m 2 3 d H k R Y X w q 3 5 3 7 n 3 J u 0 g F g z K V B U v y 9 G X s / r F S l V k C D x 9 V p o u l 6 j M e K g v R 6 y T y S N i s F W b j 5 j 4 M P A K A V C P 0 u 1 W U m 5 8 Q f l Y k o z G O N D L 1 5 W i 0 A K b U V L U i P 6 + D p J L D 4 w h Z Y Z t q w 5 X X E Y 2 m o g u c m E X 5 s Q h A N p h F Z b T B D Q O E V 4 + o I H X o + J k 6 B 2 9 D 6 e i I R R F O 0 y / G c A 5 v r P M c N k G v 5 x i O i / y z 9 v 9 g a T 5 y A c 6 d G A F f 2 A A p m t m A C / / O V E D p e i a h g z y O S 7 l Y Q m 5 y y m G o q G E 7 J C M x F r / 8 i K o B K 7 U X G H l H M a W 8 k T 5 Q Y a y r 6 + q / o n D Y k w n B P 8 o F N Q m O z 1 q t N I S n z n A q i 2 4 y 3 j G t x B z e R H K 3 Y E 3 P 5 M r u Y f p d o v 0 l + E 1 h n d S 7 u m Z I k u r 5 C L M G j Q Q U r F m + 2 a b / P W K H N F R b G W K q v P y X 1 0 H t 0 c p C x x i 2 4 t t d W h x J a q q n P x O i a j b 1 B L A Q I t A B Q A A g A I A L J c 1 F b k l j + w p w A A A P k A A A A S A A A A A A A A A A A A A A A A A A A A A A B D b 2 5 m a W c v U G F j a 2 F n Z S 5 4 b W x Q S w E C L Q A U A A I A C A C y X N R W D 8 r p q 6 Q A A A D p A A A A E w A A A A A A A A A A A A A A A A D z A A A A W 0 N v b n R l b n R f V H l w Z X N d L n h t b F B L A Q I t A B Q A A g A I A L J c 1 F a + b 3 J W d g E A A A o E A A A T A A A A A A A A A A A A A A A A A O Q B A A B G b 3 J t d W x h c y 9 T Z W N 0 a W 9 u M S 5 t U E s F B g A A A A A D A A M A w g A A A K c 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g W A A A A A A A A F 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e l 9 z d G F m Z 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z L T A 2 L T I w V D A 2 O j A y O j Q 4 L j Y 3 O T Q 2 O D V 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m V z d W x 0 V H l w Z S I g V m F s d W U 9 I n N U Y W J s Z S I g L z 4 8 R W 5 0 c n k g V H l w Z T 0 i Q W R k Z W R U b 0 R h d G F N b 2 R l b C I g V m F s d W U 9 I m w w I i A v P j x F b n R y e S B U e X B l P S J G a W x s U 3 R h d H V z I i B W Y W x 1 Z T 0 i c 0 N v b X B s Z X R l I i A v P j x F b n R y e S B U e X B l P S J G a W x s R X J y b 3 J D b 2 R l I i B W Y W x 1 Z T 0 i c 1 V u a 2 5 v d 2 4 i I C 8 + P E V u d H J 5 I F R 5 c G U 9 I k Z p b G x M Y X N 0 V X B k Y X R l Z C I g V m F s d W U 9 I m Q y M D I z L T A 2 L T I w V D A 2 O j A y O j Q 5 L j E w N D Y w M z J a I i A v P j x F b n R y e S B U e X B l P S J O Y W 1 l V X B k Y X R l Z E F m d G V y R m l s b C I g V m F s d W U 9 I m w x I i A v P j x F b n R y e S B U e X B l P S J M b 2 F k Z W R U b 0 F u Y W x 5 c 2 l z U 2 V y d m l j Z X M i I F Z h b H V l P S J s M C I g L z 4 8 R W 5 0 c n k g V H l w Z T 0 i Q n V m Z m V y T m V 4 d F J l Z n J l c 2 g i I F Z h b H V l P S J s M S I g L z 4 8 R W 5 0 c n k g V H l w Z T 0 i R m l s b E V u Y W J s Z W Q i I F Z h b H V l P S J s M C I g L z 4 8 R W 5 0 c n k g V H l w Z T 0 i R m l s b F R v R G F 0 Y U 1 v Z G V s R W 5 h Y m x l Z C I g V m F s d W U 9 I m w w 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0 l u Z G l h J T I w U 3 R h Z m Y v Q W R k Z W Q l M j B D d X N 0 b 2 0 8 L 0 l 0 Z W 1 Q Y X R o P j w v S X R l b U x v Y 2 F 0 a W 9 u P j x T d G F i b G V F b n R y a W V z I C 8 + P C 9 J d G V t P j x J d G V t P j x J d G V t T G 9 j Y X R p b 2 4 + P E l 0 Z W 1 U e X B l P k Z v c m 1 1 b G E 8 L 0 l 0 Z W 1 U e X B l P j x J d G V t U G F 0 a D 5 T Z W N 0 a W 9 u M S 9 T d G F m Z j w v S X R l b V B h d G g + P C 9 J d G V t T G 9 j Y X R p b 2 4 + P F N 0 Y W J s Z U V u d H J p Z X M + P E V u d H J 5 I F R 5 c G U 9 I k l z U H J p d m F 0 Z S I g V m F s d W U 9 I m w w I i A v P j x F b n R y e S B U e X B l P S J S Z X N 1 b H R U e X B l I i B W Y W x 1 Z T 0 i c 1 R h Y m x l I i A v P j x F b n R y e S B U e X B l P S J B Z G R l Z F R v R G F 0 Y U 1 v Z G V s I i B W Y W x 1 Z T 0 i b D A i I C 8 + P E V u d H J 5 I F R 5 c G U 9 I l J l b G F 0 a W 9 u c 2 h p c E l u Z m 9 D b 2 5 0 Y W l u Z X I i I F Z h b H V l P S J z e y Z x d W 9 0 O 2 N v b H V t b k N v d W 5 0 J n F 1 b 3 Q 7 O j g s J n F 1 b 3 Q 7 a 2 V 5 Q 2 9 s d W 1 u T m F t Z X M m c X V v d D s 6 W y Z x d W 9 0 O 0 5 h b W U m c X V v d D t d L C Z x d W 9 0 O 3 F 1 Z X J 5 U m V s Y X R p b 2 5 z a G l w c y Z x d W 9 0 O z p b X S w m c X V v d D t j b 2 x 1 b W 5 J Z G V u d G l 0 a W V z J n F 1 b 3 Q 7 O l s m c X V v d D t T Z W N 0 a W 9 u M S 9 T d G F m Z i 9 B c H B l b m R l Z C B R d W V y e S 5 7 T m F t Z S w w f S Z x d W 9 0 O y w m c X V v d D t T Z W N 0 a W 9 u M S 9 T d G F m Z i 9 S Z X B s Y W N l Z C B W Y W x 1 Z S 5 7 R 2 V u Z G V y L D F 9 J n F 1 b 3 Q 7 L C Z x d W 9 0 O 1 N l Y 3 R p b 2 4 x L 1 N 0 Y W Z m L 0 F w c G V u Z G V k I F F 1 Z X J 5 L n t B Z 2 U s M n 0 m c X V v d D s s J n F 1 b 3 Q 7 U 2 V j d G l v b j E v U 3 R h Z m Y v Q X B w Z W 5 k Z W Q g U X V l c n k u e 1 J h d G l u Z y w z f S Z x d W 9 0 O y w m c X V v d D t T Z W N 0 a W 9 u M S 9 T d G F m Z i 9 D a G F u Z 2 V k I F R 5 c G U u e 0 R h d G U g S m 9 p b m V k L D R 9 J n F 1 b 3 Q 7 L C Z x d W 9 0 O 1 N l Y 3 R p b 2 4 x L 1 N 0 Y W Z m L 0 F w c G V u Z G V k I F F 1 Z X J 5 L n t E Z X B h c n R t Z W 5 0 L D V 9 J n F 1 b 3 Q 7 L C Z x d W 9 0 O 1 N l Y 3 R p b 2 4 x L 1 N 0 Y W Z m L 0 F w c G V u Z G V k I F F 1 Z X J 5 L n t T Y W x h c n k s N n 0 m c X V v d D s s J n F 1 b 3 Q 7 U 2 V j d G l v b j E v U 3 R h Z m Y v Q X B w Z W 5 k Z W Q g U X V l c n k u e 0 N v d W 5 0 c n k s N 3 0 m c X V v d D t d L C Z x d W 9 0 O 0 N v b H V t b k N v d W 5 0 J n F 1 b 3 Q 7 O j g s J n F 1 b 3 Q 7 S 2 V 5 Q 2 9 s d W 1 u T m F t Z X M m c X V v d D s 6 W y Z x d W 9 0 O 0 5 h b W U m c X V v d D t d L C Z x d W 9 0 O 0 N v b H V t b k l k Z W 5 0 a X R p Z X M m c X V v d D s 6 W y Z x d W 9 0 O 1 N l Y 3 R p b 2 4 x L 1 N 0 Y W Z m L 0 F w c G V u Z G V k I F F 1 Z X J 5 L n t O Y W 1 l L D B 9 J n F 1 b 3 Q 7 L C Z x d W 9 0 O 1 N l Y 3 R p b 2 4 x L 1 N 0 Y W Z m L 1 J l c G x h Y 2 V k I F Z h b H V l L n t H Z W 5 k Z X I s M X 0 m c X V v d D s s J n F 1 b 3 Q 7 U 2 V j d G l v b j E v U 3 R h Z m Y v Q X B w Z W 5 k Z W Q g U X V l c n k u e 0 F n Z S w y f S Z x d W 9 0 O y w m c X V v d D t T Z W N 0 a W 9 u M S 9 T d G F m Z i 9 B c H B l b m R l Z C B R d W V y e S 5 7 U m F 0 a W 5 n L D N 9 J n F 1 b 3 Q 7 L C Z x d W 9 0 O 1 N l Y 3 R p b 2 4 x L 1 N 0 Y W Z m L 0 N o Y W 5 n Z W Q g V H l w Z S 5 7 R G F 0 Z S B K b 2 l u Z W Q s N H 0 m c X V v d D s s J n F 1 b 3 Q 7 U 2 V j d G l v b j E v U 3 R h Z m Y v Q X B w Z W 5 k Z W Q g U X V l c n k u e 0 R l c G F y d G 1 l b n Q s N X 0 m c X V v d D s s J n F 1 b 3 Q 7 U 2 V j d G l v b j E v U 3 R h Z m Y v Q X B w Z W 5 k Z W Q g U X V l c n k u e 1 N h b G F y e S w 2 f S Z x d W 9 0 O y w m c X V v d D t T Z W N 0 a W 9 u M S 9 T d G F m Z i 9 B c H B l b m R l Z C B R d W V y e S 5 7 Q 2 9 1 b n R y e S w 3 f S Z x d W 9 0 O 1 0 s J n F 1 b 3 Q 7 U m V s Y X R p b 2 5 z a G l w S W 5 m b y Z x d W 9 0 O z p b X X 0 i I C 8 + P E V u d H J 5 I F R 5 c G U 9 I k Z p b G x M Y X N 0 V X B k Y X R l Z C I g V m F s d W U 9 I m Q y M D I z L T A 2 L T I w V D A 2 O j A 2 O j I w L j Y 2 N z E 5 M z B a I i A v P j x F b n R y e S B U e X B l P S J G a W x s R X J y b 3 J D b 2 R l I i B W Y W x 1 Z T 0 i c 1 V u a 2 5 v d 2 4 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E N v b H V t b l R 5 c G V z I i B W Y W x 1 Z T 0 i c 0 F B Q U F B Q W t B Q U F B P S I g L z 4 8 R W 5 0 c n k g V H l w Z T 0 i R m l s b E V y c m 9 y Q 2 9 1 b n Q i I F Z h b H V l P S J s M C I g L z 4 8 R W 5 0 c n k g V H l w Z T 0 i R m l s b E N v d W 5 0 I i B W Y W x 1 Z T 0 i b D E 4 M y I g L z 4 8 R W 5 0 c n k g V H l w Z T 0 i R m l s b F N 0 Y X R 1 c y I g V m F s d W U 9 I n N D b 2 1 w b G V 0 Z S I g L z 4 8 R W 5 0 c n k g V H l w Z T 0 i T m F t Z V V w Z G F 0 Z W R B Z n R l c k Z p b G w i I F Z h b H V l P S J s M C I g L z 4 8 R W 5 0 c n k g V H l w Z T 0 i T G 9 h Z G V k V G 9 B b m F s e X N p c 1 N l c n Z p Y 2 V z I i B W Y W x 1 Z T 0 i b D A i I C 8 + P E V u d H J 5 I F R 5 c G U 9 I k J 1 Z m Z l c k 5 l e H R S Z W Z y Z X N o I i B W Y W x 1 Z T 0 i b D E i I C 8 + P E V u d H J 5 I F R 5 c G U 9 I k Z p b G x F b m F i b G V k I i B W Y W x 1 Z T 0 i b D E 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0 F s b C B T d G F m Z i I g L z 4 8 R W 5 0 c n k g V H l w Z T 0 i R m l s b F R h c m d l d C I g V m F s d W U 9 I n N T d G F m Z i I g L z 4 8 R W 5 0 c n k g V H l w Z T 0 i U X V l c n l J R C I g V m F s d W U 9 I n N m Y j I 2 O D Y 4 Y y 1 k O T Y 5 L T Q 5 Y 2 Y t O T N k Z S 1 l Z j I 5 M m Q x Y T k x Y 2 Y 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Q W R k Z W Q l M j B D d X N 0 b 2 0 8 L 0 l 0 Z W 1 Q Y X R o P j w v S X R l b U x v Y 2 F 0 a W 9 u P j x T d G F i b G V F b n R y a W V z I C 8 + P C 9 J d G V t P j x J d G V t P j x J d G V t T G 9 j Y X R p b 2 4 + P E l 0 Z W 1 U e X B l P k Z v c m 1 1 b G E 8 L 0 l 0 Z W 1 U e X B l P j x J d G V t U G F 0 a D 5 T Z W N 0 a W 9 u M S 9 T d G F m Z i 9 B c H B l b m R l Z C U y M F F 1 Z X J 5 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Y d + x u W 9 a d U G W i U L q Z / b J p w A A A A A C A A A A A A A Q Z g A A A A E A A C A A A A A s b X i T w I H Z y o + + 6 t e 7 K Y T e i D S e m A n e U q + b R 5 w T A A w e b A A A A A A O g A A A A A I A A C A A A A D M O a m P i Q w Q F K 4 L h 9 g F / h Y P h F e x l V L x c t B q 0 z a + y 9 f j y F A A A A A y r c m p c C M R I B F 2 s k M / 6 3 u J l S o w 5 C B C 9 v 4 T 3 R j N Y D u r 1 s Q 1 3 l m H i 9 w Y v 7 R g / e D g d g 7 S w t h I b p / Z f 9 G a / U V K 3 U N T N 0 c o s / Z / w 6 x t u / f m K b G 9 P k A A A A B i H M x X L r L 1 C Z H d N D A q l G d b D j B S U l W / 3 A 0 9 / v 1 Y V Y 5 F y v 7 X f P 6 K X s 8 K z F d h v W x H X U 9 X b 8 0 1 S H r 9 9 c I E 2 1 J h w z U N < / D a t a M a s h u p > 
</file>

<file path=customXml/itemProps1.xml><?xml version="1.0" encoding="utf-8"?>
<ds:datastoreItem xmlns:ds="http://schemas.openxmlformats.org/officeDocument/2006/customXml" ds:itemID="{95E5C159-18BF-4108-94F5-28876DB6EB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India Staff</vt:lpstr>
      <vt:lpstr>All Staff</vt:lpstr>
      <vt:lpstr>Male vs Female</vt:lpstr>
      <vt:lpstr>Bonus</vt:lpstr>
      <vt:lpstr>Salary Spread</vt:lpstr>
      <vt:lpstr>Salary vs Rating</vt:lpstr>
      <vt:lpstr>Employee Trend</vt:lpstr>
      <vt:lpstr>NZ VS INDIA(Report Card)</vt:lpstr>
      <vt:lpstr>employee and department</vt:lpstr>
      <vt:lpstr>Sheet3</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2023-06-22T12:32:35Z</dcterms:modified>
</cp:coreProperties>
</file>