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25" windowWidth="16275" windowHeight="6600" firstSheet="1" activeTab="1"/>
  </bookViews>
  <sheets>
    <sheet name="K-12" sheetId="4" r:id="rId1"/>
    <sheet name="Data" sheetId="1" r:id="rId2"/>
    <sheet name="Primary Ed" sheetId="8" r:id="rId3"/>
    <sheet name="Reference" sheetId="3" r:id="rId4"/>
    <sheet name="Sheet2" sheetId="2" state="hidden" r:id="rId5"/>
    <sheet name="Country Population" sheetId="5" r:id="rId6"/>
    <sheet name="Age Groups" sheetId="6" r:id="rId7"/>
    <sheet name="k-12 Market" sheetId="7" r:id="rId8"/>
    <sheet name="Agewise Population" sheetId="9" r:id="rId9"/>
    <sheet name="Percentage DERIVED" sheetId="10" r:id="rId10"/>
    <sheet name="Tutor Market" sheetId="12" r:id="rId11"/>
  </sheets>
  <definedNames>
    <definedName name="_xlnm._FilterDatabase" localSheetId="1" hidden="1">Data!$A$1:$AJ$1</definedName>
    <definedName name="_xlnm._FilterDatabase" localSheetId="4" hidden="1">Sheet2!$A$2:$H$47</definedName>
    <definedName name="_xlnm._FilterDatabase" localSheetId="10" hidden="1">'Tutor Market'!$C$1:$C$27</definedName>
  </definedNames>
  <calcPr calcId="144525"/>
  <fileRecoveryPr repairLoad="1"/>
</workbook>
</file>

<file path=xl/calcChain.xml><?xml version="1.0" encoding="utf-8"?>
<calcChain xmlns="http://schemas.openxmlformats.org/spreadsheetml/2006/main">
  <c r="AB176" i="1" l="1"/>
  <c r="AA176" i="1"/>
  <c r="J179" i="1" l="1"/>
  <c r="K179" i="1" s="1"/>
  <c r="H178" i="1"/>
  <c r="I178" i="1" s="1"/>
  <c r="F177" i="1"/>
  <c r="G177" i="1" s="1"/>
  <c r="D176" i="1"/>
  <c r="E176" i="1" s="1"/>
  <c r="M176" i="1" s="1"/>
  <c r="P176" i="1" s="1"/>
  <c r="R176" i="1" s="1"/>
  <c r="C180" i="1"/>
  <c r="C179" i="1"/>
  <c r="C178" i="1"/>
  <c r="C177" i="1"/>
  <c r="C176" i="1"/>
  <c r="Y176" i="1" l="1"/>
  <c r="B29" i="9" l="1"/>
  <c r="C29" i="9"/>
  <c r="D29" i="9"/>
  <c r="A29" i="9"/>
  <c r="J25" i="1" l="1"/>
  <c r="K25" i="1" s="1"/>
  <c r="AA62" i="1" l="1"/>
  <c r="AB62" i="1" s="1"/>
  <c r="AA35" i="1"/>
  <c r="AB35" i="1" s="1"/>
  <c r="N2" i="1"/>
  <c r="J137" i="1"/>
  <c r="H136" i="1"/>
  <c r="F135" i="1"/>
  <c r="D134" i="1"/>
  <c r="J131" i="1"/>
  <c r="H130" i="1"/>
  <c r="F129" i="1"/>
  <c r="D128" i="1"/>
  <c r="J123" i="1"/>
  <c r="K123" i="1" s="1"/>
  <c r="H122" i="1"/>
  <c r="F121" i="1"/>
  <c r="D120" i="1"/>
  <c r="E120" i="1" s="1"/>
  <c r="J117" i="1"/>
  <c r="K117" i="1" s="1"/>
  <c r="I116" i="1"/>
  <c r="H116" i="1"/>
  <c r="F115" i="1"/>
  <c r="G115" i="1" s="1"/>
  <c r="E114" i="1"/>
  <c r="M114" i="1" s="1"/>
  <c r="P114" i="1" s="1"/>
  <c r="R114" i="1" s="1"/>
  <c r="D114" i="1"/>
  <c r="J110" i="1"/>
  <c r="K110" i="1" s="1"/>
  <c r="H109" i="1"/>
  <c r="I109" i="1" s="1"/>
  <c r="F108" i="1"/>
  <c r="G108" i="1" s="1"/>
  <c r="D107" i="1"/>
  <c r="E107" i="1" s="1"/>
  <c r="M107" i="1" s="1"/>
  <c r="P107" i="1" s="1"/>
  <c r="R107" i="1" s="1"/>
  <c r="J104" i="1"/>
  <c r="K104" i="1" s="1"/>
  <c r="I103" i="1"/>
  <c r="H103" i="1"/>
  <c r="F102" i="1"/>
  <c r="G102" i="1" s="1"/>
  <c r="E101" i="1"/>
  <c r="M101" i="1" s="1"/>
  <c r="P101" i="1" s="1"/>
  <c r="R101" i="1" s="1"/>
  <c r="D101" i="1"/>
  <c r="J97" i="1"/>
  <c r="K97" i="1" s="1"/>
  <c r="H96" i="1"/>
  <c r="I96" i="1" s="1"/>
  <c r="F95" i="1"/>
  <c r="G95" i="1" s="1"/>
  <c r="D94" i="1"/>
  <c r="E94" i="1" s="1"/>
  <c r="M94" i="1" s="1"/>
  <c r="P94" i="1" s="1"/>
  <c r="R94" i="1" s="1"/>
  <c r="J91" i="1"/>
  <c r="K91" i="1" s="1"/>
  <c r="I90" i="1"/>
  <c r="H90" i="1"/>
  <c r="F89" i="1"/>
  <c r="G89" i="1" s="1"/>
  <c r="E88" i="1"/>
  <c r="M88" i="1" s="1"/>
  <c r="P88" i="1" s="1"/>
  <c r="R88" i="1" s="1"/>
  <c r="D88" i="1"/>
  <c r="J83" i="1"/>
  <c r="K83" i="1" s="1"/>
  <c r="H82" i="1"/>
  <c r="I82" i="1" s="1"/>
  <c r="F81" i="1"/>
  <c r="G81" i="1" s="1"/>
  <c r="D80" i="1"/>
  <c r="E80" i="1" s="1"/>
  <c r="M80" i="1" s="1"/>
  <c r="P80" i="1" s="1"/>
  <c r="R80" i="1" s="1"/>
  <c r="C84" i="1"/>
  <c r="J77" i="1"/>
  <c r="K77" i="1" s="1"/>
  <c r="H76" i="1"/>
  <c r="I76" i="1" s="1"/>
  <c r="F75" i="1"/>
  <c r="G75" i="1" s="1"/>
  <c r="Y74" i="1" s="1"/>
  <c r="AA74" i="1" s="1"/>
  <c r="AB74" i="1" s="1"/>
  <c r="D74" i="1"/>
  <c r="E74" i="1" s="1"/>
  <c r="M74" i="1" s="1"/>
  <c r="P74" i="1" s="1"/>
  <c r="R74" i="1" s="1"/>
  <c r="J71" i="1"/>
  <c r="K71" i="1" s="1"/>
  <c r="H70" i="1"/>
  <c r="I70" i="1" s="1"/>
  <c r="F69" i="1"/>
  <c r="G69" i="1" s="1"/>
  <c r="Y68" i="1" s="1"/>
  <c r="AA68" i="1" s="1"/>
  <c r="AB68" i="1" s="1"/>
  <c r="D68" i="1"/>
  <c r="E68" i="1" s="1"/>
  <c r="M68" i="1" s="1"/>
  <c r="P68" i="1" s="1"/>
  <c r="R68" i="1" s="1"/>
  <c r="J65" i="1"/>
  <c r="K65" i="1" s="1"/>
  <c r="H64" i="1"/>
  <c r="I64" i="1" s="1"/>
  <c r="F63" i="1"/>
  <c r="G63" i="1" s="1"/>
  <c r="Y62" i="1" s="1"/>
  <c r="D62" i="1"/>
  <c r="E62" i="1" s="1"/>
  <c r="M62" i="1" s="1"/>
  <c r="P62" i="1" s="1"/>
  <c r="R62" i="1" s="1"/>
  <c r="F57" i="1"/>
  <c r="G57" i="1" s="1"/>
  <c r="J59" i="1"/>
  <c r="K59" i="1" s="1"/>
  <c r="H58" i="1"/>
  <c r="I58" i="1" s="1"/>
  <c r="D56" i="1"/>
  <c r="E56" i="1" s="1"/>
  <c r="J53" i="1"/>
  <c r="K53" i="1" s="1"/>
  <c r="H52" i="1"/>
  <c r="I52" i="1" s="1"/>
  <c r="F51" i="1"/>
  <c r="G51" i="1" s="1"/>
  <c r="Y50" i="1" s="1"/>
  <c r="AA50" i="1" s="1"/>
  <c r="AB50" i="1" s="1"/>
  <c r="D50" i="1"/>
  <c r="E50" i="1" s="1"/>
  <c r="M50" i="1" s="1"/>
  <c r="P50" i="1" s="1"/>
  <c r="R50" i="1" s="1"/>
  <c r="J45" i="1"/>
  <c r="K45" i="1" s="1"/>
  <c r="H44" i="1"/>
  <c r="I44" i="1" s="1"/>
  <c r="F43" i="1"/>
  <c r="G43" i="1" s="1"/>
  <c r="Y42" i="1" s="1"/>
  <c r="AA42" i="1" s="1"/>
  <c r="AB42" i="1" s="1"/>
  <c r="D42" i="1"/>
  <c r="E42" i="1" s="1"/>
  <c r="M42" i="1" s="1"/>
  <c r="P42" i="1" s="1"/>
  <c r="R42" i="1" s="1"/>
  <c r="J38" i="1"/>
  <c r="K38" i="1" s="1"/>
  <c r="H37" i="1"/>
  <c r="I37" i="1" s="1"/>
  <c r="F36" i="1"/>
  <c r="G36" i="1" s="1"/>
  <c r="Y35" i="1" s="1"/>
  <c r="D35" i="1"/>
  <c r="E35" i="1" s="1"/>
  <c r="M35" i="1" s="1"/>
  <c r="P35" i="1" s="1"/>
  <c r="R35" i="1" s="1"/>
  <c r="J32" i="1"/>
  <c r="K32" i="1" s="1"/>
  <c r="H31" i="1"/>
  <c r="I31" i="1" s="1"/>
  <c r="F30" i="1"/>
  <c r="G30" i="1" s="1"/>
  <c r="Y29" i="1" s="1"/>
  <c r="AA29" i="1" s="1"/>
  <c r="AB29" i="1" s="1"/>
  <c r="D29" i="1"/>
  <c r="E29" i="1" s="1"/>
  <c r="M29" i="1" s="1"/>
  <c r="P29" i="1" s="1"/>
  <c r="R29" i="1" s="1"/>
  <c r="J143" i="1"/>
  <c r="H142" i="1"/>
  <c r="F141" i="1"/>
  <c r="D140" i="1"/>
  <c r="J150" i="1"/>
  <c r="H149" i="1"/>
  <c r="F148" i="1"/>
  <c r="D147" i="1"/>
  <c r="J157" i="1"/>
  <c r="H156" i="1"/>
  <c r="F155" i="1"/>
  <c r="D154" i="1"/>
  <c r="J171" i="1"/>
  <c r="H170" i="1"/>
  <c r="I170" i="1" s="1"/>
  <c r="F169" i="1"/>
  <c r="G169" i="1" s="1"/>
  <c r="D168" i="1"/>
  <c r="J165" i="1"/>
  <c r="H164" i="1"/>
  <c r="G163" i="1"/>
  <c r="F163" i="1"/>
  <c r="D162" i="1"/>
  <c r="C172" i="1"/>
  <c r="C171" i="1"/>
  <c r="C170" i="1"/>
  <c r="C169" i="1"/>
  <c r="C168" i="1"/>
  <c r="E168" i="1" s="1"/>
  <c r="C166" i="1"/>
  <c r="C165" i="1"/>
  <c r="C164" i="1"/>
  <c r="K165" i="1" s="1"/>
  <c r="C163" i="1"/>
  <c r="I164" i="1" s="1"/>
  <c r="C162" i="1"/>
  <c r="E162" i="1" s="1"/>
  <c r="M162" i="1" s="1"/>
  <c r="P162" i="1" s="1"/>
  <c r="R162" i="1" s="1"/>
  <c r="Y162" i="1" l="1"/>
  <c r="AA162" i="1" s="1"/>
  <c r="AB162" i="1" s="1"/>
  <c r="Y101" i="1"/>
  <c r="AA101" i="1" s="1"/>
  <c r="AB101" i="1" s="1"/>
  <c r="Y114" i="1"/>
  <c r="AA114" i="1" s="1"/>
  <c r="AB114" i="1" s="1"/>
  <c r="Y168" i="1"/>
  <c r="AA168" i="1" s="1"/>
  <c r="AB168" i="1" s="1"/>
  <c r="Y88" i="1"/>
  <c r="AA88" i="1" s="1"/>
  <c r="AB88" i="1" s="1"/>
  <c r="K171" i="1"/>
  <c r="Y56" i="1"/>
  <c r="AA56" i="1" s="1"/>
  <c r="AB56" i="1" s="1"/>
  <c r="Y80" i="1"/>
  <c r="AA80" i="1" s="1"/>
  <c r="AB80" i="1" s="1"/>
  <c r="Y94" i="1"/>
  <c r="AA94" i="1" s="1"/>
  <c r="AB94" i="1" s="1"/>
  <c r="Y107" i="1"/>
  <c r="AA107" i="1" s="1"/>
  <c r="AB107" i="1" s="1"/>
  <c r="M168" i="1"/>
  <c r="P168" i="1" s="1"/>
  <c r="R168" i="1" s="1"/>
  <c r="M56" i="1"/>
  <c r="P56" i="1" s="1"/>
  <c r="R56" i="1" s="1"/>
  <c r="I149" i="1"/>
  <c r="C158" i="1"/>
  <c r="C157" i="1"/>
  <c r="C156" i="1"/>
  <c r="K157" i="1" s="1"/>
  <c r="C155" i="1"/>
  <c r="G155" i="1" s="1"/>
  <c r="C154" i="1"/>
  <c r="E154" i="1" s="1"/>
  <c r="C151" i="1"/>
  <c r="C150" i="1"/>
  <c r="C149" i="1"/>
  <c r="K150" i="1" s="1"/>
  <c r="C148" i="1"/>
  <c r="G148" i="1" s="1"/>
  <c r="C147" i="1"/>
  <c r="E147" i="1" s="1"/>
  <c r="C144" i="1"/>
  <c r="C143" i="1"/>
  <c r="C142" i="1"/>
  <c r="K143" i="1" s="1"/>
  <c r="C141" i="1"/>
  <c r="I142" i="1" s="1"/>
  <c r="C140" i="1"/>
  <c r="E140" i="1" s="1"/>
  <c r="C138" i="1"/>
  <c r="C137" i="1"/>
  <c r="C136" i="1"/>
  <c r="K137" i="1" s="1"/>
  <c r="C135" i="1"/>
  <c r="C134" i="1"/>
  <c r="E134" i="1" s="1"/>
  <c r="C132" i="1"/>
  <c r="C131" i="1"/>
  <c r="C130" i="1"/>
  <c r="K131" i="1" s="1"/>
  <c r="C129" i="1"/>
  <c r="C128" i="1"/>
  <c r="E128" i="1" s="1"/>
  <c r="C121" i="1"/>
  <c r="I122" i="1" s="1"/>
  <c r="H24" i="1"/>
  <c r="I24" i="1" s="1"/>
  <c r="F23" i="1"/>
  <c r="G23" i="1" s="1"/>
  <c r="Y22" i="1" s="1"/>
  <c r="AA22" i="1" s="1"/>
  <c r="AB22" i="1" s="1"/>
  <c r="D22" i="1"/>
  <c r="E22" i="1" s="1"/>
  <c r="J19" i="1"/>
  <c r="K19" i="1" s="1"/>
  <c r="H18" i="1"/>
  <c r="I18" i="1" s="1"/>
  <c r="F17" i="1"/>
  <c r="G17" i="1" s="1"/>
  <c r="D16" i="1"/>
  <c r="E16" i="1" s="1"/>
  <c r="J13" i="1"/>
  <c r="K13" i="1" s="1"/>
  <c r="Y16" i="1" l="1"/>
  <c r="AA16" i="1" s="1"/>
  <c r="AB16" i="1" s="1"/>
  <c r="AA147" i="1"/>
  <c r="AB147" i="1" s="1"/>
  <c r="Y147" i="1"/>
  <c r="M154" i="1"/>
  <c r="P154" i="1" s="1"/>
  <c r="R154" i="1" s="1"/>
  <c r="G141" i="1"/>
  <c r="Y140" i="1" s="1"/>
  <c r="Y154" i="1"/>
  <c r="AA154" i="1" s="1"/>
  <c r="AB154" i="1" s="1"/>
  <c r="I156" i="1"/>
  <c r="AA140" i="1"/>
  <c r="AB140" i="1" s="1"/>
  <c r="M16" i="1"/>
  <c r="P16" i="1" s="1"/>
  <c r="R16" i="1" s="1"/>
  <c r="M147" i="1"/>
  <c r="P147" i="1" s="1"/>
  <c r="R147" i="1" s="1"/>
  <c r="M22" i="1"/>
  <c r="P22" i="1" s="1"/>
  <c r="R22" i="1" s="1"/>
  <c r="G121" i="1"/>
  <c r="G129" i="1"/>
  <c r="I130" i="1"/>
  <c r="G135" i="1"/>
  <c r="I136" i="1"/>
  <c r="H12" i="1"/>
  <c r="I12" i="1" s="1"/>
  <c r="F11" i="1"/>
  <c r="G11" i="1" s="1"/>
  <c r="Y10" i="1" s="1"/>
  <c r="AA10" i="1" s="1"/>
  <c r="AB10" i="1" s="1"/>
  <c r="D10" i="1"/>
  <c r="E10" i="1" s="1"/>
  <c r="J5" i="1"/>
  <c r="K5" i="1" s="1"/>
  <c r="H4" i="1"/>
  <c r="I4" i="1" s="1"/>
  <c r="F3" i="1"/>
  <c r="G3" i="1" s="1"/>
  <c r="Y2" i="1" s="1"/>
  <c r="AA2" i="1" s="1"/>
  <c r="AB2" i="1" s="1"/>
  <c r="D2" i="1"/>
  <c r="E2" i="1" s="1"/>
  <c r="M2" i="1" s="1"/>
  <c r="M120" i="1" l="1"/>
  <c r="P120" i="1" s="1"/>
  <c r="R120" i="1" s="1"/>
  <c r="Y120" i="1"/>
  <c r="AA120" i="1" s="1"/>
  <c r="AB120" i="1" s="1"/>
  <c r="Y134" i="1"/>
  <c r="M140" i="1"/>
  <c r="P140" i="1" s="1"/>
  <c r="R140" i="1" s="1"/>
  <c r="Y128" i="1"/>
  <c r="M134" i="1"/>
  <c r="P134" i="1" s="1"/>
  <c r="R134" i="1" s="1"/>
  <c r="AA134" i="1"/>
  <c r="AB134" i="1" s="1"/>
  <c r="M128" i="1"/>
  <c r="P128" i="1" s="1"/>
  <c r="R128" i="1" s="1"/>
  <c r="AA128" i="1"/>
  <c r="AB128" i="1" s="1"/>
  <c r="P2" i="1"/>
  <c r="R2" i="1" s="1"/>
  <c r="M10" i="1"/>
  <c r="P10" i="1" s="1"/>
  <c r="R10" i="1" s="1"/>
  <c r="X107" i="1"/>
  <c r="T120" i="1"/>
  <c r="X120" i="1" s="1"/>
  <c r="T114" i="1"/>
  <c r="X114" i="1" s="1"/>
  <c r="T107" i="1"/>
  <c r="W107" i="1" s="1"/>
  <c r="T101" i="1"/>
  <c r="X101" i="1" s="1"/>
  <c r="T94" i="1"/>
  <c r="X94" i="1" s="1"/>
  <c r="T88" i="1"/>
  <c r="X88" i="1" s="1"/>
  <c r="T80" i="1"/>
  <c r="W80" i="1" s="1"/>
  <c r="T74" i="1"/>
  <c r="X74" i="1" s="1"/>
  <c r="T68" i="1"/>
  <c r="X68" i="1" s="1"/>
  <c r="T62" i="1"/>
  <c r="X62" i="1" s="1"/>
  <c r="T56" i="1"/>
  <c r="W56" i="1" s="1"/>
  <c r="T50" i="1"/>
  <c r="X50" i="1" s="1"/>
  <c r="T42" i="1"/>
  <c r="X42" i="1" s="1"/>
  <c r="T35" i="1"/>
  <c r="W35" i="1" s="1"/>
  <c r="T29" i="1"/>
  <c r="W29" i="1" s="1"/>
  <c r="T22" i="1"/>
  <c r="X22" i="1" s="1"/>
  <c r="T16" i="1"/>
  <c r="X16" i="1" s="1"/>
  <c r="T10" i="1"/>
  <c r="W10" i="1" s="1"/>
  <c r="T2" i="1"/>
  <c r="W2" i="1" s="1"/>
  <c r="N120" i="1"/>
  <c r="Q120" i="1" s="1"/>
  <c r="S120" i="1" s="1"/>
  <c r="N114" i="1"/>
  <c r="N107" i="1"/>
  <c r="N101" i="1"/>
  <c r="N94" i="1"/>
  <c r="N88" i="1"/>
  <c r="N80" i="1"/>
  <c r="N74" i="1"/>
  <c r="N68" i="1"/>
  <c r="N62" i="1"/>
  <c r="N56" i="1"/>
  <c r="N50" i="1"/>
  <c r="N42" i="1"/>
  <c r="N35" i="1"/>
  <c r="N29" i="1"/>
  <c r="N22" i="1"/>
  <c r="N16" i="1"/>
  <c r="N10" i="1"/>
  <c r="U120" i="1"/>
  <c r="U114" i="1"/>
  <c r="U107" i="1"/>
  <c r="U101" i="1"/>
  <c r="U94" i="1"/>
  <c r="U88" i="1"/>
  <c r="U80" i="1"/>
  <c r="U74" i="1"/>
  <c r="U68" i="1"/>
  <c r="U62" i="1"/>
  <c r="U56" i="1"/>
  <c r="U50" i="1"/>
  <c r="U42" i="1"/>
  <c r="U35" i="1"/>
  <c r="U29" i="1"/>
  <c r="U22" i="1"/>
  <c r="U16" i="1"/>
  <c r="U10" i="1"/>
  <c r="U2" i="1"/>
  <c r="W88" i="1" l="1"/>
  <c r="W114" i="1"/>
  <c r="X10" i="1"/>
  <c r="W62" i="1"/>
  <c r="X2" i="1"/>
  <c r="X80" i="1"/>
  <c r="X56" i="1"/>
  <c r="X35" i="1"/>
  <c r="X29" i="1"/>
  <c r="W16" i="1"/>
  <c r="W42" i="1"/>
  <c r="W68" i="1"/>
  <c r="W94" i="1"/>
  <c r="W120" i="1"/>
  <c r="W22" i="1"/>
  <c r="W50" i="1"/>
  <c r="W74" i="1"/>
  <c r="W101" i="1"/>
  <c r="Q114" i="1"/>
  <c r="S114" i="1" s="1"/>
  <c r="Q107" i="1"/>
  <c r="S107" i="1" s="1"/>
  <c r="Q101" i="1"/>
  <c r="S101" i="1" s="1"/>
  <c r="Q94" i="1"/>
  <c r="S94" i="1" s="1"/>
  <c r="Q80" i="1"/>
  <c r="S80" i="1" s="1"/>
  <c r="Q74" i="1"/>
  <c r="S74" i="1" s="1"/>
  <c r="Q68" i="1"/>
  <c r="S68" i="1" s="1"/>
  <c r="Q62" i="1"/>
  <c r="S62" i="1" s="1"/>
  <c r="Q56" i="1"/>
  <c r="S56" i="1" s="1"/>
  <c r="Q50" i="1"/>
  <c r="S50" i="1" s="1"/>
  <c r="Q42" i="1"/>
  <c r="S42" i="1" s="1"/>
  <c r="Q88" i="1"/>
  <c r="S88" i="1" s="1"/>
  <c r="Q35" i="1"/>
  <c r="S35" i="1" s="1"/>
  <c r="Q29" i="1"/>
  <c r="S29" i="1" s="1"/>
  <c r="Q22" i="1"/>
  <c r="S22" i="1" s="1"/>
  <c r="Q16" i="1"/>
  <c r="S16" i="1" s="1"/>
  <c r="Q2" i="1" l="1"/>
  <c r="S2" i="1" s="1"/>
  <c r="Q10" i="1"/>
  <c r="S10" i="1" s="1"/>
  <c r="H4" i="2" l="1"/>
</calcChain>
</file>

<file path=xl/comments1.xml><?xml version="1.0" encoding="utf-8"?>
<comments xmlns="http://schemas.openxmlformats.org/spreadsheetml/2006/main">
  <authors>
    <author>Rajashri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Rajashri:</t>
        </r>
        <r>
          <rPr>
            <sz val="9"/>
            <color indexed="81"/>
            <rFont val="Tahoma"/>
            <family val="2"/>
          </rPr>
          <t xml:space="preserve">
Derived using population data (%)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Rajashri:</t>
        </r>
        <r>
          <rPr>
            <sz val="9"/>
            <color indexed="81"/>
            <rFont val="Tahoma"/>
            <family val="2"/>
          </rPr>
          <t xml:space="preserve">
Based on data collected from Global Fact Book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Rajashri:</t>
        </r>
        <r>
          <rPr>
            <sz val="9"/>
            <color indexed="81"/>
            <rFont val="Tahoma"/>
            <family val="2"/>
          </rPr>
          <t xml:space="preserve">
Assuming 75% of the children enroll into private tutoring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Rajashri:</t>
        </r>
        <r>
          <rPr>
            <sz val="9"/>
            <color indexed="81"/>
            <rFont val="Tahoma"/>
            <family val="2"/>
          </rPr>
          <t xml:space="preserve">
Estimated charges per hour as is by googling.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Rajashri:</t>
        </r>
        <r>
          <rPr>
            <sz val="9"/>
            <color indexed="81"/>
            <rFont val="Tahoma"/>
            <family val="2"/>
          </rPr>
          <t xml:space="preserve">
Charge Per Hour structure</t>
        </r>
      </text>
    </comment>
    <comment ref="T1" authorId="0">
      <text>
        <r>
          <rPr>
            <b/>
            <sz val="9"/>
            <color indexed="81"/>
            <rFont val="Tahoma"/>
            <family val="2"/>
          </rPr>
          <t>Rajashri:</t>
        </r>
        <r>
          <rPr>
            <sz val="9"/>
            <color indexed="81"/>
            <rFont val="Tahoma"/>
            <family val="2"/>
          </rPr>
          <t xml:space="preserve">
Assuming half of the graduates enroll themselves for test prep coahing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Rajashri:</t>
        </r>
        <r>
          <rPr>
            <sz val="9"/>
            <color indexed="81"/>
            <rFont val="Tahoma"/>
            <family val="2"/>
          </rPr>
          <t xml:space="preserve">
https://www.stanfordtuition.com/Tuition-Rates.html</t>
        </r>
      </text>
    </comment>
    <comment ref="O50" authorId="0">
      <text>
        <r>
          <rPr>
            <b/>
            <sz val="9"/>
            <color indexed="81"/>
            <rFont val="Tahoma"/>
            <family val="2"/>
          </rPr>
          <t>Rajashri:</t>
        </r>
        <r>
          <rPr>
            <sz val="9"/>
            <color indexed="81"/>
            <rFont val="Tahoma"/>
            <family val="2"/>
          </rPr>
          <t xml:space="preserve">
https://olx.com.om/en/services/private-tutors/q-tuition/</t>
        </r>
      </text>
    </comment>
  </commentList>
</comments>
</file>

<file path=xl/sharedStrings.xml><?xml version="1.0" encoding="utf-8"?>
<sst xmlns="http://schemas.openxmlformats.org/spreadsheetml/2006/main" count="808" uniqueCount="439">
  <si>
    <t>Bahrain</t>
  </si>
  <si>
    <t>China</t>
  </si>
  <si>
    <t>India</t>
  </si>
  <si>
    <t>Indonesia</t>
  </si>
  <si>
    <t>Japan</t>
  </si>
  <si>
    <t>Kuwait</t>
  </si>
  <si>
    <t>L</t>
  </si>
  <si>
    <t>Malaysia</t>
  </si>
  <si>
    <t>North Korea</t>
  </si>
  <si>
    <t>Oman</t>
  </si>
  <si>
    <t>Qatar</t>
  </si>
  <si>
    <t>Russia</t>
  </si>
  <si>
    <t>Saudi Arabia</t>
  </si>
  <si>
    <t>Singapore</t>
  </si>
  <si>
    <t>United Arab Emirates (UAE)</t>
  </si>
  <si>
    <t>GCC Countries</t>
  </si>
  <si>
    <t>Europe</t>
  </si>
  <si>
    <t>Search:</t>
  </si>
  <si>
    <t>#</t>
  </si>
  <si>
    <t>Country</t>
  </si>
  <si>
    <t>Population</t>
  </si>
  <si>
    <t>Subregion</t>
  </si>
  <si>
    <t>Eastern Europe</t>
  </si>
  <si>
    <t>Germany</t>
  </si>
  <si>
    <t>Western Europe</t>
  </si>
  <si>
    <t>U.K.</t>
  </si>
  <si>
    <t>Northern Europe</t>
  </si>
  <si>
    <t>France</t>
  </si>
  <si>
    <t>Italy</t>
  </si>
  <si>
    <t>Southern Europe</t>
  </si>
  <si>
    <t>Spain</t>
  </si>
  <si>
    <t>Ukraine</t>
  </si>
  <si>
    <t>Poland</t>
  </si>
  <si>
    <t>Romania</t>
  </si>
  <si>
    <t>Netherlands</t>
  </si>
  <si>
    <t>Belgium</t>
  </si>
  <si>
    <t>Greece</t>
  </si>
  <si>
    <t>Czech Republic</t>
  </si>
  <si>
    <t>Portugal</t>
  </si>
  <si>
    <t>Sweden</t>
  </si>
  <si>
    <t>Hungary</t>
  </si>
  <si>
    <t>Belarus</t>
  </si>
  <si>
    <t>Serbia</t>
  </si>
  <si>
    <t>Austria</t>
  </si>
  <si>
    <t>Switzerland</t>
  </si>
  <si>
    <t>Bulgaria</t>
  </si>
  <si>
    <t>Denmark</t>
  </si>
  <si>
    <t>Finland</t>
  </si>
  <si>
    <t>Slovakia</t>
  </si>
  <si>
    <t>Norway</t>
  </si>
  <si>
    <t>Ireland</t>
  </si>
  <si>
    <t>Croatia</t>
  </si>
  <si>
    <t>Moldova</t>
  </si>
  <si>
    <t>Bosnia &amp; Herzegovina</t>
  </si>
  <si>
    <t>Albania</t>
  </si>
  <si>
    <t>Lithuania</t>
  </si>
  <si>
    <t>TFYR Macedonia</t>
  </si>
  <si>
    <t>Slovenia</t>
  </si>
  <si>
    <t>Latvia</t>
  </si>
  <si>
    <t>Estonia</t>
  </si>
  <si>
    <t>Montenegro</t>
  </si>
  <si>
    <t>Luxembourg</t>
  </si>
  <si>
    <t>Malta</t>
  </si>
  <si>
    <t>Iceland</t>
  </si>
  <si>
    <t>Andorra</t>
  </si>
  <si>
    <t>Monaco</t>
  </si>
  <si>
    <t>Liechtenstein</t>
  </si>
  <si>
    <t>San Marino</t>
  </si>
  <si>
    <t>Holy See</t>
  </si>
  <si>
    <t>15-24 years: 12.78% (male 94,215,607/female 82,050,623)</t>
  </si>
  <si>
    <t>25-54 years: 48.51% (male 341,466,438/female 327,661,460)</t>
  </si>
  <si>
    <t>55-64 years: 10.75% (male 74,771,050/female 73,441,177)</t>
  </si>
  <si>
    <t>65 years and over: 10.81% (male 71,103,029/female 77,995,969) (2017 est.)</t>
  </si>
  <si>
    <t>0 - 14 years 17.15% (male 127,484,177/female 109,113,241)</t>
  </si>
  <si>
    <t>Population Data</t>
  </si>
  <si>
    <t>0-14 years: 27.34% (male 186,087,665/female 164,398,204)</t>
  </si>
  <si>
    <t>15-24 years: 17.9% (male 121,879,786/female 107,583,437)</t>
  </si>
  <si>
    <t>25-54 years: 41.08% (male 271,744,709/female 254,834,569)</t>
  </si>
  <si>
    <t>55-64 years: 7.45% (male 47,846,122/female 47,632,532)</t>
  </si>
  <si>
    <t>65 years and over: 6.24% (male 37,837,801/female 42,091,086) (2017 est.)</t>
  </si>
  <si>
    <t>http://uis.unesco.org/en/glossary-term/gross-enrolment-ratio</t>
  </si>
  <si>
    <t>UK</t>
  </si>
  <si>
    <t>260,580,739 </t>
  </si>
  <si>
    <t>0-14 years: 25.02% (male 33,205,805/female 31,994,844)</t>
  </si>
  <si>
    <t>15-24 years: 16.99% (male 22,537,842/female 21,738,210)</t>
  </si>
  <si>
    <t>25-54 years: 42.4% (male 56,493,414/female 53,980,979)</t>
  </si>
  <si>
    <t>55-64 years: 8.58% (male 10,192,430/female 12,177,931)</t>
  </si>
  <si>
    <t>65 years and over: 7.01% (male 7,954,795/female 10,304,489) (2017 est.)</t>
  </si>
  <si>
    <t>0-14 years: 12.84% (male 8,361,611/female 7,875,045)</t>
  </si>
  <si>
    <t>15-24 years: 9.64% (male 6,417,085/female 5,778,904)</t>
  </si>
  <si>
    <t>25-54 years: 37.5% (male 23,435,323/female 23,980,781)</t>
  </si>
  <si>
    <t>55-64 years: 12.15% (male 7,692,424/female 7,665,157)</t>
  </si>
  <si>
    <t>65 years and over: 27.87% (male 15,397,309/female 19,847,759) (2017 est.)</t>
  </si>
  <si>
    <t>0-14 years: 27.83% (male 4,493,084/female 4,238,991)</t>
  </si>
  <si>
    <t>15-24 years: 16.81% (male 2,677,834/female 2,598,958)</t>
  </si>
  <si>
    <t>25-54 years: 41% (male 6,507,499/female 6,358,762)</t>
  </si>
  <si>
    <t>55-64 years: 8.27% (male 1,316,331/female 1,277,558)</t>
  </si>
  <si>
    <t>65 years and over: 6.1% (male 907,850/female 1,005,125) (2017 est.)</t>
  </si>
  <si>
    <t>0-14 years: 20.78% (male 2,670,884/female 2,576,846)</t>
  </si>
  <si>
    <t>15-24 years: 15.59% (male 1,982,045/female 1,955,220)</t>
  </si>
  <si>
    <t>25-54 years: 44.28% (male 5,608,520/female 5,572,000)</t>
  </si>
  <si>
    <t>55-64 years: 9.77% (male 1,166,680/female 1,301,201)</t>
  </si>
  <si>
    <t>65 years and over: 9.56% (male 826,735/female 1,588,009) (2017 est.)</t>
  </si>
  <si>
    <t>0-14 years: 17.12% (male 12,509,563/female 11,843,254)</t>
  </si>
  <si>
    <t>15-24 years: 9.46% (male 6,881,880/female 6,572,191)</t>
  </si>
  <si>
    <t>25-54 years: 44.71% (male 31,220,990/female 32,375,489)</t>
  </si>
  <si>
    <t>55-64 years: 14.44% (male 8,849,707/female 11,693,131)</t>
  </si>
  <si>
    <t>65 years and over: 14.28% (male 6,352,557/female 13,958,757) (2017 est.)</t>
  </si>
  <si>
    <t>5,888,926 </t>
  </si>
  <si>
    <t>0-14 years: 12.82% (male 386,139/female 368,874)</t>
  </si>
  <si>
    <t>15-24 years: 16.56% (male 479,683/female 495,649)</t>
  </si>
  <si>
    <t>25-54 years: 50.53% (male 1,448,463/female 1,527,038)</t>
  </si>
  <si>
    <t>55-64 years: 10.46% (male 308,477/female 307,557)</t>
  </si>
  <si>
    <t>65 years and over: 9.63% (male 258,597/female 308,449) (2017 est.)</t>
  </si>
  <si>
    <t>0-14 years: 30.1% (male 528,554/female 502,272)</t>
  </si>
  <si>
    <t>15-24 years: 18.69% (male 335,764/female 304,207)</t>
  </si>
  <si>
    <t>25-54 years: 43.8% (male 864,858/female 635,006)</t>
  </si>
  <si>
    <t>55-64 years: 3.92% (male 71,477/female 62,793)</t>
  </si>
  <si>
    <t>65 years and over: 3.49% (male 58,561/female 60,894) (2017 est.)</t>
  </si>
  <si>
    <t>0-14 years: 26.1% (male 3,825,242/female 3,631,967)</t>
  </si>
  <si>
    <t>15-24 years: 18.57% (male 2,842,818/female 2,462,061)</t>
  </si>
  <si>
    <t>25-54 years: 46.86% (male 7,559,248/female 5,829,656)</t>
  </si>
  <si>
    <t>55-64 years: 5.03% (male 783,673/female 653,404)</t>
  </si>
  <si>
    <t>65 years and over: 3.44% (male 498,830/female 484,871) (2017 est.)</t>
  </si>
  <si>
    <t>0-14 years: 21.01% (male 652,718/female 622,850)</t>
  </si>
  <si>
    <t>15-24 years: 13.51% (male 487,558/female 332,829)</t>
  </si>
  <si>
    <t>25-54 years: 61.14% (male 2,828,731/female 884,233)</t>
  </si>
  <si>
    <t>55-64 years: 3.27% (male 147,429/female 51,097)</t>
  </si>
  <si>
    <t>65 years and over: 1.07% (male 40,226/female 24,804) (2017 est.)</t>
  </si>
  <si>
    <r>
      <t>0-14 years: </t>
    </r>
    <r>
      <rPr>
        <sz val="8"/>
        <color rgb="FF707070"/>
        <rFont val="Arial"/>
        <family val="2"/>
      </rPr>
      <t>12.63% (male 148,021/female 144,252)</t>
    </r>
  </si>
  <si>
    <r>
      <t>15-24 years: </t>
    </r>
    <r>
      <rPr>
        <sz val="8"/>
        <color rgb="FF707070"/>
        <rFont val="Arial"/>
        <family val="2"/>
      </rPr>
      <t>12.35% (male 206,055/female 79,859)</t>
    </r>
  </si>
  <si>
    <r>
      <t>25-54 years: </t>
    </r>
    <r>
      <rPr>
        <sz val="8"/>
        <color rgb="FF707070"/>
        <rFont val="Arial"/>
        <family val="2"/>
      </rPr>
      <t>70.59% (male 1,359,383/female 274,334)</t>
    </r>
  </si>
  <si>
    <r>
      <t>55-64 years: </t>
    </r>
    <r>
      <rPr>
        <sz val="8"/>
        <color rgb="FF707070"/>
        <rFont val="Arial"/>
        <family val="2"/>
      </rPr>
      <t>3.42% (male 61,051/female 18,203)</t>
    </r>
  </si>
  <si>
    <r>
      <t>65 years and over: </t>
    </r>
    <r>
      <rPr>
        <sz val="8"/>
        <color rgb="FF707070"/>
        <rFont val="Arial"/>
        <family val="2"/>
      </rPr>
      <t>1% (male 14,932/female 8,217) (2017 est.)</t>
    </r>
  </si>
  <si>
    <t>0-14 years: 19.08% (male 136,669/female 132,493)</t>
  </si>
  <si>
    <t>15-24 years: 15.65% (male 124,906/female 95,881)</t>
  </si>
  <si>
    <t>25-54 years: 56.04% (male 516,064/female 274,604)</t>
  </si>
  <si>
    <t>55-64 years: 6.28% (male 56,671/female 31,983)</t>
  </si>
  <si>
    <t>65 years and over: 2.95% (male 20,656/female 21,015) (2017 est.)</t>
  </si>
  <si>
    <t>0-14 years: 25.02% (male 374,259/female 345,104)</t>
  </si>
  <si>
    <t>15-24 years: 15.1% (male 238,451/female 195,700)</t>
  </si>
  <si>
    <t>25-54 years: 52.27% (male 948,902/female 554,050)</t>
  </si>
  <si>
    <t>55-64 years: 5.07% (male 82,366/female 63,505)</t>
  </si>
  <si>
    <t>65 years and over: 2.54% (male 33,561/female 39,524) (2017 est.)</t>
  </si>
  <si>
    <t>0-14 years: 15.76% (male 3,571,358/female 3,366,380)</t>
  </si>
  <si>
    <t>15-24 years: 9.86% (male 2,226,142/female 2,114,853)</t>
  </si>
  <si>
    <t>25-54 years: 44.29% (male 9,579,149/female 9,921,387)</t>
  </si>
  <si>
    <t>55-64 years: 13.8% (male 2,605,849/female 3,469,246)</t>
  </si>
  <si>
    <t>65 years and over: 16.3% (male 2,409,049/female 4,770,461) (2017 est.)</t>
  </si>
  <si>
    <t>0-14 years: 17.53% (male 5,819,363/female 5,532,123)</t>
  </si>
  <si>
    <t>15-24 years: 11.9% (male 3,938,643/female 3,770,511)</t>
  </si>
  <si>
    <t>25-54 years: 40.55% (male 13,387,903/female 12,873,090)</t>
  </si>
  <si>
    <t>55-64 years: 11.98% (male 3,843,268/female 3,918,244)</t>
  </si>
  <si>
    <t>65 years and over: 18.04% (male 5,246,475/female 6,439,832) (2017 est.)</t>
  </si>
  <si>
    <t>0-14 years: 17.43% (male 892,462/female 843,375)</t>
  </si>
  <si>
    <t>15-24 years: 11.31% (male 581,025/female 545,971)</t>
  </si>
  <si>
    <t>25-54 years: 39.42% (male 1,993,590/female 1,933,080)</t>
  </si>
  <si>
    <t>55-64 years: 11.58% (male 578,942/female 574,479)</t>
  </si>
  <si>
    <t>65 years and over: 20.26% (male 931,593/female 1,085,970) (2017 est.)</t>
  </si>
  <si>
    <t>0-14 years: 13.65% (male 4,334,457/female 4,146,726)</t>
  </si>
  <si>
    <t>15-24 years: 9.66% (male 3,008,228/female 2,996,854)</t>
  </si>
  <si>
    <t>25-54 years: 42.16% (male 12,933,634/female 13,265,541)</t>
  </si>
  <si>
    <t>55-64 years: 12.99% (male 3,914,061/female 4,159,859)</t>
  </si>
  <si>
    <t>65 years and over: 21.53% (male 5,758,197/female 7,620,245) (2017 est.)</t>
  </si>
  <si>
    <t>0-14 years: 15.38% (male 3,872,763/female 3,656,549)</t>
  </si>
  <si>
    <t>15-24 years: 9.58% (male 2,424,352/female 2,267,429)</t>
  </si>
  <si>
    <t>25-54 years: 44.91% (male 11,214,102/female 10,775,039)</t>
  </si>
  <si>
    <t>55-64 years: 12.14% (male 2,899,088/female 3,044,111)</t>
  </si>
  <si>
    <t>65 years and over: 17.98% (male 3,763,989/female 5,040,737) (2017 est.)</t>
  </si>
  <si>
    <t>https://preply.com/en/skype/math-tutors</t>
  </si>
  <si>
    <t>K-12 Private Tutor 
User Market Size Estimate</t>
  </si>
  <si>
    <t>Charges per 
Hour (Avg) USD</t>
  </si>
  <si>
    <t>Test Preparation 
User Market</t>
  </si>
  <si>
    <t>Private Tutoring Market 
for Higher Studies Test Prep</t>
  </si>
  <si>
    <t>https://whichschooladvisor.com/uae/guides/private-tutors-in-uae-finding-the-right-one</t>
  </si>
  <si>
    <t>http://www.arabnews.com/saudi-arabia/news/685186</t>
  </si>
  <si>
    <t>http://work.chron.com/much-spanish-home-tutors-make-hour-21320.html</t>
  </si>
  <si>
    <t>https://www.gooverseas.com/blog/teaching-in-uae-salary</t>
  </si>
  <si>
    <t>https://thepeninsulaqatar.com/article/02/04/2017/Demand-high-for-private-tuition-despite-curbs</t>
  </si>
  <si>
    <t>https://takelessons.com/language/russian-lessons</t>
  </si>
  <si>
    <t>Per Hour tutoring fee for test prep</t>
  </si>
  <si>
    <t>Competitors/Top Players</t>
  </si>
  <si>
    <t>https://www.ibef.org/industry/education-sector-india.aspx</t>
  </si>
  <si>
    <t>Ambow Education</t>
  </si>
  <si>
    <t>http://www.ambow.net/en/</t>
  </si>
  <si>
    <t>Chinese - Gaoko</t>
  </si>
  <si>
    <t>http://www.neworiental.org/english/what/201507/8214171.html</t>
  </si>
  <si>
    <t>New Oriental</t>
  </si>
  <si>
    <t>http://en.100tal.com/investor</t>
  </si>
  <si>
    <t>TAL Education Group</t>
  </si>
  <si>
    <t xml:space="preserve">Juren </t>
  </si>
  <si>
    <t>iTutor Group</t>
  </si>
  <si>
    <t>http://www.juren.com/</t>
  </si>
  <si>
    <t>http://itutorgroup.com/about_3.html</t>
  </si>
  <si>
    <t>MandarinRocks</t>
  </si>
  <si>
    <t>Web International English</t>
  </si>
  <si>
    <t>Kaplan</t>
  </si>
  <si>
    <t>https://www.technavio.com/report/china-k12-and-higher-education-private-tutoring-market-china-2017-2021</t>
  </si>
  <si>
    <t>https://www.slideshare.net/ZhenFund/chinas-education-market-101</t>
  </si>
  <si>
    <t>http://businessworld.in/article/Business-Of-Private-Tutorials-In-India-Now-A-Multi-Billion-Dollar-Industry/28-07-2016-100972/</t>
  </si>
  <si>
    <t>FlipClass</t>
  </si>
  <si>
    <t>Qriyo</t>
  </si>
  <si>
    <t>Eduwizard</t>
  </si>
  <si>
    <t>Urban Pro</t>
  </si>
  <si>
    <t>LearnPick</t>
  </si>
  <si>
    <t>http://www.mandarinrocks.com/</t>
  </si>
  <si>
    <t>http://www.webi.com.cn/general</t>
  </si>
  <si>
    <t>https://www.kaptest.com/</t>
  </si>
  <si>
    <t>https://www.learnpick.com/</t>
  </si>
  <si>
    <t>http://www.flipclass.com/</t>
  </si>
  <si>
    <t>https://www.qriyo.com/</t>
  </si>
  <si>
    <t>http://demo.eduwizards.com/india/?flag=never</t>
  </si>
  <si>
    <t>https://www.urbanpro.com/</t>
  </si>
  <si>
    <t>https://preply.com/en/skype/math-tutors?sort=no&amp;CoB=ES&amp;s=math&amp;cf=0.89</t>
  </si>
  <si>
    <t>http://cdn.ey.com/parthenon/pdf/perspectives/Parthenon-EY_SE-Asia_Paper_final_092016_singles.pdf</t>
  </si>
  <si>
    <t>1,379,302,771 </t>
  </si>
  <si>
    <t>1,281,935,911 </t>
  </si>
  <si>
    <t>https://www.ey.com/Publication/vwLUAssets/Matt_Robb_-_EI_HE_Event_Presentation_SCORE_approved/$File/ey-matt-robb-ei-he-event-presentation-score-approved.pdf</t>
  </si>
  <si>
    <t>Jakarta Private Tutors</t>
  </si>
  <si>
    <t>http://jakartatutor.net/contact-us/</t>
  </si>
  <si>
    <t>Tutor Indonesia</t>
  </si>
  <si>
    <t>http://www.tutorindonesia.co.id/</t>
  </si>
  <si>
    <t>Antoree</t>
  </si>
  <si>
    <t>URL</t>
  </si>
  <si>
    <t>Private Tutoring 
Market for k-12(USD)</t>
  </si>
  <si>
    <t>Per Year
 Revenue(USD)</t>
  </si>
  <si>
    <t>Per Year
 Revenue for Test Preparation(USD)</t>
  </si>
  <si>
    <t>Per Month Test Prep (USD)</t>
  </si>
  <si>
    <t>America</t>
  </si>
  <si>
    <t>Knewton</t>
  </si>
  <si>
    <t>https://www.knewton.com/</t>
  </si>
  <si>
    <t>Pascal Institute</t>
  </si>
  <si>
    <t>http://www.pascaledu.com/</t>
  </si>
  <si>
    <t>Manhatten Review</t>
  </si>
  <si>
    <t>http://www.gmat.sg/jakarta-sat-tutoring/</t>
  </si>
  <si>
    <t>https://www.superprof.us/blog/payment-options-for-a-japanese-tutoring-session/</t>
  </si>
  <si>
    <t>Teach Away</t>
  </si>
  <si>
    <t>https://www.teachaway.com</t>
  </si>
  <si>
    <t>Nova Holdings</t>
  </si>
  <si>
    <t>https://nova-holdings.jp/hd_en/?page=biz_gogaku</t>
  </si>
  <si>
    <t>Tokyo Academics</t>
  </si>
  <si>
    <t>http://www.tokyoacademics.com/</t>
  </si>
  <si>
    <t>http://senseishokai.com</t>
  </si>
  <si>
    <t>Senseishokai</t>
  </si>
  <si>
    <t>Home Tutions Asia</t>
  </si>
  <si>
    <t>http://hometuitionasia.com/rates.php</t>
  </si>
  <si>
    <t>Champion Tutors</t>
  </si>
  <si>
    <t>https://www.championtutor.my/</t>
  </si>
  <si>
    <t>Tution Hero</t>
  </si>
  <si>
    <t>https://tuitionhero.my/about/</t>
  </si>
  <si>
    <t>Smart Tution</t>
  </si>
  <si>
    <t>http://www.smart-tuition.com/</t>
  </si>
  <si>
    <t>Mega Study</t>
  </si>
  <si>
    <t>http://www.megastudy.net/</t>
  </si>
  <si>
    <t>http://www.tutor-k.com/#/</t>
  </si>
  <si>
    <t>K Tutor</t>
  </si>
  <si>
    <t>Gone2Korea</t>
  </si>
  <si>
    <t>https://www.gone2korea.com/tutoring-in-korea/</t>
  </si>
  <si>
    <t>LearnersLodge</t>
  </si>
  <si>
    <t>https://www.learnerslodge.com.sg</t>
  </si>
  <si>
    <t>Making Sense</t>
  </si>
  <si>
    <t>https://www.makingsense-sg.com/</t>
  </si>
  <si>
    <t>https://antoree.com/</t>
  </si>
  <si>
    <t>Primary Education(Ages 7 - 14)</t>
  </si>
  <si>
    <t>Secondary(Ages 15-18)</t>
  </si>
  <si>
    <t>College(Ages 19-22)</t>
  </si>
  <si>
    <t>PG/Job seekers(23-25)</t>
  </si>
  <si>
    <t>Total Population in the country</t>
  </si>
  <si>
    <t>South America</t>
  </si>
  <si>
    <t>North America</t>
  </si>
  <si>
    <t>Argentina</t>
  </si>
  <si>
    <t>Brazil</t>
  </si>
  <si>
    <t>Colombia</t>
  </si>
  <si>
    <t>Canada</t>
  </si>
  <si>
    <t>United States of America (USA)</t>
  </si>
  <si>
    <t>Africa</t>
  </si>
  <si>
    <t>Congo</t>
  </si>
  <si>
    <t>Zimbabwe</t>
  </si>
  <si>
    <t>0-14 years: 24.59% (male 5,612,766/female 5,278,857)</t>
  </si>
  <si>
    <t>15-24 years: 15.28% (male 3,460,276/female 3,307,227)</t>
  </si>
  <si>
    <t>25-54 years: 39.38% (male 8,707,818/female 8,733,370)</t>
  </si>
  <si>
    <t>55-64 years: 9.13% (male 1,963,923/female 2,081,796)</t>
  </si>
  <si>
    <t>65 years and over: 11.62% (male 2,159,811/female 2,987,449) (2017 est.)</t>
  </si>
  <si>
    <t>0-14 years: 22.33% (male 23,599,867/female 22,696,756)</t>
  </si>
  <si>
    <t>15-24 years: 16.36% (male 17,212,048/female 16,721,295)</t>
  </si>
  <si>
    <t>25-54 years: 43.86% (male 45,114,076/female 45,836,147)</t>
  </si>
  <si>
    <t>55-64 years: 9.12% (male 8,931,065/female 9,974,723)</t>
  </si>
  <si>
    <t>65 years and over: 8.33% (male 7,356,838/female 9,910,576) (2017 est.)</t>
  </si>
  <si>
    <t>0-14 years: 24.22% (male 5,917,425/female 5,634,516)</t>
  </si>
  <si>
    <t>15-24 years: 17.25% (male 4,191,033/female 4,038,314)</t>
  </si>
  <si>
    <t>25-54 years: 41.91% (male 9,918,698/female 10,071,419)</t>
  </si>
  <si>
    <t>55-64 years: 9.18% (male 2,059,712/female 2,318,320)</t>
  </si>
  <si>
    <t>65 years and over: 7.44% (male 1,480,966/female 2,068,121) (2017 est.)</t>
  </si>
  <si>
    <t>0-14 years: 15.44% (male 2,819,279/female 2,680,024)</t>
  </si>
  <si>
    <t>15-24 years: 11.85% (male 2,171,703/female 2,048,546)</t>
  </si>
  <si>
    <t>25-54 years: 39.99% (male 7,227,145/female 7,020,156)</t>
  </si>
  <si>
    <t>55-64 years: 14.1% (male 2,492,120/female 2,529,652)</t>
  </si>
  <si>
    <t>65 years and over: 18.63% (male 2,958,721/female 3,676,334) (2017 est.)</t>
  </si>
  <si>
    <t>0-14 years: 18.73% (male 31,255,995/female 29,919,938)</t>
  </si>
  <si>
    <t>15-24 years: 13.27% (male 22,213,952/female 21,137,826)</t>
  </si>
  <si>
    <t>25-54 years: 39.45% (male 64,528,673/female 64,334,499)</t>
  </si>
  <si>
    <t>55-64 years: 12.91% (male 20,357,880/female 21,821,976)</t>
  </si>
  <si>
    <t>65 years and over: 15.63% (male 22,678,235/female 28,376,817) (2017 est.)</t>
  </si>
  <si>
    <t>0-14 years: 41.74% (male 17,525,063/female 17,241,929)</t>
  </si>
  <si>
    <t>15-24 years: 21.46% (male 8,969,922/female 8,909,903)</t>
  </si>
  <si>
    <t>25-54 years: 30.53% (male 12,691,612/female 12,738,316)</t>
  </si>
  <si>
    <t>55-64 years: 3.6% (male 1,421,619/female 1,579,034)</t>
  </si>
  <si>
    <t>65 years and over: 2.67% (male 941,926/female 1,281,827) (2017 est.)</t>
  </si>
  <si>
    <t>0-14 years: 38.9% (male 2,658,563/female 2,711,017)</t>
  </si>
  <si>
    <t>15-24 years: 20.47% (male 1,383,337/female 1,442,738)</t>
  </si>
  <si>
    <t>25-54 years: 31.9% (male 2,207,012/female 2,196,996)</t>
  </si>
  <si>
    <t>55-64 years: 4.27% (male 233,771/female 355,738)</t>
  </si>
  <si>
    <t>65 years and over: 4.46% (male 251,968/female 363,944) (2017 est.)</t>
  </si>
  <si>
    <t>Percentage of Primary from Actual population(50%)</t>
  </si>
  <si>
    <t>Percentage of Secondary from Actual population(40%)</t>
  </si>
  <si>
    <t>Percentage of College Students from Actual population(30%)</t>
  </si>
  <si>
    <t>Percentage of Job Seekers/PG from Actual population(20%)</t>
  </si>
  <si>
    <t>K-12 Private Tutor Market(Ages 7-18)</t>
  </si>
  <si>
    <t>K-12 Private Tutor Market(Ages 7-18)Size</t>
  </si>
  <si>
    <t>Per Year Size</t>
  </si>
  <si>
    <t>Per Year Test Prep Size</t>
  </si>
  <si>
    <t>Simply Learning Tution</t>
  </si>
  <si>
    <t>https://www.simplylearningtuition.co.uk/</t>
  </si>
  <si>
    <t>Teachme2</t>
  </si>
  <si>
    <t>https://www.teachme2.co.za/</t>
  </si>
  <si>
    <t>https://startupbiz.co.zw/starting-tutoring-business-plan-zimbabwe/</t>
  </si>
  <si>
    <t>Inc Tutoring</t>
  </si>
  <si>
    <t>http://www.inctutoring.com/</t>
  </si>
  <si>
    <t>Bright Sparks</t>
  </si>
  <si>
    <t>https://brightsparkz.co.za/</t>
  </si>
  <si>
    <t>Educate SA</t>
  </si>
  <si>
    <t>http://www.educatesa.co.za/</t>
  </si>
  <si>
    <t>SA Tutors</t>
  </si>
  <si>
    <t>http://www.satutors.co.za/</t>
  </si>
  <si>
    <t>https://www.care.com/tutors/brazil-in</t>
  </si>
  <si>
    <t>First Tutors</t>
  </si>
  <si>
    <t>https://www.firsttutors.com/canada/</t>
  </si>
  <si>
    <t>Liberty Tutoring</t>
  </si>
  <si>
    <t>http://libertytutoring.ca/</t>
  </si>
  <si>
    <t>Good Study</t>
  </si>
  <si>
    <t>https://www.goodstudytutoring.com/</t>
  </si>
  <si>
    <t>http://image-src.bcg.com/Images/BCG-Where-to-Invest-Now-in-GCC-Private-Education_tcm9-188993.pdf</t>
  </si>
  <si>
    <t>https://www.testprepkart.com/</t>
  </si>
  <si>
    <t>•https://www.kaptestglobal.com/kceps/saudi-arabia</t>
  </si>
  <si>
    <t>http://www.taleem-edu.com/en/managing-school</t>
  </si>
  <si>
    <t>https://www.askiitians.com/oman/</t>
  </si>
  <si>
    <t>https://mystudycart.com/iit-coaching-oman</t>
  </si>
  <si>
    <t>https://www.teacheron.com/iit_jee_maths-tutors-in-oman</t>
  </si>
  <si>
    <t>http://www.kshitij-iitjee.com/iit-jee-online-coaching-for-bahrain-students/</t>
  </si>
  <si>
    <t>http://www.meccademia.com/</t>
  </si>
  <si>
    <t>http://www.myknowledgeplanet.com/</t>
  </si>
  <si>
    <t>https://www.standyou.com/bansal-classes-kuwait/</t>
  </si>
  <si>
    <t>Test Prep Kart
Kaptest Global
Taleem
AskIITians
GEMS Education
My Study Cart
Teacheron
Kshitij
Meccademia
MyKnowledgePlanet
Bansal Classes
Atlas Education</t>
  </si>
  <si>
    <t>http://atlasdubai.agiuae.com/</t>
  </si>
  <si>
    <t>Tutor UK</t>
  </si>
  <si>
    <t>https://www.tutoractive.co.uk/?gclid=EAIaIQobChMIrf_106mR3AIVlQsrCh32jQ9JEAAYAiAAEgLOuvD_BwE</t>
  </si>
  <si>
    <t>Varsity Tutors</t>
  </si>
  <si>
    <t>https://success.varsitytutors.com</t>
  </si>
  <si>
    <t>Tutor Active</t>
  </si>
  <si>
    <t>https://www.tutoractive.co.uk/</t>
  </si>
  <si>
    <t>https://www.firsttutors.com/uk/</t>
  </si>
  <si>
    <t>Tutorful</t>
  </si>
  <si>
    <t>https://tutorful.co.uk/</t>
  </si>
  <si>
    <t>Keystone Tutors</t>
  </si>
  <si>
    <t>https://www.keystonetutors.com/</t>
  </si>
  <si>
    <t>Bulldog Tutors</t>
  </si>
  <si>
    <t>https://www.bulldogtutors.com</t>
  </si>
  <si>
    <t>Axiom Academic</t>
  </si>
  <si>
    <t>https://axiom-academic.com/</t>
  </si>
  <si>
    <t>Purple Math</t>
  </si>
  <si>
    <t>http://www.purplemath.com/</t>
  </si>
  <si>
    <t>http://www.elmscott.com/Russia/Moscow/SAT.html</t>
  </si>
  <si>
    <t>Elmscott</t>
  </si>
  <si>
    <t>Qsleap</t>
  </si>
  <si>
    <t>https://www.qsleap.com</t>
  </si>
  <si>
    <t>https://buki.com.ua/</t>
  </si>
  <si>
    <t>Buki</t>
  </si>
  <si>
    <t>Acadomia</t>
  </si>
  <si>
    <t>http://acadomia.com/tutoring-programs/</t>
  </si>
  <si>
    <t>Vnaya</t>
  </si>
  <si>
    <t>https://www.vnaya.com/</t>
  </si>
  <si>
    <t>Simplingo</t>
  </si>
  <si>
    <t>http://simplingo.com/IELTS</t>
  </si>
  <si>
    <t>Sandweiss</t>
  </si>
  <si>
    <t>https://sandweisstestprep.com/tutoring/</t>
  </si>
  <si>
    <t>https://catestutoring.com/test-prep-international</t>
  </si>
  <si>
    <t>Cates Tutors</t>
  </si>
  <si>
    <t>Competitive tutoring</t>
  </si>
  <si>
    <t>https://competitiveedgetutoring.com</t>
  </si>
  <si>
    <t>School Tutoring</t>
  </si>
  <si>
    <t>https://schooltutoring.com</t>
  </si>
  <si>
    <t>Frog Tutoring</t>
  </si>
  <si>
    <t>https://frogtutoring.com/</t>
  </si>
  <si>
    <t>https://tutorthepeople.com/</t>
  </si>
  <si>
    <t>Tutor the people</t>
  </si>
  <si>
    <t>https://getsmarterprep.com/</t>
  </si>
  <si>
    <t>Get Smarter Prep</t>
  </si>
  <si>
    <t>SAT Tutor</t>
  </si>
  <si>
    <t>http://www.sattutor.com/</t>
  </si>
  <si>
    <t>Inspirica</t>
  </si>
  <si>
    <t>https://www.inspirica.com/</t>
  </si>
  <si>
    <t>Elite Private Tutors</t>
  </si>
  <si>
    <t>http://eliteprivatetutors.com/act-exam-prep/</t>
  </si>
  <si>
    <t>Act tutoring</t>
  </si>
  <si>
    <t>https://www.studypoint.com/act-tutoring/</t>
  </si>
  <si>
    <t>Henson Test Prep</t>
  </si>
  <si>
    <t>http://hensontestprep.com/index.html</t>
  </si>
  <si>
    <t>Test Prep Market(High school+Clg.Admissions+Job Seekers)</t>
  </si>
  <si>
    <t>260580739 </t>
  </si>
  <si>
    <t>Age Group</t>
  </si>
  <si>
    <t>0-14</t>
  </si>
  <si>
    <t>15-24</t>
  </si>
  <si>
    <t>25-54</t>
  </si>
  <si>
    <t>Asia</t>
  </si>
  <si>
    <t>Percentage from Actual population(50%)</t>
  </si>
  <si>
    <t xml:space="preserve">Market Size in USD </t>
  </si>
  <si>
    <t>Australia</t>
  </si>
  <si>
    <t>NewZealand</t>
  </si>
  <si>
    <t>0-14 years: 19.69% (male 454,982/female 432,877)</t>
  </si>
  <si>
    <t>15-24 years: 13.35% (male 309,707/female 292,586)</t>
  </si>
  <si>
    <t>25-54 years: 39.82% (male 900,374/female 895,615)</t>
  </si>
  <si>
    <t>55-64 years: 11.89% (male 261,097/female 275,151)</t>
  </si>
  <si>
    <t>65 years and over: 15.25% (male 318,089/female 369,849) (2017 est.)</t>
  </si>
  <si>
    <t>LearnMate</t>
  </si>
  <si>
    <t>https://learnmate.com.au/</t>
  </si>
  <si>
    <t>https://www.tutorlocal.com.au</t>
  </si>
  <si>
    <t>Tutor Local</t>
  </si>
  <si>
    <t>Spectrum Tutor</t>
  </si>
  <si>
    <t>https://spectrumtuition.com/</t>
  </si>
  <si>
    <t>Tutor Doctor</t>
  </si>
  <si>
    <t>http://tutordoctor.com.au/</t>
  </si>
  <si>
    <t>Master Tutor</t>
  </si>
  <si>
    <t>http://mastertutor.com.au/</t>
  </si>
  <si>
    <t>Australian Tutoring</t>
  </si>
  <si>
    <t>http://australiantutoring.com.au/</t>
  </si>
  <si>
    <t>https://alchemytuition.com.au</t>
  </si>
  <si>
    <t>Alchemy Tution</t>
  </si>
  <si>
    <t>MyMaster coach</t>
  </si>
  <si>
    <t>https://mymastercoach.com.au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</si>
</sst>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,##0.00000"/>
    <numFmt numFmtId="165" formatCode="_-[$$-409]* #,##0.00_ ;_-[$$-409]* \-#,##0.00\ ;_-[$$-409]* &quot;-&quot;??_ ;_-@_ "/>
    <numFmt numFmtId="166" formatCode="_ * #,##0_ ;_ * \-#,##0_ ;_ * &quot;-&quot;??_ ;_ @_ 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.65"/>
      <color rgb="FF009414"/>
      <name val="Tahoma"/>
      <family val="2"/>
    </font>
    <font>
      <sz val="9.6"/>
      <color rgb="FF004997"/>
      <name val="Tahoma"/>
      <family val="2"/>
    </font>
    <font>
      <b/>
      <sz val="9.6"/>
      <color rgb="FF004997"/>
      <name val="Tahoma"/>
      <family val="2"/>
    </font>
    <font>
      <sz val="8"/>
      <color rgb="FF70707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.65"/>
      <color theme="1"/>
      <name val="Tahoma"/>
      <family val="2"/>
    </font>
    <font>
      <sz val="11"/>
      <color theme="3"/>
      <name val="Calibri"/>
      <family val="2"/>
      <scheme val="minor"/>
    </font>
    <font>
      <b/>
      <sz val="11.65"/>
      <name val="Tahoma"/>
      <family val="2"/>
    </font>
    <font>
      <sz val="9.6"/>
      <color theme="3"/>
      <name val="Tahoma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3" fillId="0" borderId="0" applyNumberFormat="0" applyFill="0" applyBorder="0" applyAlignment="0" applyProtection="0"/>
    <xf numFmtId="43" fontId="14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1" fillId="0" borderId="0" xfId="0" applyFont="1"/>
    <xf numFmtId="3" fontId="0" fillId="0" borderId="0" xfId="0" applyNumberFormat="1"/>
    <xf numFmtId="1" fontId="0" fillId="0" borderId="0" xfId="0" applyNumberFormat="1"/>
    <xf numFmtId="0" fontId="3" fillId="0" borderId="0" xfId="0" applyFont="1" applyAlignment="1">
      <alignment vertical="center" wrapText="1"/>
    </xf>
    <xf numFmtId="3" fontId="3" fillId="0" borderId="0" xfId="0" applyNumberFormat="1" applyFont="1" applyAlignment="1">
      <alignment vertical="center" wrapText="1"/>
    </xf>
    <xf numFmtId="164" fontId="0" fillId="0" borderId="0" xfId="0" applyNumberFormat="1"/>
    <xf numFmtId="0" fontId="4" fillId="0" borderId="0" xfId="0" applyFont="1" applyAlignment="1">
      <alignment horizontal="left" vertical="center" wrapText="1" indent="1"/>
    </xf>
    <xf numFmtId="0" fontId="3" fillId="0" borderId="0" xfId="0" applyNumberFormat="1" applyFont="1" applyAlignment="1">
      <alignment vertical="center" wrapText="1"/>
    </xf>
    <xf numFmtId="3" fontId="3" fillId="0" borderId="0" xfId="0" applyNumberFormat="1" applyFont="1" applyAlignment="1">
      <alignment horizontal="left" vertical="center" wrapText="1" indent="1"/>
    </xf>
    <xf numFmtId="0" fontId="3" fillId="0" borderId="0" xfId="0" applyFont="1" applyAlignment="1">
      <alignment horizontal="right" vertical="center" wrapText="1" indent="1"/>
    </xf>
    <xf numFmtId="0" fontId="8" fillId="0" borderId="0" xfId="0" applyFont="1"/>
    <xf numFmtId="165" fontId="0" fillId="0" borderId="0" xfId="0" applyNumberFormat="1"/>
    <xf numFmtId="0" fontId="2" fillId="2" borderId="0" xfId="0" applyFont="1" applyFill="1" applyAlignment="1">
      <alignment horizontal="left" vertical="center" wrapText="1" indent="1"/>
    </xf>
    <xf numFmtId="165" fontId="2" fillId="2" borderId="0" xfId="0" applyNumberFormat="1" applyFont="1" applyFill="1" applyAlignment="1">
      <alignment horizontal="left" vertical="center" wrapText="1" indent="1"/>
    </xf>
    <xf numFmtId="0" fontId="9" fillId="3" borderId="1" xfId="0" applyFont="1" applyFill="1" applyBorder="1" applyAlignment="1">
      <alignment horizontal="left" vertical="center" wrapText="1" indent="1"/>
    </xf>
    <xf numFmtId="165" fontId="9" fillId="3" borderId="1" xfId="0" applyNumberFormat="1" applyFont="1" applyFill="1" applyBorder="1" applyAlignment="1">
      <alignment horizontal="left" vertical="center" wrapText="1" indent="1"/>
    </xf>
    <xf numFmtId="165" fontId="10" fillId="0" borderId="0" xfId="0" applyNumberFormat="1" applyFont="1"/>
    <xf numFmtId="165" fontId="11" fillId="3" borderId="1" xfId="0" applyNumberFormat="1" applyFont="1" applyFill="1" applyBorder="1" applyAlignment="1">
      <alignment horizontal="left" vertical="center" wrapText="1" indent="1"/>
    </xf>
    <xf numFmtId="3" fontId="12" fillId="0" borderId="0" xfId="0" applyNumberFormat="1" applyFont="1" applyAlignment="1">
      <alignment vertical="center" wrapText="1"/>
    </xf>
    <xf numFmtId="0" fontId="10" fillId="0" borderId="0" xfId="0" applyFont="1"/>
    <xf numFmtId="3" fontId="10" fillId="0" borderId="0" xfId="0" applyNumberFormat="1" applyFont="1"/>
    <xf numFmtId="0" fontId="11" fillId="3" borderId="1" xfId="0" applyFont="1" applyFill="1" applyBorder="1" applyAlignment="1">
      <alignment horizontal="left" vertical="center" wrapText="1" indent="1"/>
    </xf>
    <xf numFmtId="165" fontId="11" fillId="4" borderId="1" xfId="0" applyNumberFormat="1" applyFont="1" applyFill="1" applyBorder="1" applyAlignment="1">
      <alignment horizontal="left" vertical="center" wrapText="1" indent="1"/>
    </xf>
    <xf numFmtId="0" fontId="13" fillId="0" borderId="0" xfId="1" applyAlignment="1">
      <alignment horizontal="left" vertical="center" indent="4" readingOrder="1"/>
    </xf>
    <xf numFmtId="3" fontId="10" fillId="0" borderId="0" xfId="0" applyNumberFormat="1" applyFont="1" applyFill="1"/>
    <xf numFmtId="2" fontId="0" fillId="0" borderId="0" xfId="0" applyNumberFormat="1"/>
    <xf numFmtId="166" fontId="0" fillId="0" borderId="0" xfId="2" applyNumberFormat="1" applyFont="1" applyAlignment="1">
      <alignment horizontal="right" vertical="top"/>
    </xf>
    <xf numFmtId="0" fontId="0" fillId="2" borderId="0" xfId="0" applyFill="1"/>
    <xf numFmtId="2" fontId="0" fillId="0" borderId="0" xfId="0" applyNumberFormat="1" applyAlignment="1">
      <alignment horizontal="right"/>
    </xf>
    <xf numFmtId="2" fontId="0" fillId="2" borderId="0" xfId="0" applyNumberFormat="1" applyFill="1" applyAlignment="1">
      <alignment horizontal="right"/>
    </xf>
    <xf numFmtId="2" fontId="1" fillId="0" borderId="0" xfId="0" applyNumberFormat="1" applyFont="1"/>
    <xf numFmtId="3" fontId="0" fillId="0" borderId="0" xfId="0" applyNumberFormat="1" applyAlignment="1">
      <alignment horizontal="center" vertical="top" wrapText="1"/>
    </xf>
    <xf numFmtId="3" fontId="0" fillId="0" borderId="0" xfId="0" applyNumberFormat="1" applyAlignment="1">
      <alignment horizontal="center" vertical="top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5</xdr:col>
      <xdr:colOff>18667</xdr:colOff>
      <xdr:row>13</xdr:row>
      <xdr:rowOff>180691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66667" cy="22761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8</xdr:col>
      <xdr:colOff>227962</xdr:colOff>
      <xdr:row>27</xdr:row>
      <xdr:rowOff>133095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476500"/>
          <a:ext cx="5104762" cy="2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kaptestglobal.com/kceps/saudi-arabia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D16"/>
  <sheetViews>
    <sheetView topLeftCell="A7" workbookViewId="0">
      <selection activeCell="D16" sqref="D16"/>
    </sheetView>
  </sheetViews>
  <sheetFormatPr defaultRowHeight="15" x14ac:dyDescent="0.25"/>
  <sheetData>
    <row r="16" spans="1:4" x14ac:dyDescent="0.25">
      <c r="A16" t="s">
        <v>185</v>
      </c>
      <c r="D16" t="s">
        <v>186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C11" sqref="C11"/>
    </sheetView>
  </sheetViews>
  <sheetFormatPr defaultRowHeight="15" x14ac:dyDescent="0.25"/>
  <cols>
    <col min="1" max="1" width="47.7109375" bestFit="1" customWidth="1"/>
    <col min="2" max="2" width="50" bestFit="1" customWidth="1"/>
    <col min="3" max="3" width="56.140625" bestFit="1" customWidth="1"/>
    <col min="4" max="4" width="54.85546875" bestFit="1" customWidth="1"/>
  </cols>
  <sheetData>
    <row r="1" spans="1:4" x14ac:dyDescent="0.25">
      <c r="A1" t="s">
        <v>313</v>
      </c>
      <c r="B1" t="s">
        <v>314</v>
      </c>
      <c r="C1" t="s">
        <v>315</v>
      </c>
      <c r="D1" t="s">
        <v>316</v>
      </c>
    </row>
    <row r="2" spans="1:4" x14ac:dyDescent="0.25">
      <c r="A2">
        <v>8.5749999999999993</v>
      </c>
      <c r="B2">
        <v>5.1120000000000001</v>
      </c>
      <c r="C2">
        <v>3.8339999999999996</v>
      </c>
      <c r="D2">
        <v>9.6999999999999993</v>
      </c>
    </row>
    <row r="3" spans="1:4" x14ac:dyDescent="0.25">
      <c r="A3">
        <v>13.67</v>
      </c>
      <c r="B3">
        <v>7.16</v>
      </c>
      <c r="C3">
        <v>5.37</v>
      </c>
      <c r="D3">
        <v>8.2159999999999993</v>
      </c>
    </row>
    <row r="4" spans="1:4" x14ac:dyDescent="0.25">
      <c r="A4">
        <v>12.51</v>
      </c>
      <c r="B4">
        <v>6.7959999999999994</v>
      </c>
      <c r="C4">
        <v>5.0699999999999994</v>
      </c>
      <c r="D4">
        <v>8.48</v>
      </c>
    </row>
    <row r="5" spans="1:4" x14ac:dyDescent="0.25">
      <c r="A5">
        <v>6.42</v>
      </c>
      <c r="B5">
        <v>3.8559999999999999</v>
      </c>
      <c r="C5">
        <v>2.8920000000000003</v>
      </c>
      <c r="D5">
        <v>7.5</v>
      </c>
    </row>
    <row r="6" spans="1:4" x14ac:dyDescent="0.25">
      <c r="A6">
        <v>13.914999999999999</v>
      </c>
      <c r="B6">
        <v>6.7240000000000002</v>
      </c>
      <c r="C6">
        <v>5.0429999999999993</v>
      </c>
      <c r="D6">
        <v>8.1999999999999993</v>
      </c>
    </row>
    <row r="7" spans="1:4" x14ac:dyDescent="0.25">
      <c r="A7">
        <v>10.39</v>
      </c>
      <c r="B7">
        <v>6.2360000000000007</v>
      </c>
      <c r="C7">
        <v>4.6769999999999996</v>
      </c>
      <c r="D7">
        <v>8.8559999999999999</v>
      </c>
    </row>
    <row r="8" spans="1:4" x14ac:dyDescent="0.25">
      <c r="A8">
        <v>6.41</v>
      </c>
      <c r="B8">
        <v>6.6239999999999997</v>
      </c>
      <c r="C8">
        <v>4.968</v>
      </c>
      <c r="D8">
        <v>10.106</v>
      </c>
    </row>
    <row r="9" spans="1:4" x14ac:dyDescent="0.25">
      <c r="A9">
        <v>15</v>
      </c>
      <c r="B9">
        <v>7.476</v>
      </c>
      <c r="C9">
        <v>5.6070000000000002</v>
      </c>
      <c r="D9">
        <v>8.76</v>
      </c>
    </row>
    <row r="10" spans="1:4" x14ac:dyDescent="0.25">
      <c r="A10">
        <v>13.05</v>
      </c>
      <c r="B10">
        <v>7.4279999999999999</v>
      </c>
      <c r="C10">
        <v>5.5710000000000006</v>
      </c>
      <c r="D10">
        <v>9.4</v>
      </c>
    </row>
    <row r="11" spans="1:4" x14ac:dyDescent="0.25">
      <c r="A11">
        <v>10.5</v>
      </c>
      <c r="B11">
        <v>5.4</v>
      </c>
      <c r="C11">
        <v>4.0529999999999999</v>
      </c>
      <c r="D11">
        <v>12.228</v>
      </c>
    </row>
    <row r="12" spans="1:4" x14ac:dyDescent="0.25">
      <c r="A12">
        <v>6.3150000000000004</v>
      </c>
      <c r="B12">
        <v>4.9400000000000004</v>
      </c>
      <c r="C12">
        <v>3.7050000000000001</v>
      </c>
      <c r="D12">
        <v>14.118000000000002</v>
      </c>
    </row>
    <row r="13" spans="1:4" x14ac:dyDescent="0.25">
      <c r="A13">
        <v>9.5399999999999991</v>
      </c>
      <c r="B13">
        <v>6.26</v>
      </c>
      <c r="C13">
        <v>4.6950000000000003</v>
      </c>
      <c r="D13">
        <v>11.208</v>
      </c>
    </row>
    <row r="14" spans="1:4" x14ac:dyDescent="0.25">
      <c r="A14">
        <v>12.51</v>
      </c>
      <c r="B14">
        <v>6.04</v>
      </c>
      <c r="C14">
        <v>4.53</v>
      </c>
      <c r="D14">
        <v>10.454000000000001</v>
      </c>
    </row>
    <row r="15" spans="1:4" x14ac:dyDescent="0.25">
      <c r="A15">
        <v>8.56</v>
      </c>
      <c r="B15">
        <v>3.7840000000000003</v>
      </c>
      <c r="C15">
        <v>2.8380000000000001</v>
      </c>
      <c r="D15">
        <v>8.9420000000000002</v>
      </c>
    </row>
    <row r="16" spans="1:4" x14ac:dyDescent="0.25">
      <c r="A16">
        <v>7.88</v>
      </c>
      <c r="B16">
        <v>3.944</v>
      </c>
      <c r="C16">
        <v>2.9579999999999997</v>
      </c>
      <c r="D16">
        <v>8.8579999999999988</v>
      </c>
    </row>
    <row r="17" spans="1:4" x14ac:dyDescent="0.25">
      <c r="A17">
        <v>8.7650000000000006</v>
      </c>
      <c r="B17">
        <v>4.76</v>
      </c>
      <c r="C17">
        <v>3.57</v>
      </c>
      <c r="D17">
        <v>8.11</v>
      </c>
    </row>
    <row r="18" spans="1:4" x14ac:dyDescent="0.25">
      <c r="A18">
        <v>8.7149999999999999</v>
      </c>
      <c r="B18">
        <v>4.524</v>
      </c>
      <c r="C18">
        <v>3.3930000000000002</v>
      </c>
      <c r="D18">
        <v>7.8840000000000012</v>
      </c>
    </row>
    <row r="19" spans="1:4" x14ac:dyDescent="0.25">
      <c r="A19">
        <v>6.8250000000000002</v>
      </c>
      <c r="B19">
        <v>3.8639999999999999</v>
      </c>
      <c r="C19">
        <v>2.8980000000000001</v>
      </c>
      <c r="D19">
        <v>8.4319999999999986</v>
      </c>
    </row>
    <row r="20" spans="1:4" x14ac:dyDescent="0.25">
      <c r="A20">
        <v>7.69</v>
      </c>
      <c r="B20">
        <v>3.8319999999999999</v>
      </c>
      <c r="C20">
        <v>2.8739999999999997</v>
      </c>
      <c r="D20">
        <v>8.9819999999999993</v>
      </c>
    </row>
    <row r="21" spans="1:4" x14ac:dyDescent="0.25">
      <c r="A21">
        <v>12.295</v>
      </c>
      <c r="B21">
        <v>6.1119999999999992</v>
      </c>
      <c r="C21">
        <v>4.5839999999999996</v>
      </c>
      <c r="D21">
        <v>7.8760000000000003</v>
      </c>
    </row>
    <row r="22" spans="1:4" x14ac:dyDescent="0.25">
      <c r="A22">
        <v>11.164999999999999</v>
      </c>
      <c r="B22">
        <v>6.5439999999999996</v>
      </c>
      <c r="C22">
        <v>4.9079999999999995</v>
      </c>
      <c r="D22">
        <v>8.7720000000000002</v>
      </c>
    </row>
    <row r="23" spans="1:4" x14ac:dyDescent="0.25">
      <c r="A23">
        <v>12.11</v>
      </c>
      <c r="B23">
        <v>6.9</v>
      </c>
      <c r="C23">
        <v>5.1749999999999998</v>
      </c>
      <c r="D23">
        <v>8.3819999999999997</v>
      </c>
    </row>
    <row r="24" spans="1:4" x14ac:dyDescent="0.25">
      <c r="A24">
        <v>7.72</v>
      </c>
      <c r="B24">
        <v>4.74</v>
      </c>
      <c r="C24">
        <v>3.5550000000000002</v>
      </c>
      <c r="D24">
        <v>8</v>
      </c>
    </row>
    <row r="25" spans="1:4" x14ac:dyDescent="0.25">
      <c r="A25">
        <v>9.3650000000000002</v>
      </c>
      <c r="B25">
        <v>5.3079999999999998</v>
      </c>
      <c r="C25">
        <v>3.9809999999999999</v>
      </c>
      <c r="D25">
        <v>7.89</v>
      </c>
    </row>
    <row r="26" spans="1:4" x14ac:dyDescent="0.25">
      <c r="A26">
        <v>20.87</v>
      </c>
      <c r="B26">
        <v>8.5840000000000014</v>
      </c>
      <c r="C26">
        <v>6.4380000000000006</v>
      </c>
      <c r="D26">
        <v>6.1059999999999999</v>
      </c>
    </row>
    <row r="27" spans="1:4" x14ac:dyDescent="0.25">
      <c r="A27">
        <v>19.45</v>
      </c>
      <c r="B27">
        <v>8.1879999999999988</v>
      </c>
      <c r="C27">
        <v>6.1409999999999991</v>
      </c>
      <c r="D27">
        <v>6.38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C1" sqref="C1:C1048576"/>
    </sheetView>
  </sheetViews>
  <sheetFormatPr defaultRowHeight="15" x14ac:dyDescent="0.25"/>
  <cols>
    <col min="1" max="1" width="28.85546875" bestFit="1" customWidth="1"/>
    <col min="2" max="2" width="55" bestFit="1" customWidth="1"/>
    <col min="3" max="3" width="31.85546875" bestFit="1" customWidth="1"/>
    <col min="4" max="4" width="24.85546875" bestFit="1" customWidth="1"/>
    <col min="5" max="5" width="21.42578125" bestFit="1" customWidth="1"/>
  </cols>
  <sheetData>
    <row r="1" spans="1:5" s="3" customFormat="1" x14ac:dyDescent="0.25">
      <c r="A1" s="3" t="s">
        <v>19</v>
      </c>
      <c r="B1" s="3" t="s">
        <v>407</v>
      </c>
      <c r="C1" s="3" t="s">
        <v>180</v>
      </c>
      <c r="D1" s="3" t="s">
        <v>227</v>
      </c>
      <c r="E1" s="3" t="s">
        <v>320</v>
      </c>
    </row>
    <row r="2" spans="1:5" x14ac:dyDescent="0.25">
      <c r="A2" t="s">
        <v>1</v>
      </c>
      <c r="B2">
        <v>30805429.644109994</v>
      </c>
      <c r="C2">
        <v>29</v>
      </c>
      <c r="D2">
        <v>22333936491.979744</v>
      </c>
      <c r="E2">
        <v>268007237903.75693</v>
      </c>
    </row>
    <row r="3" spans="1:5" x14ac:dyDescent="0.25">
      <c r="A3" t="s">
        <v>2</v>
      </c>
      <c r="B3">
        <v>26136393.529346995</v>
      </c>
      <c r="C3">
        <v>10</v>
      </c>
      <c r="D3">
        <v>6534098382.3367491</v>
      </c>
      <c r="E3">
        <v>78409180588.040985</v>
      </c>
    </row>
    <row r="4" spans="1:5" x14ac:dyDescent="0.25">
      <c r="A4" t="s">
        <v>3</v>
      </c>
      <c r="B4">
        <v>5359249.6357240006</v>
      </c>
      <c r="C4">
        <v>12</v>
      </c>
      <c r="D4">
        <v>1607774890.7172003</v>
      </c>
      <c r="E4">
        <v>19293298688.606403</v>
      </c>
    </row>
    <row r="5" spans="1:5" x14ac:dyDescent="0.25">
      <c r="A5" t="s">
        <v>4</v>
      </c>
      <c r="B5">
        <v>1675257.1880140002</v>
      </c>
      <c r="C5">
        <v>25</v>
      </c>
      <c r="D5">
        <v>1047035742.5087501</v>
      </c>
      <c r="E5">
        <v>12564428910.105001</v>
      </c>
    </row>
    <row r="6" spans="1:5" x14ac:dyDescent="0.25">
      <c r="A6" t="s">
        <v>7</v>
      </c>
      <c r="B6">
        <v>612724.53886799992</v>
      </c>
      <c r="C6">
        <v>25</v>
      </c>
      <c r="D6">
        <v>382952836.79249996</v>
      </c>
      <c r="E6">
        <v>4595434041.5099993</v>
      </c>
    </row>
    <row r="7" spans="1:5" x14ac:dyDescent="0.25">
      <c r="A7" t="s">
        <v>8</v>
      </c>
      <c r="B7">
        <v>528029.95738249994</v>
      </c>
      <c r="C7">
        <v>50</v>
      </c>
      <c r="D7">
        <v>660037446.72812498</v>
      </c>
      <c r="E7">
        <v>7920449360.7374992</v>
      </c>
    </row>
    <row r="8" spans="1:5" x14ac:dyDescent="0.25">
      <c r="A8" t="s">
        <v>13</v>
      </c>
      <c r="B8">
        <v>155007.37295200001</v>
      </c>
      <c r="C8">
        <v>50</v>
      </c>
      <c r="D8">
        <v>193759216.19000003</v>
      </c>
      <c r="E8">
        <v>2325110594.2800002</v>
      </c>
    </row>
    <row r="9" spans="1:5" x14ac:dyDescent="0.25">
      <c r="A9" t="s">
        <v>9</v>
      </c>
      <c r="B9">
        <v>78271.509238500003</v>
      </c>
      <c r="C9">
        <v>55</v>
      </c>
      <c r="D9">
        <v>107623325.2029375</v>
      </c>
      <c r="E9">
        <v>1291479902.43525</v>
      </c>
    </row>
    <row r="10" spans="1:5" x14ac:dyDescent="0.25">
      <c r="A10" t="s">
        <v>12</v>
      </c>
      <c r="B10">
        <v>715222.73691450001</v>
      </c>
      <c r="C10">
        <v>100</v>
      </c>
      <c r="D10">
        <v>4470142105.7156248</v>
      </c>
      <c r="E10">
        <v>53641705268.587494</v>
      </c>
    </row>
    <row r="11" spans="1:5" x14ac:dyDescent="0.25">
      <c r="A11" t="s">
        <v>14</v>
      </c>
      <c r="B11">
        <v>205431.30306750003</v>
      </c>
      <c r="C11">
        <v>100</v>
      </c>
      <c r="D11">
        <v>1309624557.0553129</v>
      </c>
      <c r="E11">
        <v>15715494684.663754</v>
      </c>
    </row>
    <row r="12" spans="1:5" x14ac:dyDescent="0.25">
      <c r="A12" t="s">
        <v>10</v>
      </c>
      <c r="B12">
        <v>99850.997908999998</v>
      </c>
      <c r="C12">
        <v>100</v>
      </c>
      <c r="D12">
        <v>1123323726.4762499</v>
      </c>
      <c r="E12">
        <v>13479884717.715</v>
      </c>
    </row>
    <row r="13" spans="1:5" x14ac:dyDescent="0.25">
      <c r="A13" t="s">
        <v>0</v>
      </c>
      <c r="B13">
        <v>42876.158358499997</v>
      </c>
      <c r="C13">
        <v>100</v>
      </c>
      <c r="D13">
        <v>493075821.12274998</v>
      </c>
      <c r="E13">
        <v>5916909853.4729996</v>
      </c>
    </row>
    <row r="14" spans="1:5" x14ac:dyDescent="0.25">
      <c r="A14" t="s">
        <v>5</v>
      </c>
      <c r="B14">
        <v>76942.153047</v>
      </c>
      <c r="C14">
        <v>100</v>
      </c>
      <c r="D14">
        <v>86559922.177874997</v>
      </c>
      <c r="E14">
        <v>1038719066.1345</v>
      </c>
    </row>
    <row r="15" spans="1:5" x14ac:dyDescent="0.25">
      <c r="A15" t="s">
        <v>11</v>
      </c>
      <c r="B15">
        <v>2548361.2109409999</v>
      </c>
      <c r="C15">
        <v>120</v>
      </c>
      <c r="D15">
        <v>7645083632.822999</v>
      </c>
      <c r="E15">
        <v>91741003593.875992</v>
      </c>
    </row>
    <row r="16" spans="1:5" x14ac:dyDescent="0.25">
      <c r="A16" t="s">
        <v>31</v>
      </c>
      <c r="B16">
        <v>307277.51904499996</v>
      </c>
      <c r="C16">
        <v>130</v>
      </c>
      <c r="D16">
        <v>998651936.89624989</v>
      </c>
      <c r="E16">
        <v>11983823242.754999</v>
      </c>
    </row>
    <row r="17" spans="1:5" x14ac:dyDescent="0.25">
      <c r="A17" t="s">
        <v>81</v>
      </c>
      <c r="B17">
        <v>1049145.31801</v>
      </c>
      <c r="C17">
        <v>110</v>
      </c>
      <c r="D17">
        <v>2885149624.5275002</v>
      </c>
      <c r="E17">
        <v>34621795494.330002</v>
      </c>
    </row>
    <row r="18" spans="1:5" x14ac:dyDescent="0.25">
      <c r="A18" t="s">
        <v>39</v>
      </c>
      <c r="B18">
        <v>151236.06335400001</v>
      </c>
      <c r="C18">
        <v>110</v>
      </c>
      <c r="D18">
        <v>415899174.22350001</v>
      </c>
      <c r="E18">
        <v>4990790090.6820002</v>
      </c>
    </row>
    <row r="19" spans="1:5" x14ac:dyDescent="0.25">
      <c r="A19" t="s">
        <v>28</v>
      </c>
      <c r="B19">
        <v>1008365.3224579999</v>
      </c>
      <c r="C19">
        <v>80</v>
      </c>
      <c r="D19">
        <v>2016730644.9159999</v>
      </c>
      <c r="E19">
        <v>24200767738.991997</v>
      </c>
    </row>
    <row r="20" spans="1:5" x14ac:dyDescent="0.25">
      <c r="A20" t="s">
        <v>30</v>
      </c>
      <c r="B20">
        <v>886662.47110499989</v>
      </c>
      <c r="C20">
        <v>55</v>
      </c>
      <c r="D20">
        <v>1219160897.7693748</v>
      </c>
      <c r="E20">
        <v>14629930773.232498</v>
      </c>
    </row>
    <row r="21" spans="1:5" x14ac:dyDescent="0.25">
      <c r="A21" t="s">
        <v>270</v>
      </c>
      <c r="B21">
        <v>771793.19530799997</v>
      </c>
      <c r="C21">
        <v>100</v>
      </c>
      <c r="D21">
        <v>1929482988.27</v>
      </c>
      <c r="E21">
        <v>23153795859.239998</v>
      </c>
    </row>
    <row r="22" spans="1:5" x14ac:dyDescent="0.25">
      <c r="A22" t="s">
        <v>271</v>
      </c>
      <c r="B22">
        <v>4384832.8313060002</v>
      </c>
      <c r="C22">
        <v>100</v>
      </c>
      <c r="D22">
        <v>10962082078.265001</v>
      </c>
      <c r="E22">
        <v>131544984939.18002</v>
      </c>
    </row>
    <row r="23" spans="1:5" x14ac:dyDescent="0.25">
      <c r="A23" t="s">
        <v>272</v>
      </c>
      <c r="B23">
        <v>975434.54963850009</v>
      </c>
      <c r="C23">
        <v>100</v>
      </c>
      <c r="D23">
        <v>2438586374.0962501</v>
      </c>
      <c r="E23">
        <v>29263036489.154999</v>
      </c>
    </row>
    <row r="24" spans="1:5" x14ac:dyDescent="0.25">
      <c r="A24" t="s">
        <v>273</v>
      </c>
      <c r="B24">
        <v>563435.02589750011</v>
      </c>
      <c r="C24">
        <v>100</v>
      </c>
      <c r="D24">
        <v>1408587564.7437501</v>
      </c>
      <c r="E24">
        <v>16903050776.925001</v>
      </c>
    </row>
    <row r="25" spans="1:5" x14ac:dyDescent="0.25">
      <c r="A25" t="s">
        <v>274</v>
      </c>
      <c r="B25">
        <v>5303769.6105490001</v>
      </c>
      <c r="C25">
        <v>150</v>
      </c>
      <c r="D25">
        <v>19889136039.55875</v>
      </c>
      <c r="E25">
        <v>238669632474.70502</v>
      </c>
    </row>
    <row r="26" spans="1:5" x14ac:dyDescent="0.25">
      <c r="A26" t="s">
        <v>276</v>
      </c>
      <c r="B26">
        <v>1446057.8071470002</v>
      </c>
      <c r="C26">
        <v>40</v>
      </c>
      <c r="D26">
        <v>1446057807.1470001</v>
      </c>
      <c r="E26">
        <v>17352693685.764</v>
      </c>
    </row>
    <row r="27" spans="1:5" x14ac:dyDescent="0.25">
      <c r="A27" t="s">
        <v>277</v>
      </c>
      <c r="B27">
        <v>236767.25794749998</v>
      </c>
      <c r="C27">
        <v>40</v>
      </c>
      <c r="D27">
        <v>236767257.94749996</v>
      </c>
      <c r="E27">
        <v>2841207095.3699994</v>
      </c>
    </row>
  </sheetData>
  <autoFilter ref="C1:C2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183"/>
  <sheetViews>
    <sheetView tabSelected="1" zoomScale="80" zoomScaleNormal="80" workbookViewId="0">
      <pane xSplit="7" ySplit="9" topLeftCell="H10" activePane="bottomRight" state="frozen"/>
      <selection pane="topRight" activeCell="H1" sqref="H1"/>
      <selection pane="bottomLeft" activeCell="A10" sqref="A10"/>
      <selection pane="bottomRight" activeCell="H10" sqref="H10"/>
    </sheetView>
  </sheetViews>
  <sheetFormatPr defaultColWidth="16.28515625" defaultRowHeight="15" x14ac:dyDescent="0.25"/>
  <cols>
    <col min="1" max="1" width="14.85546875" bestFit="1" customWidth="1"/>
    <col min="2" max="2" width="14.42578125" bestFit="1" customWidth="1"/>
    <col min="3" max="4" width="17.42578125" customWidth="1"/>
    <col min="5" max="6" width="20.28515625" customWidth="1"/>
    <col min="7" max="11" width="17.42578125" customWidth="1"/>
    <col min="12" max="12" width="66.42578125" customWidth="1"/>
    <col min="13" max="13" width="17.140625" customWidth="1"/>
    <col min="14" max="14" width="16.42578125" hidden="1" customWidth="1"/>
    <col min="15" max="15" width="15.140625" style="22" customWidth="1"/>
    <col min="16" max="16" width="17.7109375" style="19" bestFit="1" customWidth="1"/>
    <col min="17" max="17" width="22.140625" style="14" hidden="1" customWidth="1"/>
    <col min="18" max="18" width="22.140625" style="19" customWidth="1"/>
    <col min="19" max="19" width="23.42578125" style="14" hidden="1" customWidth="1"/>
    <col min="20" max="20" width="16" hidden="1" customWidth="1"/>
    <col min="21" max="22" width="25.5703125" hidden="1" customWidth="1"/>
    <col min="23" max="24" width="25.5703125" style="14" hidden="1" customWidth="1"/>
    <col min="25" max="28" width="25.5703125" style="19" customWidth="1"/>
    <col min="29" max="29" width="25.5703125" customWidth="1"/>
    <col min="30" max="30" width="65.140625" bestFit="1" customWidth="1"/>
    <col min="31" max="31" width="20" bestFit="1" customWidth="1"/>
    <col min="32" max="32" width="20.42578125" bestFit="1" customWidth="1"/>
    <col min="33" max="33" width="23.28515625" bestFit="1" customWidth="1"/>
    <col min="34" max="34" width="22.85546875" customWidth="1"/>
    <col min="36" max="36" width="14.85546875" customWidth="1"/>
  </cols>
  <sheetData>
    <row r="1" spans="1:36" ht="105" x14ac:dyDescent="0.25">
      <c r="A1" s="1" t="s">
        <v>19</v>
      </c>
      <c r="B1" s="1" t="s">
        <v>267</v>
      </c>
      <c r="C1" s="1" t="s">
        <v>20</v>
      </c>
      <c r="D1" s="1" t="s">
        <v>313</v>
      </c>
      <c r="E1" s="1" t="s">
        <v>263</v>
      </c>
      <c r="F1" s="1" t="s">
        <v>314</v>
      </c>
      <c r="G1" s="1" t="s">
        <v>264</v>
      </c>
      <c r="H1" s="1" t="s">
        <v>315</v>
      </c>
      <c r="I1" s="1" t="s">
        <v>265</v>
      </c>
      <c r="J1" s="1" t="s">
        <v>316</v>
      </c>
      <c r="K1" s="1" t="s">
        <v>266</v>
      </c>
      <c r="L1" s="1" t="s">
        <v>74</v>
      </c>
      <c r="M1" s="17" t="s">
        <v>317</v>
      </c>
      <c r="N1" s="17" t="s">
        <v>170</v>
      </c>
      <c r="O1" s="24" t="s">
        <v>171</v>
      </c>
      <c r="P1" s="20" t="s">
        <v>318</v>
      </c>
      <c r="Q1" s="18" t="s">
        <v>224</v>
      </c>
      <c r="R1" s="20" t="s">
        <v>319</v>
      </c>
      <c r="S1" s="16" t="s">
        <v>225</v>
      </c>
      <c r="T1" s="15" t="s">
        <v>172</v>
      </c>
      <c r="U1" s="15" t="s">
        <v>173</v>
      </c>
      <c r="V1" s="15" t="s">
        <v>180</v>
      </c>
      <c r="W1" s="16" t="s">
        <v>227</v>
      </c>
      <c r="X1" s="16" t="s">
        <v>226</v>
      </c>
      <c r="Y1" s="25" t="s">
        <v>407</v>
      </c>
      <c r="Z1" s="25" t="s">
        <v>180</v>
      </c>
      <c r="AA1" s="25" t="s">
        <v>227</v>
      </c>
      <c r="AB1" s="25" t="s">
        <v>320</v>
      </c>
      <c r="AC1" s="1" t="s">
        <v>181</v>
      </c>
      <c r="AD1" s="1" t="s">
        <v>223</v>
      </c>
      <c r="AE1" s="1"/>
      <c r="AF1" s="3"/>
      <c r="AG1" s="3"/>
      <c r="AH1" s="3"/>
      <c r="AI1" s="3"/>
      <c r="AJ1" s="3"/>
    </row>
    <row r="2" spans="1:36" x14ac:dyDescent="0.25">
      <c r="A2" s="2" t="s">
        <v>1</v>
      </c>
      <c r="B2" s="7" t="s">
        <v>215</v>
      </c>
      <c r="C2" s="7">
        <v>236597418</v>
      </c>
      <c r="D2" s="7">
        <f>17.15*50/100</f>
        <v>8.5749999999999993</v>
      </c>
      <c r="E2" s="7">
        <f>C2*D2/100</f>
        <v>20288228.593499999</v>
      </c>
      <c r="F2" s="7"/>
      <c r="G2" s="7"/>
      <c r="H2" s="7"/>
      <c r="I2" s="7"/>
      <c r="J2" s="7"/>
      <c r="K2" s="7"/>
      <c r="L2" s="7" t="s">
        <v>73</v>
      </c>
      <c r="M2" s="7">
        <f>(E2*50/100)+(G3*60/100)</f>
        <v>15550552.10331</v>
      </c>
      <c r="N2" s="4">
        <f>((C2)*75/100)+((C3)*50/100)</f>
        <v>265581178.5</v>
      </c>
      <c r="O2" s="21">
        <v>25</v>
      </c>
      <c r="P2" s="19">
        <f>M2*O2</f>
        <v>388763802.58275002</v>
      </c>
      <c r="Q2" s="14">
        <f>N2*O2*25</f>
        <v>165988236562.5</v>
      </c>
      <c r="R2" s="19">
        <f>P2*25*12</f>
        <v>116629140774.82501</v>
      </c>
      <c r="S2" s="14">
        <f>Q2*12</f>
        <v>1991858838750</v>
      </c>
      <c r="T2" s="4">
        <f>((C3)*25/100)+((C4)*50/100)</f>
        <v>378630506.5</v>
      </c>
      <c r="U2" s="4">
        <f>C3*25/100</f>
        <v>44066557.5</v>
      </c>
      <c r="V2" s="4">
        <v>29</v>
      </c>
      <c r="W2" s="14">
        <f>T2*V2*25</f>
        <v>274507117212.5</v>
      </c>
      <c r="X2" s="14">
        <f>T2*V2*30*12</f>
        <v>3952902487860</v>
      </c>
      <c r="Y2" s="19">
        <f>(G3*20/100)+(I4*45/100)+(K5*40/100)</f>
        <v>30805429.644109994</v>
      </c>
      <c r="Z2" s="19">
        <v>29</v>
      </c>
      <c r="AA2" s="19">
        <f>Z2*Y2*25</f>
        <v>22333936491.979744</v>
      </c>
      <c r="AB2" s="19">
        <f>AA2*12</f>
        <v>268007237903.75693</v>
      </c>
      <c r="AC2" s="4" t="s">
        <v>183</v>
      </c>
      <c r="AD2" s="4" t="s">
        <v>184</v>
      </c>
      <c r="AE2" s="4"/>
      <c r="AH2" s="8"/>
      <c r="AJ2" s="4"/>
    </row>
    <row r="3" spans="1:36" x14ac:dyDescent="0.25">
      <c r="A3" s="2"/>
      <c r="B3" s="6"/>
      <c r="C3" s="7">
        <v>176266230</v>
      </c>
      <c r="D3" s="7"/>
      <c r="E3" s="7"/>
      <c r="F3" s="7">
        <f>12.78*40/100</f>
        <v>5.1120000000000001</v>
      </c>
      <c r="G3" s="7">
        <f>C3*F3/100</f>
        <v>9010729.6776000001</v>
      </c>
      <c r="H3" s="7"/>
      <c r="I3" s="7"/>
      <c r="J3" s="7"/>
      <c r="K3" s="7"/>
      <c r="L3" s="7" t="s">
        <v>69</v>
      </c>
      <c r="M3" s="7"/>
      <c r="AC3" t="s">
        <v>187</v>
      </c>
      <c r="AD3" t="s">
        <v>186</v>
      </c>
    </row>
    <row r="4" spans="1:36" x14ac:dyDescent="0.25">
      <c r="A4" s="2"/>
      <c r="B4" s="6"/>
      <c r="C4" s="7">
        <v>669127898</v>
      </c>
      <c r="D4" s="7"/>
      <c r="E4" s="7"/>
      <c r="F4" s="7"/>
      <c r="G4" s="7"/>
      <c r="H4" s="7">
        <f>(12.78*30/100)</f>
        <v>3.8339999999999996</v>
      </c>
      <c r="I4" s="7">
        <f>C3*H4/100</f>
        <v>6758047.2581999991</v>
      </c>
      <c r="J4" s="7"/>
      <c r="K4" s="7"/>
      <c r="L4" s="7" t="s">
        <v>70</v>
      </c>
      <c r="M4" s="7"/>
      <c r="AC4" s="13" t="s">
        <v>189</v>
      </c>
      <c r="AD4" t="s">
        <v>188</v>
      </c>
    </row>
    <row r="5" spans="1:36" x14ac:dyDescent="0.25">
      <c r="A5" s="2"/>
      <c r="B5" s="6"/>
      <c r="C5" s="7">
        <v>148212227</v>
      </c>
      <c r="D5" s="7"/>
      <c r="E5" s="7"/>
      <c r="F5" s="7"/>
      <c r="G5" s="7"/>
      <c r="H5" s="7"/>
      <c r="I5" s="7"/>
      <c r="J5" s="7">
        <f>48.5*20/100</f>
        <v>9.6999999999999993</v>
      </c>
      <c r="K5" s="7">
        <f>C4*J5/100</f>
        <v>64905406.105999991</v>
      </c>
      <c r="L5" s="7" t="s">
        <v>71</v>
      </c>
      <c r="M5" s="7"/>
      <c r="AC5" t="s">
        <v>190</v>
      </c>
      <c r="AD5" t="s">
        <v>192</v>
      </c>
    </row>
    <row r="6" spans="1:36" x14ac:dyDescent="0.25">
      <c r="A6" s="2"/>
      <c r="B6" s="6"/>
      <c r="C6" s="7">
        <v>149098998</v>
      </c>
      <c r="D6" s="7"/>
      <c r="E6" s="7"/>
      <c r="F6" s="7"/>
      <c r="G6" s="7"/>
      <c r="H6" s="7"/>
      <c r="I6" s="7"/>
      <c r="J6" s="7"/>
      <c r="K6" s="7"/>
      <c r="L6" s="7" t="s">
        <v>72</v>
      </c>
      <c r="M6" s="7"/>
      <c r="AC6" t="s">
        <v>191</v>
      </c>
      <c r="AD6" t="s">
        <v>193</v>
      </c>
    </row>
    <row r="7" spans="1:36" x14ac:dyDescent="0.25">
      <c r="A7" s="2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AC7" t="s">
        <v>194</v>
      </c>
      <c r="AD7" t="s">
        <v>205</v>
      </c>
    </row>
    <row r="8" spans="1:36" x14ac:dyDescent="0.25">
      <c r="A8" s="2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AC8" t="s">
        <v>195</v>
      </c>
      <c r="AD8" t="s">
        <v>206</v>
      </c>
    </row>
    <row r="9" spans="1:36" x14ac:dyDescent="0.25">
      <c r="A9" s="2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AC9" s="4" t="s">
        <v>196</v>
      </c>
      <c r="AD9" t="s">
        <v>207</v>
      </c>
    </row>
    <row r="10" spans="1:36" x14ac:dyDescent="0.25">
      <c r="A10" s="2" t="s">
        <v>2</v>
      </c>
      <c r="B10" s="7" t="s">
        <v>216</v>
      </c>
      <c r="C10" s="7">
        <v>350485869</v>
      </c>
      <c r="D10" s="7">
        <f>27.34*50/100</f>
        <v>13.67</v>
      </c>
      <c r="E10" s="7">
        <f>C10*D10/100</f>
        <v>47911418.292299993</v>
      </c>
      <c r="F10" s="7"/>
      <c r="G10" s="7"/>
      <c r="H10" s="7"/>
      <c r="I10" s="7"/>
      <c r="J10" s="7"/>
      <c r="K10" s="7"/>
      <c r="L10" s="2" t="s">
        <v>75</v>
      </c>
      <c r="M10" s="7">
        <f>(E10*50/100)+(G11*75/100)</f>
        <v>36277884.221249998</v>
      </c>
      <c r="N10" s="4">
        <f>((C10)*75/100)+((C11)*50/100)</f>
        <v>377596013.25</v>
      </c>
      <c r="O10" s="23">
        <v>6</v>
      </c>
      <c r="P10" s="19">
        <f>M10*O10</f>
        <v>217667305.32749999</v>
      </c>
      <c r="Q10" s="14">
        <f>N10*O10*25</f>
        <v>56639401987.5</v>
      </c>
      <c r="R10" s="19">
        <f>P10*25*12</f>
        <v>65300191598.25</v>
      </c>
      <c r="S10" s="14">
        <f>Q10*12</f>
        <v>679672823850</v>
      </c>
      <c r="T10" s="4">
        <f>((C11)*25/100)+((C12)*50/100)</f>
        <v>320655444.75</v>
      </c>
      <c r="U10" s="4">
        <f>C11*25/100</f>
        <v>57365805.75</v>
      </c>
      <c r="V10" s="4">
        <v>10</v>
      </c>
      <c r="W10" s="14">
        <f>T10*V10*25</f>
        <v>80163861187.5</v>
      </c>
      <c r="X10" s="14">
        <f>T10*V10*30*12</f>
        <v>1154359601100</v>
      </c>
      <c r="Y10" s="19">
        <f>(G11*20/100)+(I12*45/100)+(K13*40/100)</f>
        <v>26136393.529346995</v>
      </c>
      <c r="Z10" s="19">
        <v>10</v>
      </c>
      <c r="AA10" s="19">
        <f>Z10*Y10*25</f>
        <v>6534098382.3367491</v>
      </c>
      <c r="AB10" s="19">
        <f>AA10*12</f>
        <v>78409180588.040985</v>
      </c>
      <c r="AC10" t="s">
        <v>204</v>
      </c>
      <c r="AD10" s="4" t="s">
        <v>208</v>
      </c>
      <c r="AE10" s="4"/>
      <c r="AH10" s="8"/>
    </row>
    <row r="11" spans="1:36" x14ac:dyDescent="0.25">
      <c r="A11" s="2"/>
      <c r="B11" s="2"/>
      <c r="C11" s="7">
        <v>229463223</v>
      </c>
      <c r="D11" s="7"/>
      <c r="E11" s="7"/>
      <c r="F11" s="7">
        <f>17.9*40/100</f>
        <v>7.16</v>
      </c>
      <c r="G11" s="7">
        <f>C11*F11/100</f>
        <v>16429566.766800001</v>
      </c>
      <c r="H11" s="7"/>
      <c r="I11" s="7"/>
      <c r="J11" s="7"/>
      <c r="K11" s="7"/>
      <c r="L11" s="2" t="s">
        <v>76</v>
      </c>
      <c r="M11" s="2"/>
      <c r="AC11" t="s">
        <v>200</v>
      </c>
      <c r="AD11" t="s">
        <v>209</v>
      </c>
    </row>
    <row r="12" spans="1:36" x14ac:dyDescent="0.25">
      <c r="A12" s="2"/>
      <c r="B12" s="2"/>
      <c r="C12" s="7">
        <v>526579278</v>
      </c>
      <c r="D12" s="7"/>
      <c r="E12" s="7"/>
      <c r="F12" s="7"/>
      <c r="G12" s="7"/>
      <c r="H12" s="7">
        <f>17.9*30/100</f>
        <v>5.37</v>
      </c>
      <c r="I12" s="7">
        <f>C11*H12/100</f>
        <v>12322175.075099999</v>
      </c>
      <c r="K12" s="7"/>
      <c r="L12" s="2" t="s">
        <v>77</v>
      </c>
      <c r="M12" s="2"/>
      <c r="AC12" t="s">
        <v>201</v>
      </c>
      <c r="AD12" t="s">
        <v>210</v>
      </c>
    </row>
    <row r="13" spans="1:36" x14ac:dyDescent="0.25">
      <c r="A13" s="2"/>
      <c r="B13" s="2"/>
      <c r="C13" s="7">
        <v>95478654</v>
      </c>
      <c r="D13" s="7"/>
      <c r="E13" s="7"/>
      <c r="F13" s="7"/>
      <c r="G13" s="7"/>
      <c r="H13" s="7"/>
      <c r="I13" s="7"/>
      <c r="J13" s="7">
        <f>41.08*20/100</f>
        <v>8.2159999999999993</v>
      </c>
      <c r="K13" s="7">
        <f>C12*J13/100</f>
        <v>43263753.480479993</v>
      </c>
      <c r="L13" s="2" t="s">
        <v>78</v>
      </c>
      <c r="M13" s="2"/>
      <c r="AC13" s="4" t="s">
        <v>202</v>
      </c>
      <c r="AD13" t="s">
        <v>211</v>
      </c>
    </row>
    <row r="14" spans="1:36" ht="25.5" x14ac:dyDescent="0.25">
      <c r="A14" s="2"/>
      <c r="B14" s="2"/>
      <c r="C14" s="7">
        <v>79928887</v>
      </c>
      <c r="D14" s="7"/>
      <c r="E14" s="7"/>
      <c r="F14" s="7"/>
      <c r="G14" s="7"/>
      <c r="H14" s="7"/>
      <c r="I14" s="7"/>
      <c r="J14" s="7"/>
      <c r="K14" s="7"/>
      <c r="L14" s="2" t="s">
        <v>79</v>
      </c>
      <c r="M14" s="2"/>
      <c r="AC14" t="s">
        <v>203</v>
      </c>
      <c r="AD14" t="s">
        <v>212</v>
      </c>
    </row>
    <row r="15" spans="1:36" x14ac:dyDescent="0.25">
      <c r="A15" s="2"/>
      <c r="B15" s="2"/>
      <c r="C15" s="7"/>
      <c r="D15" s="7"/>
      <c r="E15" s="7"/>
      <c r="F15" s="7"/>
      <c r="G15" s="7"/>
      <c r="H15" s="7"/>
      <c r="I15" s="7"/>
      <c r="J15" s="7"/>
      <c r="K15" s="7"/>
      <c r="L15" s="2"/>
      <c r="M15" s="2"/>
    </row>
    <row r="16" spans="1:36" x14ac:dyDescent="0.25">
      <c r="A16" s="2" t="s">
        <v>3</v>
      </c>
      <c r="B16" s="7" t="s">
        <v>82</v>
      </c>
      <c r="C16" s="7">
        <v>65200649</v>
      </c>
      <c r="D16" s="10">
        <f>25.02*50/100</f>
        <v>12.51</v>
      </c>
      <c r="E16" s="10">
        <f>C16*D16/100</f>
        <v>8156601.1898999996</v>
      </c>
      <c r="F16" s="10"/>
      <c r="G16" s="10"/>
      <c r="H16" s="10"/>
      <c r="I16" s="10"/>
      <c r="J16" s="10"/>
      <c r="K16" s="10"/>
      <c r="L16" s="2" t="s">
        <v>83</v>
      </c>
      <c r="M16" s="7">
        <f>(E16*50/100)+(G17*75/100)</f>
        <v>6335050.9653900005</v>
      </c>
      <c r="N16" s="4">
        <f>((C16)*75/100)+((C17)*50/100)</f>
        <v>71038512.75</v>
      </c>
      <c r="O16" s="23">
        <v>7</v>
      </c>
      <c r="P16" s="19">
        <f>M16*O16</f>
        <v>44345356.757730007</v>
      </c>
      <c r="Q16" s="14">
        <f>N16*O16*25</f>
        <v>12431739731.25</v>
      </c>
      <c r="R16" s="19">
        <f>P16*25*12</f>
        <v>13303607027.319002</v>
      </c>
      <c r="S16" s="14">
        <f>Q16*12</f>
        <v>149180876775</v>
      </c>
      <c r="T16" s="4">
        <f>((C17)*25/100)+((C18)*50/100)</f>
        <v>66306209.5</v>
      </c>
      <c r="U16" s="4">
        <f>C17*25/100</f>
        <v>11069013</v>
      </c>
      <c r="V16" s="4">
        <v>12</v>
      </c>
      <c r="W16" s="14">
        <f>T16*V16*25</f>
        <v>19891862850</v>
      </c>
      <c r="X16" s="14">
        <f>T16*V16*30*12</f>
        <v>286442825040</v>
      </c>
      <c r="Y16" s="19">
        <f>(G17*20/100)+(I18*45/100)+(K19*40/100)</f>
        <v>5359249.6357240006</v>
      </c>
      <c r="Z16" s="19">
        <v>12</v>
      </c>
      <c r="AA16" s="19">
        <f>Z16*Y16*25</f>
        <v>1607774890.7172003</v>
      </c>
      <c r="AB16" s="19">
        <f>AA16*12</f>
        <v>19293298688.606403</v>
      </c>
      <c r="AC16" s="4" t="s">
        <v>218</v>
      </c>
      <c r="AD16" s="4" t="s">
        <v>219</v>
      </c>
    </row>
    <row r="17" spans="1:30" x14ac:dyDescent="0.25">
      <c r="B17" s="7"/>
      <c r="C17" s="7">
        <v>44276052</v>
      </c>
      <c r="D17" s="10"/>
      <c r="E17" s="10"/>
      <c r="F17" s="10">
        <f>16.99*40/100</f>
        <v>6.7959999999999994</v>
      </c>
      <c r="G17" s="7">
        <f>C17*F17/100</f>
        <v>3009000.4939199998</v>
      </c>
      <c r="H17" s="10"/>
      <c r="I17" s="10"/>
      <c r="J17" s="10"/>
      <c r="K17" s="10"/>
      <c r="L17" s="2" t="s">
        <v>84</v>
      </c>
      <c r="M17" s="2"/>
      <c r="AC17" t="s">
        <v>220</v>
      </c>
      <c r="AD17" t="s">
        <v>221</v>
      </c>
    </row>
    <row r="18" spans="1:30" x14ac:dyDescent="0.25">
      <c r="B18" s="2"/>
      <c r="C18" s="7">
        <v>110474393</v>
      </c>
      <c r="D18" s="10"/>
      <c r="E18" s="10"/>
      <c r="F18" s="10"/>
      <c r="G18" s="10"/>
      <c r="H18" s="10">
        <f>16.9*30/100</f>
        <v>5.0699999999999994</v>
      </c>
      <c r="I18" s="10">
        <f>C17*H18/100</f>
        <v>2244795.8363999999</v>
      </c>
      <c r="J18" s="10"/>
      <c r="K18" s="10"/>
      <c r="L18" s="2" t="s">
        <v>85</v>
      </c>
      <c r="M18" s="2"/>
      <c r="AC18" s="4" t="s">
        <v>229</v>
      </c>
      <c r="AD18" t="s">
        <v>230</v>
      </c>
    </row>
    <row r="19" spans="1:30" x14ac:dyDescent="0.25">
      <c r="B19" s="2"/>
      <c r="C19" s="7">
        <v>22370361</v>
      </c>
      <c r="D19" s="10"/>
      <c r="E19" s="10"/>
      <c r="F19" s="10"/>
      <c r="G19" s="10"/>
      <c r="H19" s="10"/>
      <c r="I19" s="10"/>
      <c r="J19" s="10">
        <f>42.4*20/100</f>
        <v>8.48</v>
      </c>
      <c r="K19" s="10">
        <f>C18*J19/100</f>
        <v>9368228.5264000017</v>
      </c>
      <c r="L19" s="2" t="s">
        <v>86</v>
      </c>
      <c r="M19" s="2"/>
      <c r="AC19" t="s">
        <v>231</v>
      </c>
      <c r="AD19" t="s">
        <v>232</v>
      </c>
    </row>
    <row r="20" spans="1:30" x14ac:dyDescent="0.25">
      <c r="B20" s="2"/>
      <c r="C20" s="7">
        <v>18259284</v>
      </c>
      <c r="D20" s="10"/>
      <c r="E20" s="10"/>
      <c r="F20" s="10"/>
      <c r="G20" s="10"/>
      <c r="H20" s="10"/>
      <c r="I20" s="10"/>
      <c r="J20" s="10"/>
      <c r="K20" s="10"/>
      <c r="L20" s="2" t="s">
        <v>87</v>
      </c>
      <c r="M20" s="2"/>
      <c r="AC20" t="s">
        <v>233</v>
      </c>
      <c r="AD20" t="s">
        <v>234</v>
      </c>
    </row>
    <row r="21" spans="1:30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AC21" s="4"/>
    </row>
    <row r="22" spans="1:30" x14ac:dyDescent="0.25">
      <c r="A22" s="2" t="s">
        <v>4</v>
      </c>
      <c r="B22" s="11">
        <v>126451398</v>
      </c>
      <c r="C22" s="7">
        <v>16236656</v>
      </c>
      <c r="D22" s="7">
        <f>12.84*50/100</f>
        <v>6.42</v>
      </c>
      <c r="E22" s="7">
        <f>C22*D22/100</f>
        <v>1042393.3152</v>
      </c>
      <c r="F22" s="7"/>
      <c r="G22" s="7"/>
      <c r="H22" s="10"/>
      <c r="I22" s="10"/>
      <c r="J22" s="10"/>
      <c r="K22" s="10"/>
      <c r="L22" s="2" t="s">
        <v>88</v>
      </c>
      <c r="M22" s="7">
        <f>(E22*50/100)+(G23*75/100)</f>
        <v>873904.65948000015</v>
      </c>
      <c r="N22" s="4">
        <f>((C22)*75/100)+((C23)*50/100)</f>
        <v>18275486.5</v>
      </c>
      <c r="O22" s="23">
        <v>21</v>
      </c>
      <c r="P22" s="19">
        <f>M22*O22</f>
        <v>18351997.849080004</v>
      </c>
      <c r="Q22" s="14">
        <f>N22*O22*25</f>
        <v>9594630412.5</v>
      </c>
      <c r="R22" s="19">
        <f>P22*25*12</f>
        <v>5505599354.7240009</v>
      </c>
      <c r="S22" s="14">
        <f>Q22*12</f>
        <v>115135564950</v>
      </c>
      <c r="T22" s="4">
        <f>((C23)*25/100)+((C24)*50/100)</f>
        <v>26757049.25</v>
      </c>
      <c r="U22" s="4">
        <f>C23*25/100</f>
        <v>3048997.25</v>
      </c>
      <c r="V22" s="4">
        <v>25</v>
      </c>
      <c r="W22" s="14">
        <f>T22*V22*25</f>
        <v>16723155781.25</v>
      </c>
      <c r="X22" s="14">
        <f>T22*V22*30*12</f>
        <v>240813443250</v>
      </c>
      <c r="Y22" s="19">
        <f>(G23*20/100)+(I24*45/100)+(K25*40/100)</f>
        <v>1675257.1880140002</v>
      </c>
      <c r="Z22" s="19">
        <v>25</v>
      </c>
      <c r="AA22" s="19">
        <f>Z22*Y22*25</f>
        <v>1047035742.5087501</v>
      </c>
      <c r="AB22" s="19">
        <f>AA22*12</f>
        <v>12564428910.105001</v>
      </c>
      <c r="AC22" s="4" t="s">
        <v>236</v>
      </c>
      <c r="AD22" s="4" t="s">
        <v>237</v>
      </c>
    </row>
    <row r="23" spans="1:30" x14ac:dyDescent="0.25">
      <c r="A23" s="2"/>
      <c r="B23" s="2"/>
      <c r="C23" s="7">
        <v>12195989</v>
      </c>
      <c r="D23" s="10"/>
      <c r="E23" s="10"/>
      <c r="F23" s="7">
        <f>9.64*40/100</f>
        <v>3.8560000000000003</v>
      </c>
      <c r="G23" s="7">
        <f>C23*F23/100</f>
        <v>470277.33584000007</v>
      </c>
      <c r="H23" s="10"/>
      <c r="I23" s="10"/>
      <c r="J23" s="10"/>
      <c r="K23" s="10"/>
      <c r="L23" s="2" t="s">
        <v>89</v>
      </c>
      <c r="M23" s="2"/>
      <c r="AC23" s="4" t="s">
        <v>238</v>
      </c>
      <c r="AD23" t="s">
        <v>239</v>
      </c>
    </row>
    <row r="24" spans="1:30" x14ac:dyDescent="0.25">
      <c r="A24" s="2"/>
      <c r="B24" s="2"/>
      <c r="C24" s="7">
        <v>47416104</v>
      </c>
      <c r="D24" s="10"/>
      <c r="E24" s="10"/>
      <c r="F24" s="10"/>
      <c r="G24" s="10"/>
      <c r="H24" s="7">
        <f>9.64*30/100</f>
        <v>2.8920000000000003</v>
      </c>
      <c r="I24" s="10">
        <f>C23*H24/100</f>
        <v>352708.00188</v>
      </c>
      <c r="J24" s="10"/>
      <c r="K24" s="10"/>
      <c r="L24" s="2" t="s">
        <v>90</v>
      </c>
      <c r="M24" s="2"/>
      <c r="AC24" s="4" t="s">
        <v>240</v>
      </c>
      <c r="AD24" t="s">
        <v>241</v>
      </c>
    </row>
    <row r="25" spans="1:30" x14ac:dyDescent="0.25">
      <c r="A25" s="2"/>
      <c r="B25" s="2"/>
      <c r="C25" s="7">
        <v>15357581</v>
      </c>
      <c r="D25" s="10"/>
      <c r="E25" s="10"/>
      <c r="F25" s="10"/>
      <c r="G25" s="10"/>
      <c r="H25" s="10"/>
      <c r="I25" s="10"/>
      <c r="J25" s="7">
        <f>37.5*20/100</f>
        <v>7.5</v>
      </c>
      <c r="K25" s="10">
        <f>C24*J25/100</f>
        <v>3556207.8</v>
      </c>
      <c r="L25" s="2" t="s">
        <v>91</v>
      </c>
      <c r="M25" s="2"/>
      <c r="AC25" s="4" t="s">
        <v>243</v>
      </c>
      <c r="AD25" t="s">
        <v>242</v>
      </c>
    </row>
    <row r="26" spans="1:30" ht="25.5" x14ac:dyDescent="0.25">
      <c r="A26" s="2"/>
      <c r="B26" s="2"/>
      <c r="C26" s="7">
        <v>35245068</v>
      </c>
      <c r="D26" s="10"/>
      <c r="E26" s="10"/>
      <c r="F26" s="10"/>
      <c r="G26" s="10"/>
      <c r="H26" s="10"/>
      <c r="I26" s="10"/>
      <c r="J26" s="10"/>
      <c r="K26" s="10"/>
      <c r="L26" s="2" t="s">
        <v>92</v>
      </c>
      <c r="M26" s="2"/>
    </row>
    <row r="27" spans="1:30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30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30" x14ac:dyDescent="0.25">
      <c r="A29" s="2" t="s">
        <v>7</v>
      </c>
      <c r="B29" s="11">
        <v>31381992</v>
      </c>
      <c r="C29" s="7">
        <v>8732075</v>
      </c>
      <c r="D29" s="10">
        <f>27.83*50/100</f>
        <v>13.914999999999999</v>
      </c>
      <c r="E29" s="10">
        <f>C29*D29/100</f>
        <v>1215068.2362500001</v>
      </c>
      <c r="F29" s="10"/>
      <c r="G29" s="10"/>
      <c r="H29" s="10"/>
      <c r="I29" s="10"/>
      <c r="J29" s="10"/>
      <c r="K29" s="10"/>
      <c r="L29" s="2" t="s">
        <v>93</v>
      </c>
      <c r="M29" s="7">
        <f>(E29*50/100)+(G30*75/100)</f>
        <v>873642.73868499999</v>
      </c>
      <c r="N29" s="4">
        <f>((C29)*75/100)+((C30)*50/100)</f>
        <v>9187452.25</v>
      </c>
      <c r="O29" s="23">
        <v>20</v>
      </c>
      <c r="P29" s="19">
        <f>M29*O29</f>
        <v>17472854.773699999</v>
      </c>
      <c r="Q29" s="14">
        <f>N29*O29*25</f>
        <v>4593726125</v>
      </c>
      <c r="R29" s="19">
        <f>P29*25*12</f>
        <v>5241856432.1099997</v>
      </c>
      <c r="S29" s="14">
        <f>Q29*12</f>
        <v>55124713500</v>
      </c>
      <c r="T29" s="4">
        <f>((C30)*25/100)+((C31)*50/100)</f>
        <v>7752328.5</v>
      </c>
      <c r="U29" s="4">
        <f>C30*25/100</f>
        <v>1319198</v>
      </c>
      <c r="V29" s="4">
        <v>25</v>
      </c>
      <c r="W29" s="14">
        <f>T29*V29*25</f>
        <v>4845205312.5</v>
      </c>
      <c r="X29" s="14">
        <f>T29*V29*30*12</f>
        <v>69770956500</v>
      </c>
      <c r="Y29" s="19">
        <f>(G30*20/100)+(I31*45/100)+(K32*40/100)</f>
        <v>612724.53886799992</v>
      </c>
      <c r="Z29" s="19">
        <v>25</v>
      </c>
      <c r="AA29" s="19">
        <f>Z29*Y29*25</f>
        <v>382952836.79249996</v>
      </c>
      <c r="AB29" s="19">
        <f>AA29*12</f>
        <v>4595434041.5099993</v>
      </c>
      <c r="AC29" s="4" t="s">
        <v>248</v>
      </c>
      <c r="AD29" s="4" t="s">
        <v>249</v>
      </c>
    </row>
    <row r="30" spans="1:30" x14ac:dyDescent="0.25">
      <c r="A30" s="2"/>
      <c r="B30" s="2"/>
      <c r="C30" s="7">
        <v>5276792</v>
      </c>
      <c r="D30" s="10"/>
      <c r="E30" s="10"/>
      <c r="F30" s="10">
        <f>16.81*40/100</f>
        <v>6.7240000000000002</v>
      </c>
      <c r="G30" s="10">
        <f>F30*C30/100</f>
        <v>354811.49407999997</v>
      </c>
      <c r="H30" s="10"/>
      <c r="I30" s="10"/>
      <c r="J30" s="10"/>
      <c r="K30" s="10"/>
      <c r="L30" s="2" t="s">
        <v>94</v>
      </c>
      <c r="M30" s="2"/>
      <c r="AC30" t="s">
        <v>244</v>
      </c>
      <c r="AD30" t="s">
        <v>245</v>
      </c>
    </row>
    <row r="31" spans="1:30" x14ac:dyDescent="0.25">
      <c r="A31" s="2"/>
      <c r="B31" s="2"/>
      <c r="C31" s="7">
        <v>12866261</v>
      </c>
      <c r="D31" s="10"/>
      <c r="E31" s="10"/>
      <c r="F31" s="10"/>
      <c r="G31" s="10"/>
      <c r="H31" s="10">
        <f>16.81*30/100</f>
        <v>5.0429999999999993</v>
      </c>
      <c r="I31" s="10">
        <f>H31*C30/100</f>
        <v>266108.62055999995</v>
      </c>
      <c r="J31" s="10"/>
      <c r="K31" s="10"/>
      <c r="L31" s="2" t="s">
        <v>95</v>
      </c>
      <c r="M31" s="2"/>
      <c r="AC31" t="s">
        <v>246</v>
      </c>
      <c r="AD31" t="s">
        <v>247</v>
      </c>
    </row>
    <row r="32" spans="1:30" x14ac:dyDescent="0.25">
      <c r="A32" s="2"/>
      <c r="B32" s="2"/>
      <c r="C32" s="7">
        <v>2593889</v>
      </c>
      <c r="D32" s="10"/>
      <c r="E32" s="10"/>
      <c r="F32" s="10"/>
      <c r="G32" s="10"/>
      <c r="H32" s="10"/>
      <c r="I32" s="10"/>
      <c r="J32" s="10">
        <f>41*20/100</f>
        <v>8.1999999999999993</v>
      </c>
      <c r="K32" s="10">
        <f>J32*C31/100</f>
        <v>1055033.4019999998</v>
      </c>
      <c r="L32" s="2" t="s">
        <v>96</v>
      </c>
      <c r="M32" s="2"/>
      <c r="AC32" t="s">
        <v>250</v>
      </c>
      <c r="AD32" t="s">
        <v>251</v>
      </c>
    </row>
    <row r="33" spans="1:30" x14ac:dyDescent="0.25">
      <c r="A33" s="2"/>
      <c r="B33" s="2"/>
      <c r="C33" s="7">
        <v>1912975</v>
      </c>
      <c r="D33" s="10"/>
      <c r="E33" s="10"/>
      <c r="F33" s="10"/>
      <c r="G33" s="10"/>
      <c r="H33" s="10"/>
      <c r="I33" s="10"/>
      <c r="J33" s="10"/>
      <c r="K33" s="10"/>
      <c r="L33" s="2" t="s">
        <v>97</v>
      </c>
      <c r="M33" s="2"/>
    </row>
    <row r="34" spans="1:30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30" x14ac:dyDescent="0.25">
      <c r="A35" s="2" t="s">
        <v>8</v>
      </c>
      <c r="B35" s="11">
        <v>25248140</v>
      </c>
      <c r="C35" s="7">
        <v>5247730</v>
      </c>
      <c r="D35" s="10">
        <f>20.78*50/100</f>
        <v>10.39</v>
      </c>
      <c r="E35" s="10">
        <f>D35*C35/100</f>
        <v>545239.147</v>
      </c>
      <c r="F35" s="10"/>
      <c r="G35" s="10"/>
      <c r="H35" s="10"/>
      <c r="I35" s="10"/>
      <c r="J35" s="10"/>
      <c r="K35" s="10"/>
      <c r="L35" s="2" t="s">
        <v>98</v>
      </c>
      <c r="M35" s="7">
        <f>(E35*50/100)+(G36*75/100)</f>
        <v>456765.45755000005</v>
      </c>
      <c r="N35" s="4">
        <f>((C35)*75/100)+((C36)*50/100)</f>
        <v>5904430</v>
      </c>
      <c r="O35" s="23">
        <v>44</v>
      </c>
      <c r="P35" s="19">
        <f>M35*O35</f>
        <v>20097680.132200003</v>
      </c>
      <c r="Q35" s="14">
        <f>N35*O35*25</f>
        <v>6494873000</v>
      </c>
      <c r="R35" s="19">
        <f>P35*25*12</f>
        <v>6029304039.6600008</v>
      </c>
      <c r="S35" s="14">
        <f>Q35*12</f>
        <v>77938476000</v>
      </c>
      <c r="T35" s="4">
        <f>((C36)*25/100)+((C37)*50/100)</f>
        <v>6574576.25</v>
      </c>
      <c r="U35" s="4">
        <f>C36*25/100</f>
        <v>984316.25</v>
      </c>
      <c r="V35" s="4">
        <v>50</v>
      </c>
      <c r="W35" s="14">
        <f>T35*V35*25</f>
        <v>8218220312.5</v>
      </c>
      <c r="X35" s="14">
        <f>T35*V35*30*12</f>
        <v>118342372500</v>
      </c>
      <c r="Y35" s="19">
        <f>(G36*20/100)+(I37*45/100)+(K38*40/100)</f>
        <v>528029.95738249994</v>
      </c>
      <c r="Z35" s="19">
        <v>50</v>
      </c>
      <c r="AA35" s="19">
        <f>Z35*Y35*25</f>
        <v>660037446.72812498</v>
      </c>
      <c r="AB35" s="19">
        <f>AA35*12</f>
        <v>7920449360.7374992</v>
      </c>
      <c r="AC35" s="4" t="s">
        <v>252</v>
      </c>
      <c r="AD35" s="4" t="s">
        <v>253</v>
      </c>
    </row>
    <row r="36" spans="1:30" x14ac:dyDescent="0.25">
      <c r="A36" s="2"/>
      <c r="B36" s="2"/>
      <c r="C36" s="7">
        <v>3937265</v>
      </c>
      <c r="D36" s="10"/>
      <c r="E36" s="10"/>
      <c r="F36" s="10">
        <f>15.59*40/100</f>
        <v>6.2360000000000007</v>
      </c>
      <c r="G36" s="10">
        <f>F36*C36/100</f>
        <v>245527.84540000002</v>
      </c>
      <c r="H36" s="10"/>
      <c r="I36" s="10"/>
      <c r="J36" s="10"/>
      <c r="K36" s="10"/>
      <c r="L36" s="2" t="s">
        <v>99</v>
      </c>
      <c r="M36" s="2"/>
      <c r="AC36" t="s">
        <v>255</v>
      </c>
      <c r="AD36" t="s">
        <v>254</v>
      </c>
    </row>
    <row r="37" spans="1:30" x14ac:dyDescent="0.25">
      <c r="A37" s="2"/>
      <c r="B37" s="2"/>
      <c r="C37" s="7">
        <v>11180520</v>
      </c>
      <c r="D37" s="10"/>
      <c r="E37" s="10"/>
      <c r="F37" s="10"/>
      <c r="G37" s="10"/>
      <c r="H37" s="10">
        <f>15.59*30/100</f>
        <v>4.6769999999999996</v>
      </c>
      <c r="I37" s="10">
        <f>H37*C36/100</f>
        <v>184145.88404999996</v>
      </c>
      <c r="J37" s="10"/>
      <c r="K37" s="10"/>
      <c r="L37" s="2" t="s">
        <v>100</v>
      </c>
      <c r="M37" s="2"/>
      <c r="AC37" t="s">
        <v>256</v>
      </c>
      <c r="AD37" t="s">
        <v>257</v>
      </c>
    </row>
    <row r="38" spans="1:30" x14ac:dyDescent="0.25">
      <c r="A38" s="2"/>
      <c r="B38" s="2"/>
      <c r="C38" s="7">
        <v>2467881</v>
      </c>
      <c r="D38" s="10"/>
      <c r="E38" s="10"/>
      <c r="F38" s="10"/>
      <c r="G38" s="10"/>
      <c r="H38" s="10"/>
      <c r="I38" s="10"/>
      <c r="J38" s="10">
        <f>44.28*20/100</f>
        <v>8.8559999999999999</v>
      </c>
      <c r="K38" s="10">
        <f>J38*C37/100</f>
        <v>990146.85120000003</v>
      </c>
      <c r="L38" s="2" t="s">
        <v>101</v>
      </c>
      <c r="M38" s="2"/>
    </row>
    <row r="39" spans="1:30" x14ac:dyDescent="0.25">
      <c r="A39" s="2"/>
      <c r="B39" s="2"/>
      <c r="C39" s="7">
        <v>2414744</v>
      </c>
      <c r="D39" s="10"/>
      <c r="E39" s="10"/>
      <c r="F39" s="10"/>
      <c r="G39" s="10"/>
      <c r="H39" s="10"/>
      <c r="I39" s="10"/>
      <c r="J39" s="10"/>
      <c r="K39" s="10"/>
      <c r="L39" s="2" t="s">
        <v>102</v>
      </c>
      <c r="M39" s="2"/>
    </row>
    <row r="40" spans="1:30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30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30" x14ac:dyDescent="0.25">
      <c r="A42" s="2" t="s">
        <v>13</v>
      </c>
      <c r="B42" s="2" t="s">
        <v>108</v>
      </c>
      <c r="C42" s="7">
        <v>755013</v>
      </c>
      <c r="D42" s="12">
        <f>12.82*50/100</f>
        <v>6.41</v>
      </c>
      <c r="E42" s="12">
        <f>D42*C42/100</f>
        <v>48396.333299999998</v>
      </c>
      <c r="F42" s="12"/>
      <c r="G42" s="12"/>
      <c r="H42" s="12"/>
      <c r="I42" s="12"/>
      <c r="J42" s="12"/>
      <c r="K42" s="12"/>
      <c r="L42" s="2" t="s">
        <v>109</v>
      </c>
      <c r="M42" s="7">
        <f>(E42*50/100)+(G43*75/100)</f>
        <v>72652.660410000011</v>
      </c>
      <c r="N42" s="4">
        <f>((C42)*75/100)+((C43)*50/100)</f>
        <v>1053925.75</v>
      </c>
      <c r="O42" s="23">
        <v>45</v>
      </c>
      <c r="P42" s="19">
        <f>M42*O42</f>
        <v>3269369.7184500005</v>
      </c>
      <c r="Q42" s="14">
        <f>N42*O42*25</f>
        <v>1185666468.75</v>
      </c>
      <c r="R42" s="19">
        <f>P42*25*12</f>
        <v>980810915.53500009</v>
      </c>
      <c r="S42" s="14">
        <f>Q42*12</f>
        <v>14227997625</v>
      </c>
      <c r="T42" s="4">
        <f>((C43)*25/100)+((C44)*50/100)</f>
        <v>1731583.5</v>
      </c>
      <c r="U42" s="4">
        <f>C43*25/100</f>
        <v>243833</v>
      </c>
      <c r="V42" s="4">
        <v>50</v>
      </c>
      <c r="W42" s="14">
        <f>T42*V42*25</f>
        <v>2164479375</v>
      </c>
      <c r="X42" s="14">
        <f>T42*V42*30*12</f>
        <v>31168503000</v>
      </c>
      <c r="Y42" s="19">
        <f>(G43*20/100)+(I44*45/100)+(K45*40/100)</f>
        <v>155007.37295200001</v>
      </c>
      <c r="Z42" s="19">
        <v>50</v>
      </c>
      <c r="AA42" s="19">
        <f>Z42*Y42*25</f>
        <v>193759216.19000003</v>
      </c>
      <c r="AB42" s="19">
        <f>AA42*12</f>
        <v>2325110594.2800002</v>
      </c>
      <c r="AC42" s="4" t="s">
        <v>222</v>
      </c>
      <c r="AD42" s="4" t="s">
        <v>262</v>
      </c>
    </row>
    <row r="43" spans="1:30" x14ac:dyDescent="0.25">
      <c r="A43" s="2"/>
      <c r="B43" s="2"/>
      <c r="C43" s="7">
        <v>975332</v>
      </c>
      <c r="D43" s="12"/>
      <c r="E43" s="12"/>
      <c r="F43" s="12">
        <f>16.56*40/100</f>
        <v>6.6239999999999997</v>
      </c>
      <c r="G43" s="12">
        <f>F43*C43/100</f>
        <v>64605.991679999999</v>
      </c>
      <c r="H43" s="12"/>
      <c r="I43" s="12"/>
      <c r="J43" s="12"/>
      <c r="K43" s="12"/>
      <c r="L43" s="2" t="s">
        <v>110</v>
      </c>
      <c r="M43" s="2"/>
      <c r="AC43" t="s">
        <v>258</v>
      </c>
      <c r="AD43" t="s">
        <v>259</v>
      </c>
    </row>
    <row r="44" spans="1:30" x14ac:dyDescent="0.25">
      <c r="A44" s="2"/>
      <c r="B44" s="2"/>
      <c r="C44" s="7">
        <v>2975501</v>
      </c>
      <c r="D44" s="12"/>
      <c r="E44" s="12"/>
      <c r="F44" s="12"/>
      <c r="G44" s="12"/>
      <c r="H44" s="12">
        <f>16.56*30/100</f>
        <v>4.968</v>
      </c>
      <c r="I44" s="12">
        <f>H44*C43/100</f>
        <v>48454.493760000005</v>
      </c>
      <c r="J44" s="12"/>
      <c r="K44" s="12"/>
      <c r="L44" s="2" t="s">
        <v>111</v>
      </c>
      <c r="M44" s="2"/>
      <c r="AC44" t="s">
        <v>260</v>
      </c>
      <c r="AD44" t="s">
        <v>261</v>
      </c>
    </row>
    <row r="45" spans="1:30" x14ac:dyDescent="0.25">
      <c r="B45" s="2"/>
      <c r="C45" s="7">
        <v>616034</v>
      </c>
      <c r="D45" s="12"/>
      <c r="E45" s="12"/>
      <c r="F45" s="12"/>
      <c r="G45" s="12"/>
      <c r="H45" s="12"/>
      <c r="I45" s="12"/>
      <c r="J45" s="12">
        <f>50.53*20/100</f>
        <v>10.106</v>
      </c>
      <c r="K45" s="12">
        <f>J45*C44/100</f>
        <v>300704.13105999999</v>
      </c>
      <c r="L45" s="2" t="s">
        <v>112</v>
      </c>
      <c r="M45" s="2"/>
    </row>
    <row r="46" spans="1:30" x14ac:dyDescent="0.25">
      <c r="B46" s="2"/>
      <c r="C46" s="7">
        <v>567046</v>
      </c>
      <c r="D46" s="12"/>
      <c r="E46" s="12"/>
      <c r="F46" s="12"/>
      <c r="G46" s="12"/>
      <c r="H46" s="12"/>
      <c r="I46" s="12"/>
      <c r="J46" s="12"/>
      <c r="K46" s="12"/>
      <c r="L46" s="2" t="s">
        <v>113</v>
      </c>
      <c r="M46" s="2"/>
    </row>
    <row r="47" spans="1:30" x14ac:dyDescent="0.25">
      <c r="B47" s="2"/>
      <c r="C47" s="12"/>
      <c r="D47" s="12"/>
      <c r="E47" s="12"/>
      <c r="F47" s="12"/>
      <c r="G47" s="12"/>
      <c r="H47" s="12"/>
      <c r="I47" s="12"/>
      <c r="J47" s="12"/>
      <c r="K47" s="12"/>
      <c r="L47" s="2"/>
      <c r="M47" s="2"/>
    </row>
    <row r="48" spans="1:30" x14ac:dyDescent="0.25">
      <c r="B48" s="2"/>
      <c r="C48" s="12"/>
      <c r="D48" s="12"/>
      <c r="E48" s="12"/>
      <c r="F48" s="12"/>
      <c r="G48" s="12"/>
      <c r="H48" s="12"/>
      <c r="I48" s="12"/>
      <c r="J48" s="12"/>
      <c r="K48" s="12"/>
      <c r="L48" s="2"/>
      <c r="M48" s="2"/>
    </row>
    <row r="49" spans="1:30" ht="30" x14ac:dyDescent="0.25">
      <c r="A49" s="1" t="s">
        <v>15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30" x14ac:dyDescent="0.25">
      <c r="A50" s="2" t="s">
        <v>9</v>
      </c>
      <c r="B50" s="11">
        <v>4613241</v>
      </c>
      <c r="C50" s="7">
        <v>1030826</v>
      </c>
      <c r="D50" s="12">
        <f>30*50/100</f>
        <v>15</v>
      </c>
      <c r="E50" s="12">
        <f>D50*C50/100</f>
        <v>154623.9</v>
      </c>
      <c r="F50" s="12"/>
      <c r="G50" s="12"/>
      <c r="H50" s="12"/>
      <c r="I50" s="12"/>
      <c r="J50" s="12"/>
      <c r="K50" s="12"/>
      <c r="L50" s="2" t="s">
        <v>114</v>
      </c>
      <c r="M50" s="7">
        <f>(E50*50/100)+(G51*75/100)</f>
        <v>113195.12396999999</v>
      </c>
      <c r="N50" s="4">
        <f>((C50)*75/100)+((C51)*50/100)</f>
        <v>1093105</v>
      </c>
      <c r="O50" s="23">
        <v>51</v>
      </c>
      <c r="P50" s="19">
        <f>M50*O50</f>
        <v>5772951.3224699991</v>
      </c>
      <c r="Q50" s="14">
        <f>N50*O50*25</f>
        <v>1393708875</v>
      </c>
      <c r="R50" s="19">
        <f>P50*25*12</f>
        <v>1731885396.7409997</v>
      </c>
      <c r="S50" s="14">
        <f>Q50*12</f>
        <v>16724506500</v>
      </c>
      <c r="T50" s="4">
        <f>((C51)*25/100)+((C52)*50/100)</f>
        <v>909924.75</v>
      </c>
      <c r="U50" s="4">
        <f>C51*25/100</f>
        <v>159992.75</v>
      </c>
      <c r="V50" s="4">
        <v>55</v>
      </c>
      <c r="W50" s="14">
        <f>T50*V50*25</f>
        <v>1251146531.25</v>
      </c>
      <c r="X50" s="14">
        <f>T50*V50*30*12</f>
        <v>18016510050</v>
      </c>
      <c r="Y50" s="19">
        <f>(G51*20/100)+(I52*45/100)+(K53*40/100)</f>
        <v>78271.509238500003</v>
      </c>
      <c r="Z50" s="19">
        <v>55</v>
      </c>
      <c r="AA50" s="19">
        <f>Z50*Y50*25</f>
        <v>107623325.2029375</v>
      </c>
      <c r="AB50" s="19">
        <f>AA50*12</f>
        <v>1291479902.43525</v>
      </c>
      <c r="AC50" s="34" t="s">
        <v>352</v>
      </c>
      <c r="AD50" s="4" t="s">
        <v>342</v>
      </c>
    </row>
    <row r="51" spans="1:30" x14ac:dyDescent="0.25">
      <c r="C51" s="7">
        <v>639971</v>
      </c>
      <c r="D51" s="12"/>
      <c r="E51" s="12"/>
      <c r="F51" s="12">
        <f>18.69*40/100</f>
        <v>7.476</v>
      </c>
      <c r="G51" s="12">
        <f>F51*C51/100</f>
        <v>47844.231959999997</v>
      </c>
      <c r="H51" s="12"/>
      <c r="I51" s="12"/>
      <c r="J51" s="12"/>
      <c r="K51" s="12"/>
      <c r="L51" s="2" t="s">
        <v>115</v>
      </c>
      <c r="M51" s="2"/>
      <c r="AC51" s="35"/>
      <c r="AD51" s="26" t="s">
        <v>343</v>
      </c>
    </row>
    <row r="52" spans="1:30" x14ac:dyDescent="0.25">
      <c r="C52" s="7">
        <v>1499864</v>
      </c>
      <c r="D52" s="12"/>
      <c r="E52" s="12"/>
      <c r="F52" s="12"/>
      <c r="G52" s="12"/>
      <c r="H52" s="12">
        <f>18.69*30/100</f>
        <v>5.6070000000000002</v>
      </c>
      <c r="I52" s="12">
        <f>C51*H52/100</f>
        <v>35883.173970000003</v>
      </c>
      <c r="J52" s="12"/>
      <c r="K52" s="12"/>
      <c r="L52" s="2" t="s">
        <v>116</v>
      </c>
      <c r="M52" s="2"/>
      <c r="AC52" s="35"/>
      <c r="AD52" t="s">
        <v>344</v>
      </c>
    </row>
    <row r="53" spans="1:30" x14ac:dyDescent="0.25">
      <c r="C53" s="7">
        <v>134270</v>
      </c>
      <c r="D53" s="12"/>
      <c r="E53" s="12"/>
      <c r="F53" s="12"/>
      <c r="G53" s="12"/>
      <c r="H53" s="12"/>
      <c r="I53" s="12"/>
      <c r="J53" s="12">
        <f>43.8*20/100</f>
        <v>8.76</v>
      </c>
      <c r="K53" s="12">
        <f>J53*C52/100</f>
        <v>131388.0864</v>
      </c>
      <c r="L53" s="2" t="s">
        <v>117</v>
      </c>
      <c r="M53" s="2"/>
      <c r="AC53" s="35"/>
      <c r="AD53" t="s">
        <v>345</v>
      </c>
    </row>
    <row r="54" spans="1:30" x14ac:dyDescent="0.25">
      <c r="C54" s="7">
        <v>119455</v>
      </c>
      <c r="D54" s="12"/>
      <c r="E54" s="12"/>
      <c r="F54" s="12"/>
      <c r="G54" s="12"/>
      <c r="H54" s="12"/>
      <c r="I54" s="12"/>
      <c r="J54" s="12"/>
      <c r="K54" s="12"/>
      <c r="L54" s="2" t="s">
        <v>118</v>
      </c>
      <c r="M54" s="2"/>
      <c r="AC54" s="35"/>
    </row>
    <row r="55" spans="1:30" x14ac:dyDescent="0.25">
      <c r="AC55" s="35"/>
      <c r="AD55" t="s">
        <v>346</v>
      </c>
    </row>
    <row r="56" spans="1:30" x14ac:dyDescent="0.25">
      <c r="A56" s="2" t="s">
        <v>12</v>
      </c>
      <c r="B56" s="11">
        <v>28571770</v>
      </c>
      <c r="C56" s="7">
        <v>7457209</v>
      </c>
      <c r="D56" s="12">
        <f>26.1*50/100</f>
        <v>13.05</v>
      </c>
      <c r="E56" s="12">
        <f>D56*C56/100</f>
        <v>973165.77450000006</v>
      </c>
      <c r="F56" s="12"/>
      <c r="G56" s="12"/>
      <c r="H56" s="12"/>
      <c r="I56" s="12"/>
      <c r="J56" s="12"/>
      <c r="K56" s="12"/>
      <c r="L56" s="2" t="s">
        <v>119</v>
      </c>
      <c r="M56" s="7">
        <f>(E56*50/100)+(G57*75/100)</f>
        <v>782117.69634000002</v>
      </c>
      <c r="N56" s="4">
        <f>((C56)*75/100)+((C57)*50/100)</f>
        <v>8245346.25</v>
      </c>
      <c r="O56" s="23">
        <v>50</v>
      </c>
      <c r="P56" s="19">
        <f>M56*O56</f>
        <v>39105884.817000002</v>
      </c>
      <c r="Q56" s="14">
        <f>N56*O56*25</f>
        <v>10306682812.5</v>
      </c>
      <c r="R56" s="19">
        <f>P56*25*12</f>
        <v>11731765445.1</v>
      </c>
      <c r="S56" s="14">
        <f>Q56*12</f>
        <v>123680193750</v>
      </c>
      <c r="T56" s="4">
        <f>((C57)*25/100)+((C58)*50/100)</f>
        <v>8020671.75</v>
      </c>
      <c r="U56" s="4">
        <f>C57*25/100</f>
        <v>1326219.75</v>
      </c>
      <c r="V56" s="4">
        <v>250</v>
      </c>
      <c r="W56" s="14">
        <f>T56*V56*25</f>
        <v>50129198437.5</v>
      </c>
      <c r="X56" s="14">
        <f>T56*V56*30*12</f>
        <v>721860457500</v>
      </c>
      <c r="Y56" s="19">
        <f>(G57*20/100)+(I58*45/100)+(K59*40/100)</f>
        <v>715222.73691450001</v>
      </c>
      <c r="Z56" s="19">
        <v>100</v>
      </c>
      <c r="AA56" s="19">
        <f>Z56*Y56*25</f>
        <v>1788056842.2862501</v>
      </c>
      <c r="AB56" s="19">
        <f>AA56*12</f>
        <v>21456682107.435001</v>
      </c>
      <c r="AC56" s="35"/>
      <c r="AD56" s="4" t="s">
        <v>347</v>
      </c>
    </row>
    <row r="57" spans="1:30" x14ac:dyDescent="0.25">
      <c r="A57" s="2"/>
      <c r="C57" s="7">
        <v>5304879</v>
      </c>
      <c r="D57" s="12"/>
      <c r="E57" s="12"/>
      <c r="F57" s="12">
        <f>18.57*40/100</f>
        <v>7.4279999999999999</v>
      </c>
      <c r="G57" s="12">
        <f>F57*C57/100</f>
        <v>394046.41211999999</v>
      </c>
      <c r="H57" s="12"/>
      <c r="I57" s="12"/>
      <c r="J57" s="12"/>
      <c r="K57" s="12"/>
      <c r="L57" s="2" t="s">
        <v>120</v>
      </c>
      <c r="M57" s="2"/>
      <c r="AC57" s="35"/>
      <c r="AD57" t="s">
        <v>348</v>
      </c>
    </row>
    <row r="58" spans="1:30" x14ac:dyDescent="0.25">
      <c r="A58" s="2"/>
      <c r="C58" s="7">
        <v>13388904</v>
      </c>
      <c r="D58" s="12"/>
      <c r="E58" s="12"/>
      <c r="F58" s="12"/>
      <c r="G58" s="12"/>
      <c r="H58" s="12">
        <f>18.57*30/100</f>
        <v>5.5710000000000006</v>
      </c>
      <c r="I58" s="12">
        <f>H58*C57/100</f>
        <v>295534.80909</v>
      </c>
      <c r="J58" s="12"/>
      <c r="K58" s="12"/>
      <c r="L58" s="2" t="s">
        <v>121</v>
      </c>
      <c r="M58" s="2"/>
      <c r="AC58" s="35"/>
      <c r="AD58" t="s">
        <v>349</v>
      </c>
    </row>
    <row r="59" spans="1:30" x14ac:dyDescent="0.25">
      <c r="A59" s="2"/>
      <c r="C59" s="7">
        <v>1437077</v>
      </c>
      <c r="D59" s="12"/>
      <c r="E59" s="12"/>
      <c r="F59" s="12"/>
      <c r="G59" s="12"/>
      <c r="H59" s="12"/>
      <c r="I59" s="12"/>
      <c r="J59" s="12">
        <f>47*20/100</f>
        <v>9.4</v>
      </c>
      <c r="K59" s="12">
        <f>C58*J59/100</f>
        <v>1258556.976</v>
      </c>
      <c r="L59" s="2" t="s">
        <v>122</v>
      </c>
      <c r="M59" s="2"/>
      <c r="AC59" s="35"/>
      <c r="AD59" t="s">
        <v>350</v>
      </c>
    </row>
    <row r="60" spans="1:30" x14ac:dyDescent="0.25">
      <c r="A60" s="2"/>
      <c r="C60" s="7">
        <v>983701</v>
      </c>
      <c r="D60" s="12"/>
      <c r="E60" s="12"/>
      <c r="F60" s="12"/>
      <c r="G60" s="12"/>
      <c r="H60" s="12"/>
      <c r="I60" s="12"/>
      <c r="J60" s="12"/>
      <c r="K60" s="12"/>
      <c r="L60" s="2" t="s">
        <v>123</v>
      </c>
      <c r="M60" s="2"/>
      <c r="AC60" s="35"/>
      <c r="AD60" t="s">
        <v>351</v>
      </c>
    </row>
    <row r="61" spans="1:30" x14ac:dyDescent="0.25">
      <c r="A61" s="2"/>
      <c r="AC61" s="35"/>
      <c r="AD61" t="s">
        <v>353</v>
      </c>
    </row>
    <row r="62" spans="1:30" ht="25.5" x14ac:dyDescent="0.25">
      <c r="A62" s="2" t="s">
        <v>14</v>
      </c>
      <c r="B62" s="11">
        <v>6072475</v>
      </c>
      <c r="C62" s="7">
        <v>1275568</v>
      </c>
      <c r="D62" s="12">
        <f>21*50/100</f>
        <v>10.5</v>
      </c>
      <c r="E62" s="12">
        <f>D62*C62/100</f>
        <v>133934.64000000001</v>
      </c>
      <c r="F62" s="12"/>
      <c r="G62" s="12"/>
      <c r="H62" s="12"/>
      <c r="I62" s="12"/>
      <c r="J62" s="12"/>
      <c r="K62" s="12"/>
      <c r="L62" s="2" t="s">
        <v>124</v>
      </c>
      <c r="M62" s="7">
        <f>(E62*50/100)+(G63*75/100)</f>
        <v>100192.99350000001</v>
      </c>
      <c r="N62" s="4">
        <f>((C62)*75/100)+((C63)*50/100)</f>
        <v>1366869.5</v>
      </c>
      <c r="O62" s="27">
        <v>52</v>
      </c>
      <c r="P62" s="19">
        <f>M62*O62</f>
        <v>5210035.6620000005</v>
      </c>
      <c r="Q62" s="14">
        <f>N62*O62*25</f>
        <v>1776930350</v>
      </c>
      <c r="R62" s="19">
        <f>P62*25*12</f>
        <v>1563010698.6000001</v>
      </c>
      <c r="S62" s="14">
        <f>Q62*12</f>
        <v>21323164200</v>
      </c>
      <c r="T62" s="4">
        <f>((C63)*25/100)+((C64)*50/100)</f>
        <v>2061578.75</v>
      </c>
      <c r="U62" s="4">
        <f>C63*25/100</f>
        <v>205096.75</v>
      </c>
      <c r="V62" s="4">
        <v>255</v>
      </c>
      <c r="W62" s="14">
        <f>T62*V62*25</f>
        <v>13142564531.25</v>
      </c>
      <c r="X62" s="14">
        <f>T62*V62*30*12</f>
        <v>189252929250</v>
      </c>
      <c r="Y62" s="19">
        <f>(G63*20/100)+(I64*45/100)+(K65*40/100)</f>
        <v>205431.30306750003</v>
      </c>
      <c r="Z62" s="19">
        <v>100</v>
      </c>
      <c r="AA62" s="19">
        <f>Z62*Y62*25</f>
        <v>513578257.66875011</v>
      </c>
      <c r="AB62" s="19">
        <f>AA62*12</f>
        <v>6162939092.0250015</v>
      </c>
      <c r="AC62" s="35"/>
      <c r="AD62" s="4"/>
    </row>
    <row r="63" spans="1:30" x14ac:dyDescent="0.25">
      <c r="A63" s="2"/>
      <c r="C63" s="7">
        <v>820387</v>
      </c>
      <c r="D63" s="12"/>
      <c r="E63" s="12"/>
      <c r="F63" s="12">
        <f>13.5*40/100</f>
        <v>5.4</v>
      </c>
      <c r="G63" s="12">
        <f>F63*C63/100</f>
        <v>44300.898000000008</v>
      </c>
      <c r="H63" s="12"/>
      <c r="I63" s="12"/>
      <c r="J63" s="12"/>
      <c r="K63" s="12"/>
      <c r="L63" s="2" t="s">
        <v>125</v>
      </c>
      <c r="M63" s="2"/>
      <c r="AC63" s="35"/>
    </row>
    <row r="64" spans="1:30" x14ac:dyDescent="0.25">
      <c r="A64" s="2"/>
      <c r="C64" s="7">
        <v>3712964</v>
      </c>
      <c r="D64" s="12"/>
      <c r="E64" s="12"/>
      <c r="F64" s="12"/>
      <c r="G64" s="12"/>
      <c r="H64" s="12">
        <f>13.51*30/100</f>
        <v>4.0529999999999999</v>
      </c>
      <c r="I64" s="12">
        <f>H64*C63/100</f>
        <v>33250.285109999997</v>
      </c>
      <c r="J64" s="12"/>
      <c r="K64" s="12"/>
      <c r="L64" s="2" t="s">
        <v>126</v>
      </c>
      <c r="M64" s="2"/>
      <c r="AC64" s="35"/>
    </row>
    <row r="65" spans="1:30" x14ac:dyDescent="0.25">
      <c r="A65" s="2"/>
      <c r="C65" s="7">
        <v>198526</v>
      </c>
      <c r="D65" s="12"/>
      <c r="E65" s="12"/>
      <c r="F65" s="12"/>
      <c r="G65" s="12"/>
      <c r="H65" s="12"/>
      <c r="I65" s="12"/>
      <c r="J65" s="12">
        <f>61.14*20/100</f>
        <v>12.228</v>
      </c>
      <c r="K65" s="12">
        <f>J65*C64/100</f>
        <v>454021.23791999999</v>
      </c>
      <c r="L65" s="2" t="s">
        <v>127</v>
      </c>
      <c r="M65" s="2"/>
      <c r="AC65" s="35"/>
    </row>
    <row r="66" spans="1:30" x14ac:dyDescent="0.25">
      <c r="A66" s="2"/>
      <c r="C66" s="7">
        <v>65030</v>
      </c>
      <c r="D66" s="12"/>
      <c r="E66" s="12"/>
      <c r="F66" s="12"/>
      <c r="G66" s="12"/>
      <c r="H66" s="12"/>
      <c r="I66" s="12"/>
      <c r="J66" s="12"/>
      <c r="K66" s="12"/>
      <c r="L66" s="2" t="s">
        <v>128</v>
      </c>
      <c r="M66" s="2"/>
      <c r="AC66" s="35"/>
    </row>
    <row r="67" spans="1:30" x14ac:dyDescent="0.25">
      <c r="A67" s="2"/>
      <c r="AC67" s="35"/>
    </row>
    <row r="68" spans="1:30" x14ac:dyDescent="0.25">
      <c r="A68" s="2" t="s">
        <v>10</v>
      </c>
      <c r="B68" s="11">
        <v>2314307</v>
      </c>
      <c r="C68" s="7">
        <v>292273</v>
      </c>
      <c r="D68" s="12">
        <f>12.63*50/100</f>
        <v>6.3150000000000004</v>
      </c>
      <c r="E68" s="12">
        <f>D68*C68/100</f>
        <v>18457.039950000002</v>
      </c>
      <c r="F68" s="12"/>
      <c r="G68" s="12"/>
      <c r="H68" s="12"/>
      <c r="I68" s="12"/>
      <c r="J68" s="12"/>
      <c r="K68" s="12"/>
      <c r="L68" s="2" t="s">
        <v>129</v>
      </c>
      <c r="M68" s="7">
        <f>(E68*50/100)+(G69*75/100)</f>
        <v>19821.633675000005</v>
      </c>
      <c r="N68" s="4">
        <f>((C68)*75/100)+((C69)*50/100)</f>
        <v>362161.75</v>
      </c>
      <c r="O68" s="27">
        <v>54</v>
      </c>
      <c r="P68" s="19">
        <f>M68*O68</f>
        <v>1070368.2184500003</v>
      </c>
      <c r="Q68" s="14">
        <f>N68*O68*25</f>
        <v>488918362.5</v>
      </c>
      <c r="R68" s="19">
        <f>P68*25*12</f>
        <v>321110465.53500009</v>
      </c>
      <c r="S68" s="14">
        <f>Q68*12</f>
        <v>5867020350</v>
      </c>
      <c r="T68" s="4">
        <f>((C69)*25/100)+((C70)*50/100)</f>
        <v>888337</v>
      </c>
      <c r="U68" s="4">
        <f>C69*25/100</f>
        <v>71478.5</v>
      </c>
      <c r="V68" s="4">
        <v>450</v>
      </c>
      <c r="W68" s="14">
        <f>T68*V68*25</f>
        <v>9993791250</v>
      </c>
      <c r="X68" s="14">
        <f>T68*V68*30*12</f>
        <v>143910594000</v>
      </c>
      <c r="Y68" s="19">
        <f>(G69*20/100)+(I70*45/100)+(K71*40/100)</f>
        <v>99850.997908999998</v>
      </c>
      <c r="Z68" s="19">
        <v>100</v>
      </c>
      <c r="AA68" s="19">
        <f>Z68*Y68*25</f>
        <v>249627494.77249998</v>
      </c>
      <c r="AB68" s="19">
        <f>AA68*12</f>
        <v>2995529937.2699995</v>
      </c>
      <c r="AC68" s="35"/>
      <c r="AD68" s="4"/>
    </row>
    <row r="69" spans="1:30" x14ac:dyDescent="0.25">
      <c r="A69" s="2"/>
      <c r="C69" s="7">
        <v>285914</v>
      </c>
      <c r="D69" s="12"/>
      <c r="E69" s="12"/>
      <c r="F69" s="12">
        <f>12.35*40/100</f>
        <v>4.9400000000000004</v>
      </c>
      <c r="G69" s="12">
        <f>C69*F69/100</f>
        <v>14124.151600000001</v>
      </c>
      <c r="H69" s="12"/>
      <c r="I69" s="12"/>
      <c r="J69" s="12"/>
      <c r="K69" s="12"/>
      <c r="L69" s="2" t="s">
        <v>130</v>
      </c>
      <c r="M69" s="2"/>
      <c r="AC69" s="35"/>
    </row>
    <row r="70" spans="1:30" x14ac:dyDescent="0.25">
      <c r="A70" s="2"/>
      <c r="C70" s="7">
        <v>1633717</v>
      </c>
      <c r="D70" s="12"/>
      <c r="E70" s="12"/>
      <c r="F70" s="12"/>
      <c r="G70" s="12"/>
      <c r="H70" s="12">
        <f>12.35*30/100</f>
        <v>3.7050000000000001</v>
      </c>
      <c r="I70" s="12">
        <f>H70*C69/100</f>
        <v>10593.113700000002</v>
      </c>
      <c r="J70" s="12"/>
      <c r="K70" s="12"/>
      <c r="L70" s="2" t="s">
        <v>131</v>
      </c>
      <c r="M70" s="2"/>
      <c r="AC70" s="35"/>
    </row>
    <row r="71" spans="1:30" x14ac:dyDescent="0.25">
      <c r="A71" s="2"/>
      <c r="C71" s="7">
        <v>79254</v>
      </c>
      <c r="D71" s="12"/>
      <c r="E71" s="12"/>
      <c r="F71" s="12"/>
      <c r="G71" s="12"/>
      <c r="H71" s="12"/>
      <c r="I71" s="12"/>
      <c r="J71" s="12">
        <f>70.59*20/100</f>
        <v>14.118000000000002</v>
      </c>
      <c r="K71" s="12">
        <f>C70*J71/100</f>
        <v>230648.16606000002</v>
      </c>
      <c r="L71" s="2" t="s">
        <v>132</v>
      </c>
      <c r="M71" s="2"/>
      <c r="AC71" s="35"/>
    </row>
    <row r="72" spans="1:30" x14ac:dyDescent="0.25">
      <c r="A72" s="2"/>
      <c r="C72" s="7">
        <v>23149</v>
      </c>
      <c r="D72" s="12"/>
      <c r="E72" s="12"/>
      <c r="F72" s="12"/>
      <c r="G72" s="12"/>
      <c r="H72" s="12"/>
      <c r="I72" s="12"/>
      <c r="J72" s="12"/>
      <c r="K72" s="12"/>
      <c r="L72" s="2" t="s">
        <v>133</v>
      </c>
      <c r="M72" s="2"/>
      <c r="AC72" s="35"/>
    </row>
    <row r="73" spans="1:30" x14ac:dyDescent="0.25">
      <c r="A73" s="2"/>
      <c r="B73" s="11"/>
      <c r="C73" s="12"/>
      <c r="D73" s="12"/>
      <c r="E73" s="12"/>
      <c r="F73" s="12"/>
      <c r="G73" s="12"/>
      <c r="H73" s="12"/>
      <c r="I73" s="12"/>
      <c r="J73" s="12"/>
      <c r="K73" s="12"/>
      <c r="L73" s="2"/>
      <c r="M73" s="2"/>
      <c r="AC73" s="35"/>
    </row>
    <row r="74" spans="1:30" x14ac:dyDescent="0.25">
      <c r="A74" s="2" t="s">
        <v>0</v>
      </c>
      <c r="B74" s="11">
        <v>1410942</v>
      </c>
      <c r="C74" s="7">
        <v>269162</v>
      </c>
      <c r="D74" s="12">
        <f>19.08*50/100</f>
        <v>9.5399999999999991</v>
      </c>
      <c r="E74" s="12">
        <f>D74*C74/100</f>
        <v>25678.054799999998</v>
      </c>
      <c r="F74" s="12"/>
      <c r="G74" s="12"/>
      <c r="H74" s="12"/>
      <c r="I74" s="12"/>
      <c r="J74" s="12"/>
      <c r="K74" s="12"/>
      <c r="L74" s="2" t="s">
        <v>134</v>
      </c>
      <c r="M74" s="7">
        <f>(E74*50/100)+(G75*75/100)</f>
        <v>23204.977049999998</v>
      </c>
      <c r="N74" s="4">
        <f>((C74)*75/100)+((C75)*50/100)</f>
        <v>312265</v>
      </c>
      <c r="O74" s="27">
        <v>53</v>
      </c>
      <c r="P74" s="19">
        <f>M74*O74</f>
        <v>1229863.7836499999</v>
      </c>
      <c r="Q74" s="14">
        <f>N74*O74*25</f>
        <v>413751125</v>
      </c>
      <c r="R74" s="19">
        <f>P74*25*12</f>
        <v>368959135.09499997</v>
      </c>
      <c r="S74" s="14">
        <f>Q74*12</f>
        <v>4965013500</v>
      </c>
      <c r="T74" s="4">
        <f>((C75)*25/100)+((C76)*50/100)</f>
        <v>450530.75</v>
      </c>
      <c r="U74" s="4">
        <f>C75*25/100</f>
        <v>55196.75</v>
      </c>
      <c r="V74" s="4">
        <v>460</v>
      </c>
      <c r="W74" s="14">
        <f>T74*V74*25</f>
        <v>5181103625</v>
      </c>
      <c r="X74" s="14">
        <f>T74*V74*30*12</f>
        <v>74607892200</v>
      </c>
      <c r="Y74" s="19">
        <f>(G75*20/100)+(I76*45/100)+(K77*40/100)</f>
        <v>42876.158358499997</v>
      </c>
      <c r="Z74" s="19">
        <v>100</v>
      </c>
      <c r="AA74" s="19">
        <f>Z74*Y74*25</f>
        <v>107190395.89624998</v>
      </c>
      <c r="AB74" s="19">
        <f>AA74*12</f>
        <v>1286284750.7549996</v>
      </c>
      <c r="AC74" s="35"/>
      <c r="AD74" s="4"/>
    </row>
    <row r="75" spans="1:30" x14ac:dyDescent="0.25">
      <c r="A75" s="2"/>
      <c r="C75" s="7">
        <v>220787</v>
      </c>
      <c r="D75" s="12"/>
      <c r="E75" s="12"/>
      <c r="F75" s="12">
        <f>15.65*40/100</f>
        <v>6.26</v>
      </c>
      <c r="G75" s="12">
        <f>F75*C75/100</f>
        <v>13821.266199999998</v>
      </c>
      <c r="H75" s="12"/>
      <c r="I75" s="12"/>
      <c r="J75" s="12"/>
      <c r="K75" s="12"/>
      <c r="L75" s="2" t="s">
        <v>135</v>
      </c>
      <c r="M75" s="2"/>
      <c r="AC75" s="35"/>
    </row>
    <row r="76" spans="1:30" x14ac:dyDescent="0.25">
      <c r="A76" s="2"/>
      <c r="C76" s="7">
        <v>790668</v>
      </c>
      <c r="D76" s="12"/>
      <c r="E76" s="12"/>
      <c r="F76" s="12"/>
      <c r="G76" s="12"/>
      <c r="H76" s="12">
        <f>15.65*30/100</f>
        <v>4.6950000000000003</v>
      </c>
      <c r="I76" s="12">
        <f>H76*C75/100</f>
        <v>10365.94965</v>
      </c>
      <c r="J76" s="12"/>
      <c r="K76" s="12"/>
      <c r="L76" s="2" t="s">
        <v>136</v>
      </c>
      <c r="M76" s="2"/>
      <c r="AC76" s="35"/>
    </row>
    <row r="77" spans="1:30" x14ac:dyDescent="0.25">
      <c r="A77" s="2"/>
      <c r="C77" s="7">
        <v>88654</v>
      </c>
      <c r="D77" s="12"/>
      <c r="E77" s="12"/>
      <c r="F77" s="12"/>
      <c r="G77" s="12"/>
      <c r="H77" s="12"/>
      <c r="I77" s="12"/>
      <c r="J77" s="12">
        <f>56.04*20/100</f>
        <v>11.208</v>
      </c>
      <c r="K77" s="12">
        <f>J77*C76/100</f>
        <v>88618.069440000007</v>
      </c>
      <c r="L77" s="2" t="s">
        <v>137</v>
      </c>
      <c r="M77" s="2"/>
      <c r="AC77" s="35"/>
    </row>
    <row r="78" spans="1:30" x14ac:dyDescent="0.25">
      <c r="A78" s="2"/>
      <c r="C78" s="7">
        <v>41671</v>
      </c>
      <c r="D78" s="12"/>
      <c r="E78" s="12"/>
      <c r="F78" s="12"/>
      <c r="G78" s="12"/>
      <c r="H78" s="12"/>
      <c r="I78" s="12"/>
      <c r="J78" s="12"/>
      <c r="K78" s="12"/>
      <c r="L78" s="2" t="s">
        <v>138</v>
      </c>
      <c r="M78" s="2"/>
      <c r="AC78" s="35"/>
    </row>
    <row r="79" spans="1:30" x14ac:dyDescent="0.25">
      <c r="A79" s="2"/>
      <c r="C79" s="12"/>
      <c r="D79" s="12"/>
      <c r="E79" s="12"/>
      <c r="F79" s="12"/>
      <c r="G79" s="12"/>
      <c r="H79" s="12"/>
      <c r="I79" s="12"/>
      <c r="J79" s="12"/>
      <c r="K79" s="12"/>
      <c r="L79" s="2"/>
      <c r="M79" s="2"/>
      <c r="AC79" s="35"/>
    </row>
    <row r="80" spans="1:30" x14ac:dyDescent="0.25">
      <c r="A80" s="2" t="s">
        <v>5</v>
      </c>
      <c r="B80" s="11">
        <v>2875422</v>
      </c>
      <c r="C80" s="7">
        <v>719363</v>
      </c>
      <c r="D80" s="12">
        <f>25.02*50/100</f>
        <v>12.51</v>
      </c>
      <c r="E80" s="12">
        <f>D80*C80/100</f>
        <v>89992.311299999987</v>
      </c>
      <c r="F80" s="12"/>
      <c r="G80" s="12"/>
      <c r="H80" s="12"/>
      <c r="I80" s="12"/>
      <c r="J80" s="12"/>
      <c r="K80" s="12"/>
      <c r="L80" s="2" t="s">
        <v>139</v>
      </c>
      <c r="M80" s="7">
        <f>(E80*50/100)+(G81*75/100)</f>
        <v>64663.195949999994</v>
      </c>
      <c r="N80" s="4">
        <f>((C80)*75/100)+((C81)*50/100)</f>
        <v>756597.75</v>
      </c>
      <c r="O80" s="23">
        <v>39</v>
      </c>
      <c r="P80" s="19">
        <f>M80*O80</f>
        <v>2521864.6420499999</v>
      </c>
      <c r="Q80" s="14">
        <f>N80*O80*25</f>
        <v>737682806.25</v>
      </c>
      <c r="R80" s="19">
        <f>P80*25*12</f>
        <v>756559392.61500001</v>
      </c>
      <c r="S80" s="14">
        <f>Q80*12</f>
        <v>8852193675</v>
      </c>
      <c r="T80" s="4">
        <f>((C81)*25/100)+((C82)*50/100)</f>
        <v>860013.75</v>
      </c>
      <c r="U80" s="4">
        <f>C81*25/100</f>
        <v>108537.75</v>
      </c>
      <c r="V80" s="4">
        <v>45</v>
      </c>
      <c r="W80" s="14">
        <f>T80*V80*25</f>
        <v>967515468.75</v>
      </c>
      <c r="X80" s="14">
        <f>T80*V80*30*12</f>
        <v>13932222750</v>
      </c>
      <c r="Y80" s="19">
        <f>(G81*20/100)+(I82*45/100)+(K83*40/100)</f>
        <v>76942.153047</v>
      </c>
      <c r="Z80" s="19">
        <v>100</v>
      </c>
      <c r="AA80" s="19">
        <f>Z80*Y80*25</f>
        <v>192355382.61750001</v>
      </c>
      <c r="AB80" s="19">
        <f>AA80*12</f>
        <v>2308264591.4099998</v>
      </c>
      <c r="AC80" s="35"/>
      <c r="AD80" s="4"/>
    </row>
    <row r="81" spans="1:30" x14ac:dyDescent="0.25">
      <c r="A81" s="2"/>
      <c r="C81" s="7">
        <v>434151</v>
      </c>
      <c r="D81" s="12"/>
      <c r="E81" s="12"/>
      <c r="F81" s="12">
        <f>15.1*40/100</f>
        <v>6.04</v>
      </c>
      <c r="G81" s="12">
        <f>F81*C81/100</f>
        <v>26222.720400000002</v>
      </c>
      <c r="H81" s="12"/>
      <c r="I81" s="12"/>
      <c r="J81" s="12"/>
      <c r="K81" s="12"/>
      <c r="L81" s="2" t="s">
        <v>140</v>
      </c>
      <c r="M81" s="2"/>
      <c r="AC81" s="35"/>
    </row>
    <row r="82" spans="1:30" x14ac:dyDescent="0.25">
      <c r="A82" s="2"/>
      <c r="C82" s="7">
        <v>1502952</v>
      </c>
      <c r="D82" s="12"/>
      <c r="E82" s="12"/>
      <c r="F82" s="12"/>
      <c r="G82" s="12"/>
      <c r="H82" s="12">
        <f>15.1*30/100</f>
        <v>4.53</v>
      </c>
      <c r="I82" s="12">
        <f>C81*H82/100</f>
        <v>19667.040300000001</v>
      </c>
      <c r="J82" s="12"/>
      <c r="K82" s="12"/>
      <c r="L82" s="2" t="s">
        <v>141</v>
      </c>
      <c r="M82" s="2"/>
      <c r="AC82" s="35"/>
    </row>
    <row r="83" spans="1:30" x14ac:dyDescent="0.25">
      <c r="A83" s="2"/>
      <c r="C83" s="7">
        <v>145871</v>
      </c>
      <c r="D83" s="12"/>
      <c r="E83" s="12"/>
      <c r="F83" s="12"/>
      <c r="G83" s="12"/>
      <c r="H83" s="12"/>
      <c r="I83" s="12"/>
      <c r="J83" s="12">
        <f>52.27*20/100</f>
        <v>10.454000000000001</v>
      </c>
      <c r="K83" s="12">
        <f>J83*C82/100</f>
        <v>157118.60208000001</v>
      </c>
      <c r="L83" s="2" t="s">
        <v>142</v>
      </c>
      <c r="M83" s="2"/>
      <c r="AC83" s="35"/>
    </row>
    <row r="84" spans="1:30" x14ac:dyDescent="0.25">
      <c r="A84" s="2"/>
      <c r="C84" s="7">
        <f>33561+39524</f>
        <v>73085</v>
      </c>
      <c r="L84" s="2" t="s">
        <v>143</v>
      </c>
      <c r="M84" s="2"/>
      <c r="AC84" s="35"/>
    </row>
    <row r="85" spans="1:30" x14ac:dyDescent="0.25">
      <c r="A85" s="2"/>
      <c r="AC85" s="35"/>
    </row>
    <row r="86" spans="1:30" x14ac:dyDescent="0.25">
      <c r="A86" s="1" t="s">
        <v>16</v>
      </c>
      <c r="AC86" s="35"/>
    </row>
    <row r="87" spans="1:30" ht="25.5" x14ac:dyDescent="0.25">
      <c r="A87" s="9" t="s">
        <v>22</v>
      </c>
    </row>
    <row r="88" spans="1:30" x14ac:dyDescent="0.25">
      <c r="A88" s="2" t="s">
        <v>11</v>
      </c>
      <c r="B88" s="11">
        <v>142257519</v>
      </c>
      <c r="C88" s="10">
        <v>24352817</v>
      </c>
      <c r="D88" s="10">
        <f>17.12*50/100</f>
        <v>8.56</v>
      </c>
      <c r="E88" s="10">
        <f>D88*C88/100</f>
        <v>2084601.1352000001</v>
      </c>
      <c r="F88" s="10"/>
      <c r="G88" s="10"/>
      <c r="H88" s="10"/>
      <c r="I88" s="10"/>
      <c r="J88" s="10"/>
      <c r="K88" s="10"/>
      <c r="L88" s="2" t="s">
        <v>103</v>
      </c>
      <c r="M88" s="7">
        <f>(E88*50/100)+(G89*75/100)</f>
        <v>1424127.1025800002</v>
      </c>
      <c r="N88" s="4">
        <f>((C88)*75/100)+((C89)*50/100)</f>
        <v>24991648.25</v>
      </c>
      <c r="O88" s="23">
        <v>100</v>
      </c>
      <c r="P88" s="19">
        <f>M88*O88</f>
        <v>142412710.25800002</v>
      </c>
      <c r="Q88" s="14">
        <f>N88*O88*25</f>
        <v>62479120625</v>
      </c>
      <c r="R88" s="19">
        <f>P88*25*12</f>
        <v>42723813077.400002</v>
      </c>
      <c r="S88" s="14">
        <f>Q88*12</f>
        <v>749749447500</v>
      </c>
      <c r="T88" s="4">
        <f>((C89)*25/100)+((C90)*50/100)</f>
        <v>35161757.25</v>
      </c>
      <c r="U88" s="4">
        <f>C89*25/100</f>
        <v>3363517.75</v>
      </c>
      <c r="V88" s="4">
        <v>120</v>
      </c>
      <c r="W88" s="14">
        <f>T88*V88*25</f>
        <v>105485271750</v>
      </c>
      <c r="X88" s="14">
        <f>T88*V88*30*12</f>
        <v>1518987913200</v>
      </c>
      <c r="Y88" s="19">
        <f>(G89*20/100)+(I90*45/100)+(K91*40/100)</f>
        <v>2548361.2109409999</v>
      </c>
      <c r="Z88" s="19">
        <v>120</v>
      </c>
      <c r="AA88" s="19">
        <f>Z88*Y88*25</f>
        <v>7645083632.822999</v>
      </c>
      <c r="AB88" s="19">
        <f>AA88*12</f>
        <v>91741003593.875992</v>
      </c>
      <c r="AC88" s="4" t="s">
        <v>367</v>
      </c>
      <c r="AD88" s="4" t="s">
        <v>368</v>
      </c>
    </row>
    <row r="89" spans="1:30" x14ac:dyDescent="0.25">
      <c r="A89" s="2"/>
      <c r="B89" s="2"/>
      <c r="C89" s="10">
        <v>13454071</v>
      </c>
      <c r="D89" s="10"/>
      <c r="E89" s="10"/>
      <c r="F89" s="10">
        <f>9.46*40/100</f>
        <v>3.7840000000000003</v>
      </c>
      <c r="G89" s="10">
        <f>C89*F89/100</f>
        <v>509102.04664000007</v>
      </c>
      <c r="H89" s="10"/>
      <c r="I89" s="10"/>
      <c r="J89" s="10"/>
      <c r="K89" s="10"/>
      <c r="L89" s="2" t="s">
        <v>104</v>
      </c>
      <c r="M89" s="2"/>
      <c r="AC89" t="s">
        <v>369</v>
      </c>
      <c r="AD89" t="s">
        <v>370</v>
      </c>
    </row>
    <row r="90" spans="1:30" x14ac:dyDescent="0.25">
      <c r="A90" s="2"/>
      <c r="B90" s="2"/>
      <c r="C90" s="10">
        <v>63596479</v>
      </c>
      <c r="D90" s="10"/>
      <c r="E90" s="10"/>
      <c r="F90" s="10"/>
      <c r="G90" s="10"/>
      <c r="H90" s="10">
        <f>9.46*30/100</f>
        <v>2.8380000000000001</v>
      </c>
      <c r="I90" s="10">
        <f>H90*C89/100</f>
        <v>381826.53498000005</v>
      </c>
      <c r="J90" s="10"/>
      <c r="K90" s="10"/>
      <c r="L90" s="2" t="s">
        <v>105</v>
      </c>
      <c r="M90" s="2"/>
      <c r="AC90" t="s">
        <v>372</v>
      </c>
      <c r="AD90" t="s">
        <v>371</v>
      </c>
    </row>
    <row r="91" spans="1:30" x14ac:dyDescent="0.25">
      <c r="A91" s="2"/>
      <c r="B91" s="2"/>
      <c r="C91" s="10">
        <v>20542838</v>
      </c>
      <c r="D91" s="10"/>
      <c r="E91" s="10"/>
      <c r="F91" s="10"/>
      <c r="G91" s="10"/>
      <c r="H91" s="10"/>
      <c r="I91" s="10"/>
      <c r="J91" s="10">
        <f>44.71*20/100</f>
        <v>8.9420000000000002</v>
      </c>
      <c r="K91" s="10">
        <f>J91*C90/100</f>
        <v>5686797.1521800002</v>
      </c>
      <c r="L91" s="2" t="s">
        <v>106</v>
      </c>
      <c r="M91" s="2"/>
    </row>
    <row r="92" spans="1:30" ht="25.5" x14ac:dyDescent="0.25">
      <c r="A92" s="2"/>
      <c r="B92" s="2"/>
      <c r="C92" s="10">
        <v>20311314</v>
      </c>
      <c r="D92" s="10"/>
      <c r="E92" s="10"/>
      <c r="F92" s="10"/>
      <c r="G92" s="10"/>
      <c r="H92" s="10"/>
      <c r="I92" s="10"/>
      <c r="J92" s="10"/>
      <c r="K92" s="10"/>
      <c r="L92" s="2" t="s">
        <v>107</v>
      </c>
      <c r="M92" s="2"/>
    </row>
    <row r="93" spans="1:30" x14ac:dyDescent="0.25">
      <c r="A93" s="2"/>
      <c r="B93" s="2"/>
      <c r="C93" s="10"/>
      <c r="D93" s="10"/>
      <c r="E93" s="10"/>
      <c r="F93" s="10"/>
      <c r="G93" s="10"/>
      <c r="H93" s="10"/>
      <c r="I93" s="10"/>
      <c r="J93" s="10"/>
      <c r="K93" s="10"/>
      <c r="L93" s="2"/>
      <c r="M93" s="2"/>
    </row>
    <row r="94" spans="1:30" x14ac:dyDescent="0.25">
      <c r="A94" s="2" t="s">
        <v>31</v>
      </c>
      <c r="B94" s="11">
        <v>44033874</v>
      </c>
      <c r="C94" s="10">
        <v>6937738</v>
      </c>
      <c r="D94" s="10">
        <f>15.76*50/100</f>
        <v>7.88</v>
      </c>
      <c r="E94" s="10">
        <f>D94*C94/100</f>
        <v>546693.75439999998</v>
      </c>
      <c r="F94" s="10"/>
      <c r="G94" s="10"/>
      <c r="H94" s="10"/>
      <c r="I94" s="10"/>
      <c r="J94" s="10"/>
      <c r="K94" s="10"/>
      <c r="L94" s="2" t="s">
        <v>144</v>
      </c>
      <c r="M94" s="7">
        <f>(E94*50/100)+(G95*75/100)</f>
        <v>401753.50929999998</v>
      </c>
      <c r="N94" s="4">
        <f>((C94)*75/100)+((C95)*50/100)</f>
        <v>7373801</v>
      </c>
      <c r="O94" s="23">
        <v>123</v>
      </c>
      <c r="P94" s="19">
        <f>M94*O94</f>
        <v>49415681.6439</v>
      </c>
      <c r="Q94" s="14">
        <f>N94*O94*25</f>
        <v>22674438075</v>
      </c>
      <c r="R94" s="19">
        <f>P94*25*12</f>
        <v>14824704493.170002</v>
      </c>
      <c r="S94" s="14">
        <f>Q94*12</f>
        <v>272093256900</v>
      </c>
      <c r="T94" s="4">
        <f>((C95)*25/100)+((C96)*50/100)</f>
        <v>10835516.75</v>
      </c>
      <c r="U94" s="4">
        <f>C95*25/100</f>
        <v>1085248.75</v>
      </c>
      <c r="V94" s="4">
        <v>130</v>
      </c>
      <c r="W94" s="14">
        <f>T94*V94*25</f>
        <v>35215429437.5</v>
      </c>
      <c r="X94" s="14">
        <f>T94*V94*30*12</f>
        <v>507102183900</v>
      </c>
      <c r="Y94" s="19">
        <f>(G95*20/100)+(I96*45/100)+(K97*40/100)</f>
        <v>307277.51904499996</v>
      </c>
      <c r="Z94" s="19">
        <v>130</v>
      </c>
      <c r="AA94" s="19">
        <f>Z94*Y94*25</f>
        <v>998651936.89624989</v>
      </c>
      <c r="AB94" s="19">
        <f>AA94*12</f>
        <v>11983823242.754999</v>
      </c>
      <c r="AC94" s="4" t="s">
        <v>373</v>
      </c>
      <c r="AD94" s="4" t="s">
        <v>374</v>
      </c>
    </row>
    <row r="95" spans="1:30" x14ac:dyDescent="0.25">
      <c r="A95" s="2"/>
      <c r="B95" s="2"/>
      <c r="C95" s="10">
        <v>4340995</v>
      </c>
      <c r="D95" s="10"/>
      <c r="E95" s="10"/>
      <c r="F95" s="10">
        <f>9.86*40/100</f>
        <v>3.944</v>
      </c>
      <c r="G95" s="10">
        <f>F95*C95/100</f>
        <v>171208.84280000001</v>
      </c>
      <c r="H95" s="10"/>
      <c r="I95" s="10"/>
      <c r="J95" s="10"/>
      <c r="K95" s="10"/>
      <c r="L95" s="2" t="s">
        <v>145</v>
      </c>
      <c r="M95" s="2"/>
      <c r="AC95" t="s">
        <v>376</v>
      </c>
      <c r="AD95" t="s">
        <v>375</v>
      </c>
    </row>
    <row r="96" spans="1:30" x14ac:dyDescent="0.25">
      <c r="A96" s="2"/>
      <c r="B96" s="2"/>
      <c r="C96" s="10">
        <v>19500536</v>
      </c>
      <c r="D96" s="10"/>
      <c r="E96" s="10"/>
      <c r="F96" s="10"/>
      <c r="G96" s="10"/>
      <c r="H96" s="10">
        <f>9.86*30/100</f>
        <v>2.9579999999999997</v>
      </c>
      <c r="I96" s="10">
        <f>H96*C95/100</f>
        <v>128406.63209999999</v>
      </c>
      <c r="J96" s="10"/>
      <c r="K96" s="10"/>
      <c r="L96" s="2" t="s">
        <v>146</v>
      </c>
      <c r="M96" s="2"/>
    </row>
    <row r="97" spans="1:30" x14ac:dyDescent="0.25">
      <c r="A97" s="2"/>
      <c r="B97" s="2"/>
      <c r="C97" s="10">
        <v>6075095</v>
      </c>
      <c r="D97" s="10"/>
      <c r="E97" s="10"/>
      <c r="F97" s="10"/>
      <c r="G97" s="10"/>
      <c r="H97" s="10"/>
      <c r="I97" s="10"/>
      <c r="J97" s="10">
        <f>44.29*20/100</f>
        <v>8.8579999999999988</v>
      </c>
      <c r="K97" s="10">
        <f>J97*C97/100</f>
        <v>538131.91509999987</v>
      </c>
      <c r="L97" s="2" t="s">
        <v>147</v>
      </c>
      <c r="M97" s="2"/>
    </row>
    <row r="98" spans="1:30" x14ac:dyDescent="0.25">
      <c r="A98" s="2"/>
      <c r="B98" s="2"/>
      <c r="C98" s="10">
        <v>7179510</v>
      </c>
      <c r="D98" s="10"/>
      <c r="E98" s="10"/>
      <c r="F98" s="10"/>
      <c r="G98" s="10"/>
      <c r="H98" s="10"/>
      <c r="I98" s="10"/>
      <c r="J98" s="10"/>
      <c r="K98" s="10"/>
      <c r="L98" s="2" t="s">
        <v>148</v>
      </c>
      <c r="M98" s="2"/>
    </row>
    <row r="99" spans="1:30" x14ac:dyDescent="0.25">
      <c r="A99" s="2"/>
      <c r="B99" s="2"/>
      <c r="C99" s="10"/>
      <c r="D99" s="10"/>
      <c r="E99" s="10"/>
      <c r="F99" s="10"/>
      <c r="G99" s="10"/>
      <c r="H99" s="10"/>
      <c r="I99" s="10"/>
      <c r="J99" s="10"/>
      <c r="K99" s="10"/>
      <c r="L99" s="2"/>
      <c r="M99" s="2"/>
    </row>
    <row r="100" spans="1:30" ht="25.5" x14ac:dyDescent="0.25">
      <c r="A100" s="9" t="s">
        <v>26</v>
      </c>
    </row>
    <row r="101" spans="1:30" x14ac:dyDescent="0.25">
      <c r="A101" s="9" t="s">
        <v>81</v>
      </c>
      <c r="B101" s="11">
        <v>65648100</v>
      </c>
      <c r="C101" s="10">
        <v>11351486</v>
      </c>
      <c r="D101" s="10">
        <f>17.53*50/100</f>
        <v>8.7650000000000006</v>
      </c>
      <c r="E101" s="10">
        <f>D101*C101/100</f>
        <v>994957.74790000007</v>
      </c>
      <c r="F101" s="10"/>
      <c r="G101" s="10"/>
      <c r="H101" s="10"/>
      <c r="I101" s="10"/>
      <c r="J101" s="10"/>
      <c r="K101" s="10"/>
      <c r="L101" s="2" t="s">
        <v>149</v>
      </c>
      <c r="M101" s="7">
        <f>(E101*50/100)+(G102*75/100)</f>
        <v>772695.67174999998</v>
      </c>
      <c r="N101" s="4">
        <f>((C101)*75/100)+((C102)*50/100)</f>
        <v>12368191.5</v>
      </c>
      <c r="O101" s="23">
        <v>100</v>
      </c>
      <c r="P101" s="19">
        <f>M101*O101</f>
        <v>77269567.174999997</v>
      </c>
      <c r="Q101" s="14">
        <f>N101*O101*25</f>
        <v>30920478750</v>
      </c>
      <c r="R101" s="19">
        <f>P101*25*12</f>
        <v>23180870152.5</v>
      </c>
      <c r="S101" s="14">
        <f>Q101*12</f>
        <v>371045745000</v>
      </c>
      <c r="T101" s="4">
        <f>((C102)*25/100)+((C103)*50/100)</f>
        <v>15057785</v>
      </c>
      <c r="U101" s="4">
        <f>C102*25/100</f>
        <v>1927288.5</v>
      </c>
      <c r="V101" s="4">
        <v>110</v>
      </c>
      <c r="W101" s="14">
        <f>T101*V101*25</f>
        <v>41408908750</v>
      </c>
      <c r="X101" s="14">
        <f>T101*V101*30*12</f>
        <v>596288286000</v>
      </c>
      <c r="Y101" s="19">
        <f>(G102*20/100)+(I103*45/100)+(K104*40/100)</f>
        <v>1049145.31801</v>
      </c>
      <c r="Z101" s="19">
        <v>110</v>
      </c>
      <c r="AA101" s="19">
        <f>Z101*Y101*25</f>
        <v>2885149624.5275002</v>
      </c>
      <c r="AB101" s="19">
        <f>AA101*12</f>
        <v>34621795494.330002</v>
      </c>
      <c r="AC101" s="4" t="s">
        <v>354</v>
      </c>
      <c r="AD101" s="4" t="s">
        <v>355</v>
      </c>
    </row>
    <row r="102" spans="1:30" x14ac:dyDescent="0.25">
      <c r="A102" s="9"/>
      <c r="C102" s="10">
        <v>7709154</v>
      </c>
      <c r="D102" s="10"/>
      <c r="E102" s="10"/>
      <c r="F102" s="10">
        <f>11.9*40/100</f>
        <v>4.76</v>
      </c>
      <c r="G102" s="10">
        <f>F102*C102/100</f>
        <v>366955.7304</v>
      </c>
      <c r="H102" s="10"/>
      <c r="I102" s="10"/>
      <c r="J102" s="10"/>
      <c r="K102" s="10"/>
      <c r="L102" s="2" t="s">
        <v>150</v>
      </c>
      <c r="M102" s="2"/>
      <c r="AC102" t="s">
        <v>356</v>
      </c>
      <c r="AD102" t="s">
        <v>357</v>
      </c>
    </row>
    <row r="103" spans="1:30" x14ac:dyDescent="0.25">
      <c r="A103" s="9"/>
      <c r="C103" s="10">
        <v>26260993</v>
      </c>
      <c r="D103" s="10"/>
      <c r="E103" s="10"/>
      <c r="F103" s="10"/>
      <c r="G103" s="10"/>
      <c r="H103" s="10">
        <f>11.9*30/100</f>
        <v>3.57</v>
      </c>
      <c r="I103" s="10">
        <f>H103*C102/100</f>
        <v>275216.7978</v>
      </c>
      <c r="J103" s="10"/>
      <c r="K103" s="10"/>
      <c r="L103" s="2" t="s">
        <v>151</v>
      </c>
      <c r="M103" s="2"/>
      <c r="AC103" t="s">
        <v>358</v>
      </c>
      <c r="AD103" t="s">
        <v>359</v>
      </c>
    </row>
    <row r="104" spans="1:30" x14ac:dyDescent="0.25">
      <c r="A104" s="9"/>
      <c r="C104" s="10">
        <v>7761512</v>
      </c>
      <c r="D104" s="10"/>
      <c r="E104" s="10"/>
      <c r="F104" s="10"/>
      <c r="G104" s="10"/>
      <c r="H104" s="10"/>
      <c r="I104" s="10"/>
      <c r="J104" s="10">
        <f>40.55*20/100</f>
        <v>8.11</v>
      </c>
      <c r="K104" s="10">
        <f>J104*C103/100</f>
        <v>2129766.5323000001</v>
      </c>
      <c r="L104" s="2" t="s">
        <v>152</v>
      </c>
      <c r="M104" s="2"/>
      <c r="AC104" t="s">
        <v>335</v>
      </c>
      <c r="AD104" t="s">
        <v>360</v>
      </c>
    </row>
    <row r="105" spans="1:30" x14ac:dyDescent="0.25">
      <c r="A105" s="9"/>
      <c r="C105" s="10">
        <v>11686298</v>
      </c>
      <c r="D105" s="10"/>
      <c r="E105" s="10"/>
      <c r="F105" s="10"/>
      <c r="G105" s="10"/>
      <c r="H105" s="10"/>
      <c r="I105" s="10"/>
      <c r="J105" s="10"/>
      <c r="K105" s="10"/>
      <c r="L105" s="2" t="s">
        <v>153</v>
      </c>
      <c r="M105" s="2"/>
      <c r="AC105" t="s">
        <v>361</v>
      </c>
      <c r="AD105" t="s">
        <v>362</v>
      </c>
    </row>
    <row r="106" spans="1:30" x14ac:dyDescent="0.25">
      <c r="A106" s="2"/>
    </row>
    <row r="107" spans="1:30" x14ac:dyDescent="0.25">
      <c r="A107" s="2" t="s">
        <v>39</v>
      </c>
      <c r="B107" s="11">
        <v>9960487</v>
      </c>
      <c r="C107" s="10">
        <v>1735837</v>
      </c>
      <c r="D107" s="10">
        <f>17.43*50/100</f>
        <v>8.7149999999999999</v>
      </c>
      <c r="E107" s="10">
        <f>D107*C107/100</f>
        <v>151278.19455000001</v>
      </c>
      <c r="F107" s="10"/>
      <c r="G107" s="10"/>
      <c r="H107" s="10"/>
      <c r="I107" s="10"/>
      <c r="J107" s="10"/>
      <c r="K107" s="10"/>
      <c r="L107" s="2" t="s">
        <v>154</v>
      </c>
      <c r="M107" s="7">
        <f>(E107*50/100)+(G108*75/100)</f>
        <v>113878.071555</v>
      </c>
      <c r="N107" s="4">
        <f>((C107)*75/100)+((C108)*50/100)</f>
        <v>1865375.75</v>
      </c>
      <c r="O107" s="23">
        <v>100</v>
      </c>
      <c r="P107" s="19">
        <f>M107*O107</f>
        <v>11387807.1555</v>
      </c>
      <c r="Q107" s="14">
        <f>N107*O107*25</f>
        <v>4663439375</v>
      </c>
      <c r="R107" s="19">
        <f>P107*25*12</f>
        <v>3416342146.6499996</v>
      </c>
      <c r="S107" s="14">
        <f>Q107*12</f>
        <v>55961272500</v>
      </c>
      <c r="T107" s="4">
        <f>((C108)*25/100)+((C109)*50/100)</f>
        <v>2245084</v>
      </c>
      <c r="U107" s="4">
        <f>C108*25/100</f>
        <v>281749</v>
      </c>
      <c r="V107" s="4">
        <v>110</v>
      </c>
      <c r="W107" s="14">
        <f>T107*V107*25</f>
        <v>6173981000</v>
      </c>
      <c r="X107" s="14">
        <f>T107*V107*30*12</f>
        <v>88905326400</v>
      </c>
      <c r="Y107" s="19">
        <f>(G108*20/100)+(I109*45/100)+(K110*40/100)</f>
        <v>151236.06335400001</v>
      </c>
      <c r="Z107" s="19">
        <v>110</v>
      </c>
      <c r="AA107" s="19">
        <f>Z107*Y107*25</f>
        <v>415899174.22350001</v>
      </c>
      <c r="AB107" s="19">
        <f>AA107*12</f>
        <v>4990790090.6820002</v>
      </c>
    </row>
    <row r="108" spans="1:30" x14ac:dyDescent="0.25">
      <c r="C108" s="10">
        <v>1126996</v>
      </c>
      <c r="D108" s="10"/>
      <c r="E108" s="10"/>
      <c r="F108" s="10">
        <f>11.31*40/100</f>
        <v>4.524</v>
      </c>
      <c r="G108" s="10">
        <f>C108*F108/100</f>
        <v>50985.299039999998</v>
      </c>
      <c r="H108" s="10"/>
      <c r="I108" s="10"/>
      <c r="J108" s="10"/>
      <c r="K108" s="10"/>
      <c r="L108" s="2" t="s">
        <v>155</v>
      </c>
      <c r="M108" s="2"/>
      <c r="AC108" t="s">
        <v>397</v>
      </c>
      <c r="AD108" t="s">
        <v>398</v>
      </c>
    </row>
    <row r="109" spans="1:30" x14ac:dyDescent="0.25">
      <c r="C109" s="10">
        <v>3926670</v>
      </c>
      <c r="D109" s="10"/>
      <c r="E109" s="10"/>
      <c r="F109" s="10"/>
      <c r="G109" s="10"/>
      <c r="H109" s="10">
        <f>11.31*30/100</f>
        <v>3.3930000000000002</v>
      </c>
      <c r="I109" s="10">
        <f>H109*C108/100</f>
        <v>38238.974280000002</v>
      </c>
      <c r="J109" s="10"/>
      <c r="K109" s="10"/>
      <c r="L109" s="2" t="s">
        <v>156</v>
      </c>
      <c r="M109" s="2"/>
    </row>
    <row r="110" spans="1:30" x14ac:dyDescent="0.25">
      <c r="C110" s="10">
        <v>1153421</v>
      </c>
      <c r="D110" s="10"/>
      <c r="E110" s="10"/>
      <c r="F110" s="10"/>
      <c r="G110" s="10"/>
      <c r="H110" s="10"/>
      <c r="I110" s="10"/>
      <c r="J110" s="10">
        <f>39.42*20/100</f>
        <v>7.8840000000000012</v>
      </c>
      <c r="K110" s="10">
        <f>J110*C109/100</f>
        <v>309578.66280000005</v>
      </c>
      <c r="L110" s="2" t="s">
        <v>157</v>
      </c>
      <c r="M110" s="2"/>
    </row>
    <row r="111" spans="1:30" x14ac:dyDescent="0.25">
      <c r="C111" s="10">
        <v>2017563</v>
      </c>
      <c r="D111" s="10"/>
      <c r="E111" s="10"/>
      <c r="F111" s="10"/>
      <c r="G111" s="10"/>
      <c r="H111" s="10"/>
      <c r="I111" s="10"/>
      <c r="J111" s="10"/>
      <c r="K111" s="10"/>
      <c r="L111" s="2" t="s">
        <v>158</v>
      </c>
      <c r="M111" s="2"/>
    </row>
    <row r="113" spans="1:30" ht="25.5" x14ac:dyDescent="0.25">
      <c r="A113" s="9" t="s">
        <v>29</v>
      </c>
    </row>
    <row r="114" spans="1:30" x14ac:dyDescent="0.25">
      <c r="A114" s="2" t="s">
        <v>28</v>
      </c>
      <c r="B114" s="11">
        <v>62137802</v>
      </c>
      <c r="C114" s="10">
        <v>8481183</v>
      </c>
      <c r="D114" s="10">
        <f>13.65*50/100</f>
        <v>6.8250000000000002</v>
      </c>
      <c r="E114" s="10">
        <f>D114*C114/100</f>
        <v>578840.73975000007</v>
      </c>
      <c r="F114" s="10"/>
      <c r="G114" s="10"/>
      <c r="H114" s="10"/>
      <c r="I114" s="10"/>
      <c r="J114" s="10"/>
      <c r="K114" s="10"/>
      <c r="L114" s="2" t="s">
        <v>159</v>
      </c>
      <c r="M114" s="7">
        <f>(E114*50/100)+(G115*75/100)</f>
        <v>463447.64623499999</v>
      </c>
      <c r="N114" s="4">
        <f>((C114)*75/100)+((C115)*50/100)</f>
        <v>9363428.25</v>
      </c>
      <c r="O114" s="23">
        <v>75</v>
      </c>
      <c r="P114" s="19">
        <f>M114*O114</f>
        <v>34758573.467625</v>
      </c>
      <c r="Q114" s="14">
        <f>N114*O114*25</f>
        <v>17556427968.75</v>
      </c>
      <c r="R114" s="19">
        <f>P114*25*12</f>
        <v>10427572040.287498</v>
      </c>
      <c r="S114" s="14">
        <f>Q114*12</f>
        <v>210677135625</v>
      </c>
      <c r="T114" s="4">
        <f>((C115)*25/100)+((C116)*50/100)</f>
        <v>14600858</v>
      </c>
      <c r="U114" s="4">
        <f>C115*25/100</f>
        <v>1501270.5</v>
      </c>
      <c r="V114" s="4">
        <v>80</v>
      </c>
      <c r="W114" s="14">
        <f>T114*V114*25</f>
        <v>29201716000</v>
      </c>
      <c r="X114" s="14">
        <f>T114*V114*30*12</f>
        <v>420504710400</v>
      </c>
      <c r="Y114" s="19">
        <f>(G115*20/100)+(I116*45/100)+(K117*40/100)</f>
        <v>1008365.3224579999</v>
      </c>
      <c r="Z114" s="19">
        <v>80</v>
      </c>
      <c r="AA114" s="19">
        <f>Z114*Y114*25</f>
        <v>2016730644.9159999</v>
      </c>
      <c r="AB114" s="19">
        <f>AA114*12</f>
        <v>24200767738.991997</v>
      </c>
      <c r="AC114" s="4" t="s">
        <v>365</v>
      </c>
      <c r="AD114" s="4" t="s">
        <v>366</v>
      </c>
    </row>
    <row r="115" spans="1:30" x14ac:dyDescent="0.25">
      <c r="A115" s="2"/>
      <c r="C115" s="10">
        <v>6005082</v>
      </c>
      <c r="D115" s="10"/>
      <c r="E115" s="10"/>
      <c r="F115" s="10">
        <f>9.66*40/100</f>
        <v>3.8639999999999999</v>
      </c>
      <c r="G115" s="10">
        <f>F115*C115/100</f>
        <v>232036.36847999998</v>
      </c>
      <c r="H115" s="10"/>
      <c r="I115" s="10"/>
      <c r="J115" s="10"/>
      <c r="K115" s="10"/>
      <c r="L115" s="2" t="s">
        <v>160</v>
      </c>
      <c r="M115" s="2"/>
    </row>
    <row r="116" spans="1:30" x14ac:dyDescent="0.25">
      <c r="A116" s="2"/>
      <c r="C116" s="10">
        <v>26199175</v>
      </c>
      <c r="D116" s="10"/>
      <c r="E116" s="10"/>
      <c r="F116" s="10"/>
      <c r="G116" s="10"/>
      <c r="H116" s="10">
        <f>9.66*30/100</f>
        <v>2.8980000000000001</v>
      </c>
      <c r="I116" s="10">
        <f>H116*C115/100</f>
        <v>174027.27635999999</v>
      </c>
      <c r="J116" s="10"/>
      <c r="K116" s="10"/>
      <c r="L116" s="2" t="s">
        <v>161</v>
      </c>
      <c r="M116" s="2"/>
    </row>
    <row r="117" spans="1:30" x14ac:dyDescent="0.25">
      <c r="A117" s="2"/>
      <c r="C117" s="10">
        <v>8073920</v>
      </c>
      <c r="D117" s="10"/>
      <c r="E117" s="10"/>
      <c r="F117" s="10"/>
      <c r="G117" s="10"/>
      <c r="H117" s="10"/>
      <c r="I117" s="10"/>
      <c r="J117" s="10">
        <f>42.16*20/100</f>
        <v>8.4319999999999986</v>
      </c>
      <c r="K117" s="10">
        <f>J117*C116/100</f>
        <v>2209114.4359999998</v>
      </c>
      <c r="L117" s="2" t="s">
        <v>162</v>
      </c>
      <c r="M117" s="2"/>
    </row>
    <row r="118" spans="1:30" x14ac:dyDescent="0.25">
      <c r="A118" s="2"/>
      <c r="C118" s="10">
        <v>13378442</v>
      </c>
      <c r="D118" s="10"/>
      <c r="E118" s="10"/>
      <c r="F118" s="10"/>
      <c r="G118" s="10"/>
      <c r="H118" s="10"/>
      <c r="I118" s="10"/>
      <c r="J118" s="10"/>
      <c r="K118" s="10"/>
      <c r="L118" s="2" t="s">
        <v>163</v>
      </c>
      <c r="M118" s="2"/>
    </row>
    <row r="119" spans="1:30" x14ac:dyDescent="0.25">
      <c r="A119" s="2"/>
    </row>
    <row r="120" spans="1:30" x14ac:dyDescent="0.25">
      <c r="A120" s="2" t="s">
        <v>30</v>
      </c>
      <c r="B120" s="11">
        <v>48958159</v>
      </c>
      <c r="C120" s="7">
        <v>7529312</v>
      </c>
      <c r="D120" s="10">
        <f>15.38*50/100</f>
        <v>7.69</v>
      </c>
      <c r="E120" s="10">
        <f>D120*C120/100</f>
        <v>579004.09279999998</v>
      </c>
      <c r="F120" s="10"/>
      <c r="G120" s="10"/>
      <c r="H120" s="10"/>
      <c r="I120" s="10"/>
      <c r="J120" s="10"/>
      <c r="K120" s="10"/>
      <c r="L120" s="2" t="s">
        <v>164</v>
      </c>
      <c r="M120" s="7">
        <f>(E120*50/100)+(G121*75/100)</f>
        <v>424343.83233999996</v>
      </c>
      <c r="N120" s="4">
        <f>((C120)*75/100)+((C121)*50/100)</f>
        <v>7992874.5</v>
      </c>
      <c r="O120" s="22">
        <v>50</v>
      </c>
      <c r="P120" s="19">
        <f>M120*O120</f>
        <v>21217191.616999999</v>
      </c>
      <c r="Q120" s="14">
        <f>N120*O120*25</f>
        <v>9991093125</v>
      </c>
      <c r="R120" s="19">
        <f>P120*25*12</f>
        <v>6365157485.0999994</v>
      </c>
      <c r="S120" s="14">
        <f>Q120*12</f>
        <v>119893117500</v>
      </c>
      <c r="T120" s="4">
        <f>((C121)*25/100)+((C122)*50/100)</f>
        <v>12167515.75</v>
      </c>
      <c r="U120" s="4">
        <f>C121*25/100</f>
        <v>1172945.25</v>
      </c>
      <c r="V120" s="4">
        <v>55</v>
      </c>
      <c r="W120" s="14">
        <f>T120*V120*25</f>
        <v>16730334156.25</v>
      </c>
      <c r="X120" s="14">
        <f>T120*V120*30*12</f>
        <v>240916811850</v>
      </c>
      <c r="Y120" s="19">
        <f>(G121*20/100)+(I122*45/100)+(K123*40/100)</f>
        <v>886662.47110499989</v>
      </c>
      <c r="Z120" s="19">
        <v>55</v>
      </c>
      <c r="AA120" s="19">
        <f>Z120*Y120*25</f>
        <v>1219160897.7693748</v>
      </c>
      <c r="AB120" s="19">
        <f>AA120*12</f>
        <v>14629930773.232498</v>
      </c>
      <c r="AC120" s="4" t="s">
        <v>401</v>
      </c>
      <c r="AD120" s="4" t="s">
        <v>402</v>
      </c>
    </row>
    <row r="121" spans="1:30" x14ac:dyDescent="0.25">
      <c r="C121" s="7">
        <f>2424352+2267429</f>
        <v>4691781</v>
      </c>
      <c r="D121" s="10"/>
      <c r="E121" s="10"/>
      <c r="F121" s="10">
        <f>9.58*40/100</f>
        <v>3.8319999999999999</v>
      </c>
      <c r="G121" s="10">
        <f>F121*C121/100</f>
        <v>179789.04791999998</v>
      </c>
      <c r="H121" s="10"/>
      <c r="I121" s="10"/>
      <c r="J121" s="10"/>
      <c r="K121" s="10"/>
      <c r="L121" s="2" t="s">
        <v>165</v>
      </c>
      <c r="M121" s="2"/>
      <c r="AC121" t="s">
        <v>403</v>
      </c>
      <c r="AD121" t="s">
        <v>404</v>
      </c>
    </row>
    <row r="122" spans="1:30" x14ac:dyDescent="0.25">
      <c r="C122" s="7">
        <v>21989141</v>
      </c>
      <c r="D122" s="10"/>
      <c r="E122" s="10"/>
      <c r="F122" s="10"/>
      <c r="G122" s="10"/>
      <c r="H122" s="10">
        <f>9.58*30/100</f>
        <v>2.8739999999999997</v>
      </c>
      <c r="I122" s="10">
        <f>H122*C121/100</f>
        <v>134841.78593999997</v>
      </c>
      <c r="J122" s="10"/>
      <c r="K122" s="10"/>
      <c r="L122" s="2" t="s">
        <v>166</v>
      </c>
      <c r="M122" s="2"/>
      <c r="AC122" t="s">
        <v>405</v>
      </c>
      <c r="AD122" t="s">
        <v>406</v>
      </c>
    </row>
    <row r="123" spans="1:30" x14ac:dyDescent="0.25">
      <c r="C123" s="7">
        <v>5943199</v>
      </c>
      <c r="D123" s="10"/>
      <c r="E123" s="10"/>
      <c r="F123" s="10"/>
      <c r="G123" s="10"/>
      <c r="H123" s="10"/>
      <c r="I123" s="10"/>
      <c r="J123" s="10">
        <f>44.91*20/100</f>
        <v>8.9819999999999993</v>
      </c>
      <c r="K123" s="10">
        <f>J123*C122/100</f>
        <v>1975064.6446199999</v>
      </c>
      <c r="L123" s="2" t="s">
        <v>167</v>
      </c>
      <c r="M123" s="2"/>
    </row>
    <row r="124" spans="1:30" x14ac:dyDescent="0.25">
      <c r="C124" s="7">
        <v>8804726</v>
      </c>
      <c r="D124" s="10"/>
      <c r="E124" s="10"/>
      <c r="F124" s="10"/>
      <c r="G124" s="10"/>
      <c r="H124" s="10"/>
      <c r="I124" s="10"/>
      <c r="J124" s="10"/>
      <c r="K124" s="10"/>
      <c r="L124" s="2" t="s">
        <v>168</v>
      </c>
      <c r="M124" s="2"/>
    </row>
    <row r="126" spans="1:30" x14ac:dyDescent="0.25">
      <c r="A126" s="9" t="s">
        <v>228</v>
      </c>
    </row>
    <row r="127" spans="1:30" x14ac:dyDescent="0.25">
      <c r="A127" t="s">
        <v>268</v>
      </c>
      <c r="M127" s="7"/>
      <c r="AC127" t="s">
        <v>383</v>
      </c>
      <c r="AD127" t="s">
        <v>384</v>
      </c>
    </row>
    <row r="128" spans="1:30" x14ac:dyDescent="0.25">
      <c r="A128" s="2" t="s">
        <v>270</v>
      </c>
      <c r="B128" s="7">
        <v>44293293</v>
      </c>
      <c r="C128" s="7">
        <f>5612766+5278857</f>
        <v>10891623</v>
      </c>
      <c r="D128" s="10">
        <f>24.59*50/100</f>
        <v>12.295</v>
      </c>
      <c r="E128" s="10">
        <f>D128*C128/100</f>
        <v>1339125.04785</v>
      </c>
      <c r="F128" s="10"/>
      <c r="G128" s="10"/>
      <c r="H128" s="10"/>
      <c r="I128" s="10"/>
      <c r="J128" s="10"/>
      <c r="K128" s="10"/>
      <c r="L128" s="2" t="s">
        <v>278</v>
      </c>
      <c r="M128" s="7">
        <f>(E128*50/100)+(G129*75/100)</f>
        <v>979784.86144499993</v>
      </c>
      <c r="O128" s="22">
        <v>50</v>
      </c>
      <c r="P128" s="19">
        <f>M128*O128</f>
        <v>48989243.072249994</v>
      </c>
      <c r="R128" s="19">
        <f>P128*25*12</f>
        <v>14696772921.674999</v>
      </c>
      <c r="Y128" s="19">
        <f>(G129*20/100)+(I130*45/100)+(K131*40/100)</f>
        <v>771793.19530799997</v>
      </c>
      <c r="Z128" s="19">
        <v>100</v>
      </c>
      <c r="AA128" s="19">
        <f>Z128*Y128*25</f>
        <v>1929482988.27</v>
      </c>
      <c r="AB128" s="19">
        <f>AA128*12</f>
        <v>23153795859.239998</v>
      </c>
      <c r="AC128" t="s">
        <v>386</v>
      </c>
      <c r="AD128" t="s">
        <v>385</v>
      </c>
    </row>
    <row r="129" spans="1:30" x14ac:dyDescent="0.25">
      <c r="A129" s="2"/>
      <c r="C129" s="7">
        <f>3460276+3307227</f>
        <v>6767503</v>
      </c>
      <c r="D129" s="10"/>
      <c r="E129" s="10"/>
      <c r="F129" s="10">
        <f>15.28*40/100</f>
        <v>6.1119999999999992</v>
      </c>
      <c r="G129" s="10">
        <f>C129*F129/100</f>
        <v>413629.78335999994</v>
      </c>
      <c r="H129" s="10"/>
      <c r="I129" s="10"/>
      <c r="J129" s="10"/>
      <c r="K129" s="10"/>
      <c r="L129" s="2" t="s">
        <v>279</v>
      </c>
      <c r="M129" s="2"/>
      <c r="AC129" t="s">
        <v>387</v>
      </c>
      <c r="AD129" t="s">
        <v>388</v>
      </c>
    </row>
    <row r="130" spans="1:30" x14ac:dyDescent="0.25">
      <c r="A130" s="2"/>
      <c r="C130" s="7">
        <f>8707818+8733370</f>
        <v>17441188</v>
      </c>
      <c r="D130" s="10"/>
      <c r="E130" s="10"/>
      <c r="F130" s="10"/>
      <c r="G130" s="10"/>
      <c r="H130" s="10">
        <f>15.28*30/100</f>
        <v>4.5839999999999996</v>
      </c>
      <c r="I130" s="10">
        <f>H130*C129/100</f>
        <v>310222.33751999994</v>
      </c>
      <c r="J130" s="10"/>
      <c r="K130" s="10"/>
      <c r="L130" s="2" t="s">
        <v>280</v>
      </c>
      <c r="M130" s="2"/>
    </row>
    <row r="131" spans="1:30" x14ac:dyDescent="0.25">
      <c r="A131" s="2"/>
      <c r="C131" s="7">
        <f>1963923+2081796</f>
        <v>4045719</v>
      </c>
      <c r="D131" s="10"/>
      <c r="E131" s="10"/>
      <c r="F131" s="10"/>
      <c r="G131" s="10"/>
      <c r="H131" s="10"/>
      <c r="I131" s="10"/>
      <c r="J131" s="10">
        <f>39.38*20/100</f>
        <v>7.8760000000000003</v>
      </c>
      <c r="K131" s="10">
        <f>J131*C130/100</f>
        <v>1373667.96688</v>
      </c>
      <c r="L131" s="2" t="s">
        <v>281</v>
      </c>
      <c r="M131" s="2"/>
    </row>
    <row r="132" spans="1:30" x14ac:dyDescent="0.25">
      <c r="A132" s="2"/>
      <c r="C132" s="7">
        <f>2159811+2987449</f>
        <v>5147260</v>
      </c>
      <c r="D132" s="10"/>
      <c r="E132" s="10"/>
      <c r="F132" s="10"/>
      <c r="G132" s="10"/>
      <c r="H132" s="10"/>
      <c r="I132" s="10"/>
      <c r="J132" s="10"/>
      <c r="K132" s="10"/>
      <c r="L132" s="2" t="s">
        <v>282</v>
      </c>
      <c r="M132" s="2"/>
    </row>
    <row r="133" spans="1:30" x14ac:dyDescent="0.25">
      <c r="A133" s="2"/>
      <c r="D133" s="10"/>
      <c r="E133" s="10"/>
      <c r="F133" s="10"/>
      <c r="G133" s="10"/>
      <c r="H133" s="10"/>
      <c r="I133" s="10"/>
      <c r="J133" s="10"/>
      <c r="K133" s="10"/>
    </row>
    <row r="134" spans="1:30" x14ac:dyDescent="0.25">
      <c r="A134" s="2" t="s">
        <v>271</v>
      </c>
      <c r="B134" s="7">
        <v>207353391</v>
      </c>
      <c r="C134" s="7">
        <f>23599867+22696756</f>
        <v>46296623</v>
      </c>
      <c r="D134" s="7">
        <f>22.33*50/100</f>
        <v>11.164999999999999</v>
      </c>
      <c r="E134" s="7">
        <f>D134*C134/100</f>
        <v>5169017.9579499997</v>
      </c>
      <c r="F134" s="7"/>
      <c r="G134" s="7"/>
      <c r="H134" s="7"/>
      <c r="I134" s="7"/>
      <c r="J134" s="7"/>
      <c r="K134" s="7"/>
      <c r="L134" s="2" t="s">
        <v>283</v>
      </c>
      <c r="M134" s="7">
        <f>(E134*50/100)+(G135*75/100)</f>
        <v>4249957.4534149999</v>
      </c>
      <c r="O134" s="22">
        <v>40</v>
      </c>
      <c r="P134" s="19">
        <f>M134*O134</f>
        <v>169998298.13659999</v>
      </c>
      <c r="R134" s="19">
        <f>P134*25*12</f>
        <v>50999489440.979996</v>
      </c>
      <c r="Y134" s="19">
        <f>(G135*20/100)+(I136*45/100)+(K137*40/100)</f>
        <v>4384832.8313060002</v>
      </c>
      <c r="Z134" s="19">
        <v>100</v>
      </c>
      <c r="AA134" s="19">
        <f>Z134*Y134*25</f>
        <v>10962082078.265001</v>
      </c>
      <c r="AB134" s="19">
        <f>AA134*12</f>
        <v>131544984939.18002</v>
      </c>
      <c r="AC134" t="s">
        <v>363</v>
      </c>
      <c r="AD134" t="s">
        <v>364</v>
      </c>
    </row>
    <row r="135" spans="1:30" x14ac:dyDescent="0.25">
      <c r="A135" s="2"/>
      <c r="C135" s="7">
        <f>17212048+16721295</f>
        <v>33933343</v>
      </c>
      <c r="D135" s="7"/>
      <c r="E135" s="7"/>
      <c r="F135" s="7">
        <f>16.36*40/100</f>
        <v>6.5439999999999996</v>
      </c>
      <c r="G135" s="7">
        <f>C135*F135/100</f>
        <v>2220597.9659199999</v>
      </c>
      <c r="H135" s="7"/>
      <c r="I135" s="7"/>
      <c r="J135" s="7"/>
      <c r="K135" s="7"/>
      <c r="L135" s="2" t="s">
        <v>284</v>
      </c>
      <c r="M135" s="2"/>
      <c r="AC135" s="4" t="s">
        <v>389</v>
      </c>
      <c r="AD135" s="4" t="s">
        <v>390</v>
      </c>
    </row>
    <row r="136" spans="1:30" x14ac:dyDescent="0.25">
      <c r="A136" s="2"/>
      <c r="C136" s="7">
        <f>45114076+45836147</f>
        <v>90950223</v>
      </c>
      <c r="D136" s="7"/>
      <c r="E136" s="7"/>
      <c r="F136" s="7"/>
      <c r="G136" s="7"/>
      <c r="H136" s="7">
        <f>16.36*30/100</f>
        <v>4.9079999999999995</v>
      </c>
      <c r="I136" s="7">
        <f>C135*H136/100</f>
        <v>1665448.4744399998</v>
      </c>
      <c r="J136" s="7"/>
      <c r="K136" s="7"/>
      <c r="L136" s="2" t="s">
        <v>285</v>
      </c>
      <c r="M136" s="2"/>
      <c r="AC136" t="s">
        <v>391</v>
      </c>
      <c r="AD136" t="s">
        <v>392</v>
      </c>
    </row>
    <row r="137" spans="1:30" x14ac:dyDescent="0.25">
      <c r="A137" s="2"/>
      <c r="C137" s="7">
        <f>8931065+9974723</f>
        <v>18905788</v>
      </c>
      <c r="D137" s="7"/>
      <c r="E137" s="7"/>
      <c r="F137" s="7"/>
      <c r="G137" s="7"/>
      <c r="H137" s="7"/>
      <c r="I137" s="7"/>
      <c r="J137" s="7">
        <f>43.86*20/100</f>
        <v>8.7720000000000002</v>
      </c>
      <c r="K137" s="7">
        <f>J137*C136/100</f>
        <v>7978153.5615600003</v>
      </c>
      <c r="L137" s="2" t="s">
        <v>286</v>
      </c>
      <c r="M137" s="2"/>
      <c r="AC137" t="s">
        <v>394</v>
      </c>
      <c r="AD137" t="s">
        <v>393</v>
      </c>
    </row>
    <row r="138" spans="1:30" x14ac:dyDescent="0.25">
      <c r="A138" s="2"/>
      <c r="C138" s="7">
        <f>7356838+9910576</f>
        <v>17267414</v>
      </c>
      <c r="D138" s="7"/>
      <c r="E138" s="7"/>
      <c r="F138" s="7"/>
      <c r="G138" s="7"/>
      <c r="H138" s="7"/>
      <c r="I138" s="7"/>
      <c r="J138" s="7"/>
      <c r="K138" s="7"/>
      <c r="L138" s="2" t="s">
        <v>287</v>
      </c>
      <c r="M138" s="2"/>
    </row>
    <row r="139" spans="1:30" x14ac:dyDescent="0.25">
      <c r="A139" s="2"/>
    </row>
    <row r="140" spans="1:30" x14ac:dyDescent="0.25">
      <c r="A140" s="2" t="s">
        <v>272</v>
      </c>
      <c r="B140" s="7">
        <v>47698524</v>
      </c>
      <c r="C140" s="7">
        <f>5917425+5634516</f>
        <v>11551941</v>
      </c>
      <c r="D140" s="7">
        <f>24.22*50/100</f>
        <v>12.11</v>
      </c>
      <c r="E140" s="7">
        <f>D140*C140/100</f>
        <v>1398940.0551</v>
      </c>
      <c r="F140" s="7"/>
      <c r="G140" s="7"/>
      <c r="H140" s="7"/>
      <c r="I140" s="7"/>
      <c r="J140" s="7"/>
      <c r="K140" s="7"/>
      <c r="L140" s="2" t="s">
        <v>288</v>
      </c>
      <c r="M140" s="7">
        <f>(E140*50/100)+(G141*75/100)</f>
        <v>1125338.7348000002</v>
      </c>
      <c r="O140" s="22">
        <v>45</v>
      </c>
      <c r="P140" s="19">
        <f>M140*O140</f>
        <v>50640243.066000007</v>
      </c>
      <c r="R140" s="19">
        <f>P140*25*12</f>
        <v>15192072919.800001</v>
      </c>
      <c r="Y140" s="19">
        <f>(G141*20/100)+(I142*45/100)+(K143*40/100)</f>
        <v>975434.54963850009</v>
      </c>
      <c r="Z140" s="19">
        <v>100</v>
      </c>
      <c r="AA140" s="19">
        <f>Z140*Y140*25</f>
        <v>2438586374.0962501</v>
      </c>
      <c r="AB140" s="19">
        <f>AA140*12</f>
        <v>29263036489.154999</v>
      </c>
    </row>
    <row r="141" spans="1:30" x14ac:dyDescent="0.25">
      <c r="C141" s="7">
        <f>4191033+4038314</f>
        <v>8229347</v>
      </c>
      <c r="D141" s="7"/>
      <c r="E141" s="7"/>
      <c r="F141" s="7">
        <f>17.25*40/100</f>
        <v>6.9</v>
      </c>
      <c r="G141" s="7">
        <f>F141*C141/100</f>
        <v>567824.94300000009</v>
      </c>
      <c r="H141" s="7"/>
      <c r="I141" s="7"/>
      <c r="J141" s="7"/>
      <c r="K141" s="7"/>
      <c r="L141" s="2" t="s">
        <v>289</v>
      </c>
      <c r="M141" s="2"/>
      <c r="AC141" t="s">
        <v>396</v>
      </c>
      <c r="AD141" t="s">
        <v>395</v>
      </c>
    </row>
    <row r="142" spans="1:30" x14ac:dyDescent="0.25">
      <c r="C142" s="7">
        <f>9918698+10071419</f>
        <v>19990117</v>
      </c>
      <c r="D142" s="7"/>
      <c r="E142" s="7"/>
      <c r="F142" s="7"/>
      <c r="G142" s="7"/>
      <c r="H142" s="7">
        <f>17.25*30/100</f>
        <v>5.1749999999999998</v>
      </c>
      <c r="I142" s="7">
        <f>C141*H142/100</f>
        <v>425868.70725000004</v>
      </c>
      <c r="J142" s="7"/>
      <c r="K142" s="7"/>
      <c r="L142" s="2" t="s">
        <v>290</v>
      </c>
      <c r="M142" s="2"/>
      <c r="AC142" t="s">
        <v>399</v>
      </c>
      <c r="AD142" t="s">
        <v>400</v>
      </c>
    </row>
    <row r="143" spans="1:30" x14ac:dyDescent="0.25">
      <c r="C143" s="7">
        <f>2059712+2318320</f>
        <v>4378032</v>
      </c>
      <c r="D143" s="7"/>
      <c r="E143" s="7"/>
      <c r="F143" s="7"/>
      <c r="G143" s="7"/>
      <c r="H143" s="7"/>
      <c r="I143" s="7"/>
      <c r="J143" s="7">
        <f>41.91*20/100</f>
        <v>8.3819999999999997</v>
      </c>
      <c r="K143" s="7">
        <f>J143*C142/100</f>
        <v>1675571.6069400001</v>
      </c>
      <c r="L143" s="2" t="s">
        <v>291</v>
      </c>
      <c r="M143" s="2"/>
    </row>
    <row r="144" spans="1:30" x14ac:dyDescent="0.25">
      <c r="C144" s="7">
        <f>1480966+2068121</f>
        <v>3549087</v>
      </c>
      <c r="D144" s="7"/>
      <c r="E144" s="7"/>
      <c r="F144" s="7"/>
      <c r="G144" s="7"/>
      <c r="H144" s="7"/>
      <c r="I144" s="7"/>
      <c r="J144" s="7"/>
      <c r="K144" s="7"/>
      <c r="L144" s="2" t="s">
        <v>292</v>
      </c>
      <c r="M144" s="2"/>
    </row>
    <row r="146" spans="1:30" x14ac:dyDescent="0.25">
      <c r="A146" t="s">
        <v>269</v>
      </c>
    </row>
    <row r="147" spans="1:30" x14ac:dyDescent="0.25">
      <c r="A147" s="2" t="s">
        <v>273</v>
      </c>
      <c r="B147" s="7">
        <v>35623680</v>
      </c>
      <c r="C147" s="7">
        <f>2819279+2680024</f>
        <v>5499303</v>
      </c>
      <c r="D147" s="7">
        <f>15.44*50/100</f>
        <v>7.72</v>
      </c>
      <c r="E147" s="7">
        <f>C147*D147/100</f>
        <v>424546.19159999996</v>
      </c>
      <c r="F147" s="7"/>
      <c r="G147" s="7"/>
      <c r="H147" s="7"/>
      <c r="I147" s="7"/>
      <c r="J147" s="7"/>
      <c r="K147" s="7"/>
      <c r="L147" s="2" t="s">
        <v>293</v>
      </c>
      <c r="M147" s="7">
        <f>(E147*50/100)+(G148*75/100)</f>
        <v>362302.94774999999</v>
      </c>
      <c r="O147" s="22">
        <v>45</v>
      </c>
      <c r="P147" s="19">
        <f>M147*O147</f>
        <v>16303632.64875</v>
      </c>
      <c r="R147" s="19">
        <f>P147*25*12</f>
        <v>4891089794.625</v>
      </c>
      <c r="Y147" s="19">
        <f>(G148*20/100)+(I149*45/100)+(K150*40/100)</f>
        <v>563435.02589750011</v>
      </c>
      <c r="Z147" s="19">
        <v>100</v>
      </c>
      <c r="AA147" s="19">
        <f>Z147*Y147*25</f>
        <v>1408587564.7437501</v>
      </c>
      <c r="AB147" s="19">
        <f>AA147*12</f>
        <v>16903050776.925001</v>
      </c>
      <c r="AC147" t="s">
        <v>335</v>
      </c>
      <c r="AD147" t="s">
        <v>336</v>
      </c>
    </row>
    <row r="148" spans="1:30" x14ac:dyDescent="0.25">
      <c r="A148" s="2"/>
      <c r="C148" s="7">
        <f>2171703+2048546</f>
        <v>4220249</v>
      </c>
      <c r="D148" s="7"/>
      <c r="E148" s="7"/>
      <c r="F148" s="7">
        <f>11.85*40/100</f>
        <v>4.74</v>
      </c>
      <c r="G148" s="7">
        <f>C148*F148/100</f>
        <v>200039.80260000002</v>
      </c>
      <c r="H148" s="7"/>
      <c r="I148" s="7"/>
      <c r="J148" s="7"/>
      <c r="K148" s="7"/>
      <c r="L148" s="2" t="s">
        <v>294</v>
      </c>
      <c r="M148" s="2"/>
      <c r="AC148" t="s">
        <v>337</v>
      </c>
      <c r="AD148" t="s">
        <v>338</v>
      </c>
    </row>
    <row r="149" spans="1:30" x14ac:dyDescent="0.25">
      <c r="A149" s="2"/>
      <c r="C149" s="7">
        <f>7227145+7020156</f>
        <v>14247301</v>
      </c>
      <c r="D149" s="7"/>
      <c r="E149" s="7"/>
      <c r="F149" s="7"/>
      <c r="G149" s="7"/>
      <c r="H149" s="7">
        <f>11.85*30/100</f>
        <v>3.5550000000000002</v>
      </c>
      <c r="I149" s="7">
        <f>H149*C148/100</f>
        <v>150029.85195000001</v>
      </c>
      <c r="J149" s="7"/>
      <c r="K149" s="7"/>
      <c r="L149" s="2" t="s">
        <v>295</v>
      </c>
      <c r="M149" s="2"/>
      <c r="AC149" t="s">
        <v>339</v>
      </c>
      <c r="AD149" t="s">
        <v>340</v>
      </c>
    </row>
    <row r="150" spans="1:30" x14ac:dyDescent="0.25">
      <c r="A150" s="2"/>
      <c r="C150" s="7">
        <f>2492120+2529252</f>
        <v>5021372</v>
      </c>
      <c r="D150" s="7"/>
      <c r="E150" s="7"/>
      <c r="F150" s="7"/>
      <c r="G150" s="7"/>
      <c r="H150" s="7"/>
      <c r="I150" s="7"/>
      <c r="J150" s="7">
        <f>40*20/100</f>
        <v>8</v>
      </c>
      <c r="K150" s="7">
        <f>J150*C149/100</f>
        <v>1139784.08</v>
      </c>
      <c r="L150" s="2" t="s">
        <v>296</v>
      </c>
      <c r="M150" s="2"/>
      <c r="AC150" t="s">
        <v>377</v>
      </c>
      <c r="AD150" t="s">
        <v>378</v>
      </c>
    </row>
    <row r="151" spans="1:30" x14ac:dyDescent="0.25">
      <c r="A151" s="2"/>
      <c r="C151" s="7">
        <f>2958721+3676334</f>
        <v>6635055</v>
      </c>
      <c r="D151" s="7"/>
      <c r="E151" s="7"/>
      <c r="F151" s="7"/>
      <c r="G151" s="7"/>
      <c r="H151" s="7"/>
      <c r="I151" s="7"/>
      <c r="J151" s="7"/>
      <c r="K151" s="7"/>
      <c r="L151" s="2" t="s">
        <v>297</v>
      </c>
      <c r="M151" s="2"/>
    </row>
    <row r="152" spans="1:30" x14ac:dyDescent="0.25">
      <c r="A152" s="2"/>
    </row>
    <row r="153" spans="1:30" x14ac:dyDescent="0.25">
      <c r="A153" s="2"/>
    </row>
    <row r="154" spans="1:30" ht="38.25" x14ac:dyDescent="0.25">
      <c r="A154" s="2" t="s">
        <v>274</v>
      </c>
      <c r="B154" s="7">
        <v>326625791</v>
      </c>
      <c r="C154" s="7">
        <f>31255995+29919938</f>
        <v>61175933</v>
      </c>
      <c r="D154" s="7">
        <f>18.73*50/100</f>
        <v>9.3650000000000002</v>
      </c>
      <c r="E154" s="7">
        <f>D154*C154/100</f>
        <v>5729126.1254499992</v>
      </c>
      <c r="F154" s="7"/>
      <c r="G154" s="7"/>
      <c r="H154" s="7"/>
      <c r="I154" s="7"/>
      <c r="J154" s="7"/>
      <c r="K154" s="7"/>
      <c r="L154" s="2" t="s">
        <v>298</v>
      </c>
      <c r="M154" s="7">
        <f>(E154*50/100)+(G155*75/100)</f>
        <v>4590397.3449049992</v>
      </c>
      <c r="O154" s="22">
        <v>45</v>
      </c>
      <c r="P154" s="19">
        <f>M154*O154</f>
        <v>206567880.52072495</v>
      </c>
      <c r="R154" s="19">
        <f>P154*25*12</f>
        <v>61970364156.217484</v>
      </c>
      <c r="Y154" s="19">
        <f>(G155*20/100)+(I156*45/100)+(K157*40/100)</f>
        <v>5303769.6105490001</v>
      </c>
      <c r="Z154" s="19">
        <v>150</v>
      </c>
      <c r="AA154" s="19">
        <f>Z154*Y154*25</f>
        <v>19889136039.55875</v>
      </c>
      <c r="AB154" s="19">
        <f>AA154*12</f>
        <v>238669632474.70502</v>
      </c>
      <c r="AC154" t="s">
        <v>379</v>
      </c>
      <c r="AD154" t="s">
        <v>380</v>
      </c>
    </row>
    <row r="155" spans="1:30" x14ac:dyDescent="0.25">
      <c r="C155" s="7">
        <f>22213952+21137826</f>
        <v>43351778</v>
      </c>
      <c r="D155" s="7"/>
      <c r="E155" s="7"/>
      <c r="F155" s="7">
        <f>13.27*40/100</f>
        <v>5.3079999999999998</v>
      </c>
      <c r="G155" s="7">
        <f>C155*F155/100</f>
        <v>2301112.3762399997</v>
      </c>
      <c r="H155" s="7"/>
      <c r="I155" s="7"/>
      <c r="J155" s="7"/>
      <c r="K155" s="7"/>
      <c r="L155" s="2" t="s">
        <v>299</v>
      </c>
      <c r="M155" s="2"/>
      <c r="AC155" t="s">
        <v>381</v>
      </c>
      <c r="AD155" t="s">
        <v>382</v>
      </c>
    </row>
    <row r="156" spans="1:30" x14ac:dyDescent="0.25">
      <c r="C156" s="7">
        <f>64528673+64334499</f>
        <v>128863172</v>
      </c>
      <c r="D156" s="7"/>
      <c r="E156" s="7"/>
      <c r="F156" s="7"/>
      <c r="G156" s="7"/>
      <c r="H156" s="7">
        <f>13.27*30/100</f>
        <v>3.9809999999999999</v>
      </c>
      <c r="I156" s="7">
        <f>H156*C155/100</f>
        <v>1725834.2821799999</v>
      </c>
      <c r="J156" s="7"/>
      <c r="K156" s="7"/>
      <c r="L156" s="2" t="s">
        <v>300</v>
      </c>
      <c r="M156" s="2"/>
    </row>
    <row r="157" spans="1:30" x14ac:dyDescent="0.25">
      <c r="C157" s="7">
        <f>20357880+21821976</f>
        <v>42179856</v>
      </c>
      <c r="D157" s="7"/>
      <c r="E157" s="7"/>
      <c r="F157" s="7"/>
      <c r="G157" s="7"/>
      <c r="H157" s="7"/>
      <c r="I157" s="7"/>
      <c r="J157" s="7">
        <f>39.45*20/100</f>
        <v>7.89</v>
      </c>
      <c r="K157" s="7">
        <f>J157*C156/100</f>
        <v>10167304.2708</v>
      </c>
      <c r="L157" s="2" t="s">
        <v>301</v>
      </c>
      <c r="M157" s="2"/>
    </row>
    <row r="158" spans="1:30" ht="25.5" x14ac:dyDescent="0.25">
      <c r="C158" s="7">
        <f>22678235+28376817</f>
        <v>51055052</v>
      </c>
      <c r="D158" s="7"/>
      <c r="E158" s="7"/>
      <c r="F158" s="7"/>
      <c r="G158" s="7"/>
      <c r="H158" s="7"/>
      <c r="I158" s="7"/>
      <c r="J158" s="7"/>
      <c r="K158" s="7"/>
      <c r="L158" s="2" t="s">
        <v>302</v>
      </c>
      <c r="M158" s="2"/>
    </row>
    <row r="160" spans="1:30" x14ac:dyDescent="0.25">
      <c r="A160" s="9" t="s">
        <v>275</v>
      </c>
    </row>
    <row r="162" spans="1:30" x14ac:dyDescent="0.25">
      <c r="A162" s="2" t="s">
        <v>276</v>
      </c>
      <c r="B162" s="7">
        <v>83301151</v>
      </c>
      <c r="C162" s="7">
        <f>17525063+17241929</f>
        <v>34766992</v>
      </c>
      <c r="D162" s="7">
        <f>41.74*50/100</f>
        <v>20.87</v>
      </c>
      <c r="E162" s="7">
        <f>C162*D162/100</f>
        <v>7255871.2304000007</v>
      </c>
      <c r="F162" s="7"/>
      <c r="G162" s="7"/>
      <c r="H162" s="7"/>
      <c r="I162" s="7"/>
      <c r="J162" s="7"/>
      <c r="K162" s="7"/>
      <c r="L162" s="7" t="s">
        <v>303</v>
      </c>
      <c r="M162" s="7">
        <f>(E162*50/100)+(G163*75/100)</f>
        <v>4779038.7487000003</v>
      </c>
      <c r="O162" s="22">
        <v>32</v>
      </c>
      <c r="P162" s="19">
        <f>M162*O162</f>
        <v>152929239.95840001</v>
      </c>
      <c r="R162" s="19">
        <f>P162*25*12</f>
        <v>45878771987.520004</v>
      </c>
      <c r="Y162" s="19">
        <f>(G163*20/100)+(I164*45/100)+(K165*40/100)</f>
        <v>1446057.8071470002</v>
      </c>
      <c r="Z162" s="19">
        <v>40</v>
      </c>
      <c r="AA162" s="19">
        <f>Z162*Y162*25</f>
        <v>1446057807.1470001</v>
      </c>
      <c r="AB162" s="19">
        <f>AA162*12</f>
        <v>17352693685.764</v>
      </c>
      <c r="AC162" t="s">
        <v>330</v>
      </c>
      <c r="AD162" t="s">
        <v>331</v>
      </c>
    </row>
    <row r="163" spans="1:30" x14ac:dyDescent="0.25">
      <c r="C163" s="7">
        <f>8969922+8909903</f>
        <v>17879825</v>
      </c>
      <c r="D163" s="7"/>
      <c r="E163" s="7"/>
      <c r="F163" s="7">
        <f>21.46*40/100</f>
        <v>8.5840000000000014</v>
      </c>
      <c r="G163" s="7">
        <f>F163*C163/100</f>
        <v>1534804.1780000001</v>
      </c>
      <c r="H163" s="7"/>
      <c r="I163" s="7"/>
      <c r="J163" s="7"/>
      <c r="K163" s="7"/>
      <c r="L163" s="7" t="s">
        <v>304</v>
      </c>
      <c r="M163" s="7"/>
      <c r="AC163" t="s">
        <v>332</v>
      </c>
      <c r="AD163" t="s">
        <v>333</v>
      </c>
    </row>
    <row r="164" spans="1:30" x14ac:dyDescent="0.25">
      <c r="C164" s="7">
        <f>12691612+12738316</f>
        <v>25429928</v>
      </c>
      <c r="D164" s="7"/>
      <c r="E164" s="7"/>
      <c r="F164" s="7"/>
      <c r="G164" s="7"/>
      <c r="H164" s="7">
        <f>21.46*30/100</f>
        <v>6.4380000000000006</v>
      </c>
      <c r="I164" s="7">
        <f>C163*H164/100</f>
        <v>1151103.1335</v>
      </c>
      <c r="J164" s="7"/>
      <c r="K164" s="7"/>
      <c r="L164" s="7" t="s">
        <v>305</v>
      </c>
      <c r="M164" s="7"/>
    </row>
    <row r="165" spans="1:30" x14ac:dyDescent="0.25">
      <c r="C165" s="7">
        <f>1421619+1579034</f>
        <v>3000653</v>
      </c>
      <c r="D165" s="7"/>
      <c r="E165" s="7"/>
      <c r="F165" s="7"/>
      <c r="G165" s="7"/>
      <c r="H165" s="7"/>
      <c r="I165" s="7"/>
      <c r="J165" s="7">
        <f>30.53*20/100</f>
        <v>6.1059999999999999</v>
      </c>
      <c r="K165" s="7">
        <f>C164*J165/100</f>
        <v>1552751.40368</v>
      </c>
      <c r="L165" s="7" t="s">
        <v>306</v>
      </c>
      <c r="M165" s="7"/>
    </row>
    <row r="166" spans="1:30" x14ac:dyDescent="0.25">
      <c r="C166" s="7">
        <f>941926+1281827</f>
        <v>2223753</v>
      </c>
      <c r="D166" s="7"/>
      <c r="E166" s="7"/>
      <c r="F166" s="7"/>
      <c r="G166" s="7"/>
      <c r="H166" s="7"/>
      <c r="I166" s="7"/>
      <c r="J166" s="7"/>
      <c r="K166" s="7"/>
      <c r="L166" s="7" t="s">
        <v>307</v>
      </c>
      <c r="M166" s="7"/>
    </row>
    <row r="168" spans="1:30" x14ac:dyDescent="0.25">
      <c r="A168" s="2" t="s">
        <v>277</v>
      </c>
      <c r="B168" s="7">
        <v>13805084</v>
      </c>
      <c r="C168" s="7">
        <f>2658563+2711017</f>
        <v>5369580</v>
      </c>
      <c r="D168" s="7">
        <f>38.9*50/100</f>
        <v>19.45</v>
      </c>
      <c r="E168" s="7">
        <f>D168*C168/100</f>
        <v>1044383.31</v>
      </c>
      <c r="F168" s="7"/>
      <c r="G168" s="7"/>
      <c r="H168" s="7"/>
      <c r="I168" s="7"/>
      <c r="J168" s="7"/>
      <c r="K168" s="7"/>
      <c r="L168" s="7" t="s">
        <v>308</v>
      </c>
      <c r="M168" s="7">
        <f>(E168*50/100)+(G169*75/100)</f>
        <v>695740.92075000005</v>
      </c>
      <c r="O168" s="22">
        <v>30</v>
      </c>
      <c r="P168" s="19">
        <f>M168*O168</f>
        <v>20872227.622500002</v>
      </c>
      <c r="R168" s="19">
        <f>P168*25*12</f>
        <v>6261668286.750001</v>
      </c>
      <c r="Y168" s="19">
        <f>(G169*20/100)+(I170*45/100)+(K171*40/100)</f>
        <v>236767.25794749998</v>
      </c>
      <c r="Z168" s="19">
        <v>40</v>
      </c>
      <c r="AA168" s="19">
        <f>Z168*Y168*25</f>
        <v>236767257.94749996</v>
      </c>
      <c r="AB168" s="19">
        <f>AA168*12</f>
        <v>2841207095.3699994</v>
      </c>
      <c r="AC168" t="s">
        <v>321</v>
      </c>
      <c r="AD168" t="s">
        <v>322</v>
      </c>
    </row>
    <row r="169" spans="1:30" x14ac:dyDescent="0.25">
      <c r="C169" s="7">
        <f>1383337+1442738</f>
        <v>2826075</v>
      </c>
      <c r="D169" s="7"/>
      <c r="E169" s="7"/>
      <c r="F169" s="7">
        <f>20.47*40/100</f>
        <v>8.1879999999999988</v>
      </c>
      <c r="G169" s="7">
        <f>F169*C169/100</f>
        <v>231399.02099999998</v>
      </c>
      <c r="H169" s="7"/>
      <c r="I169" s="7"/>
      <c r="J169" s="7"/>
      <c r="K169" s="7"/>
      <c r="L169" s="7" t="s">
        <v>309</v>
      </c>
      <c r="M169" s="7"/>
      <c r="AC169" t="s">
        <v>323</v>
      </c>
      <c r="AD169" t="s">
        <v>324</v>
      </c>
    </row>
    <row r="170" spans="1:30" x14ac:dyDescent="0.25">
      <c r="C170" s="7">
        <f>2207012+2196996</f>
        <v>4404008</v>
      </c>
      <c r="D170" s="7"/>
      <c r="E170" s="7"/>
      <c r="F170" s="7"/>
      <c r="G170" s="7"/>
      <c r="H170" s="7">
        <f>20.47*30/100</f>
        <v>6.1409999999999991</v>
      </c>
      <c r="I170" s="7">
        <f>H170*C169/100</f>
        <v>173549.26574999999</v>
      </c>
      <c r="J170" s="7"/>
      <c r="K170" s="7"/>
      <c r="L170" s="7" t="s">
        <v>310</v>
      </c>
      <c r="M170" s="7"/>
      <c r="AC170" t="s">
        <v>326</v>
      </c>
      <c r="AD170" t="s">
        <v>327</v>
      </c>
    </row>
    <row r="171" spans="1:30" x14ac:dyDescent="0.25">
      <c r="C171" s="7">
        <f>233771+355738</f>
        <v>589509</v>
      </c>
      <c r="D171" s="7"/>
      <c r="E171" s="7"/>
      <c r="F171" s="7"/>
      <c r="G171" s="7"/>
      <c r="H171" s="7"/>
      <c r="I171" s="7"/>
      <c r="J171" s="7">
        <f>31.9*20/100</f>
        <v>6.38</v>
      </c>
      <c r="K171" s="7">
        <f>J171*C170/100</f>
        <v>280975.71039999998</v>
      </c>
      <c r="L171" s="7" t="s">
        <v>311</v>
      </c>
      <c r="M171" s="7"/>
      <c r="AC171" t="s">
        <v>328</v>
      </c>
      <c r="AD171" t="s">
        <v>329</v>
      </c>
    </row>
    <row r="172" spans="1:30" x14ac:dyDescent="0.25">
      <c r="C172" s="7">
        <f>251968+363944</f>
        <v>615912</v>
      </c>
      <c r="D172" s="7"/>
      <c r="E172" s="7"/>
      <c r="F172" s="7"/>
      <c r="G172" s="7"/>
      <c r="H172" s="7"/>
      <c r="I172" s="7"/>
      <c r="J172" s="7"/>
      <c r="K172" s="7"/>
      <c r="L172" s="7" t="s">
        <v>312</v>
      </c>
      <c r="M172" s="7"/>
    </row>
    <row r="174" spans="1:30" x14ac:dyDescent="0.25">
      <c r="A174" s="2" t="s">
        <v>416</v>
      </c>
    </row>
    <row r="176" spans="1:30" x14ac:dyDescent="0.25">
      <c r="A176" s="2" t="s">
        <v>417</v>
      </c>
      <c r="B176" s="7">
        <v>4510327</v>
      </c>
      <c r="C176" s="7">
        <f>454982+432877</f>
        <v>887859</v>
      </c>
      <c r="D176">
        <f>19.69*50/100</f>
        <v>9.8450000000000006</v>
      </c>
      <c r="E176" s="7">
        <f>D176*C176/100</f>
        <v>87409.718550000005</v>
      </c>
      <c r="L176" s="7" t="s">
        <v>418</v>
      </c>
      <c r="M176" s="7">
        <f>(E176*50/100)+(G177*75/100)</f>
        <v>67826.693925</v>
      </c>
      <c r="O176" s="22">
        <v>35</v>
      </c>
      <c r="P176" s="19">
        <f>M176*O176</f>
        <v>2373934.2873749998</v>
      </c>
      <c r="R176" s="19">
        <f>P176*25*12</f>
        <v>712180286.21249998</v>
      </c>
      <c r="Y176" s="19">
        <f>(G177*20/100)+(I178*45/100)+(K179*40/100)</f>
        <v>78281.234723999994</v>
      </c>
      <c r="Z176" s="19">
        <v>35</v>
      </c>
      <c r="AA176" s="19">
        <f>Z176*Y176*25</f>
        <v>68496080.383499995</v>
      </c>
      <c r="AB176" s="19">
        <f>AA176*12</f>
        <v>821952964.602</v>
      </c>
      <c r="AC176" t="s">
        <v>423</v>
      </c>
      <c r="AD176" t="s">
        <v>424</v>
      </c>
    </row>
    <row r="177" spans="3:30" x14ac:dyDescent="0.25">
      <c r="C177" s="7">
        <f>309707+292586</f>
        <v>602293</v>
      </c>
      <c r="F177">
        <f>13.35*40/100</f>
        <v>5.34</v>
      </c>
      <c r="G177" s="7">
        <f>F177*C177/100</f>
        <v>32162.446200000002</v>
      </c>
      <c r="L177" s="7" t="s">
        <v>419</v>
      </c>
      <c r="AC177" t="s">
        <v>426</v>
      </c>
      <c r="AD177" t="s">
        <v>425</v>
      </c>
    </row>
    <row r="178" spans="3:30" x14ac:dyDescent="0.25">
      <c r="C178" s="7">
        <f>900374+895615</f>
        <v>1795989</v>
      </c>
      <c r="H178">
        <f>13.5*40/100</f>
        <v>5.4</v>
      </c>
      <c r="I178" s="7">
        <f>H178*C177/100</f>
        <v>32523.822</v>
      </c>
      <c r="L178" s="7" t="s">
        <v>420</v>
      </c>
      <c r="AC178" t="s">
        <v>427</v>
      </c>
      <c r="AD178" t="s">
        <v>428</v>
      </c>
    </row>
    <row r="179" spans="3:30" x14ac:dyDescent="0.25">
      <c r="C179" s="7">
        <f>261097+275151</f>
        <v>536248</v>
      </c>
      <c r="J179">
        <f>39.82*20/100</f>
        <v>7.9639999999999995</v>
      </c>
      <c r="K179" s="7">
        <f>J179*C178/100</f>
        <v>143032.56396</v>
      </c>
      <c r="L179" s="7" t="s">
        <v>421</v>
      </c>
      <c r="AC179" t="s">
        <v>429</v>
      </c>
      <c r="AD179" t="s">
        <v>430</v>
      </c>
    </row>
    <row r="180" spans="3:30" x14ac:dyDescent="0.25">
      <c r="C180" s="7">
        <f>318089+369849</f>
        <v>687938</v>
      </c>
      <c r="L180" s="7" t="s">
        <v>422</v>
      </c>
      <c r="AC180" t="s">
        <v>431</v>
      </c>
      <c r="AD180" t="s">
        <v>432</v>
      </c>
    </row>
    <row r="181" spans="3:30" x14ac:dyDescent="0.25">
      <c r="AC181" t="s">
        <v>433</v>
      </c>
      <c r="AD181" t="s">
        <v>434</v>
      </c>
    </row>
    <row r="182" spans="3:30" x14ac:dyDescent="0.25">
      <c r="AC182" t="s">
        <v>436</v>
      </c>
      <c r="AD182" t="s">
        <v>435</v>
      </c>
    </row>
    <row r="183" spans="3:30" x14ac:dyDescent="0.25">
      <c r="AC183" t="s">
        <v>437</v>
      </c>
      <c r="AD183" t="s">
        <v>438</v>
      </c>
    </row>
  </sheetData>
  <autoFilter ref="A1:AJ1"/>
  <mergeCells count="1">
    <mergeCell ref="AC50:AC86"/>
  </mergeCells>
  <hyperlinks>
    <hyperlink ref="AD51" r:id="rId1" display="https://www.kaptestglobal.com/kceps/saudi-arabia"/>
  </hyperlinks>
  <pageMargins left="0.7" right="0.7" top="0.75" bottom="0.75" header="0.3" footer="0.3"/>
  <pageSetup paperSize="9" orientation="portrait" verticalDpi="0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D1" workbookViewId="0">
      <selection activeCell="H14" sqref="H14"/>
    </sheetView>
  </sheetViews>
  <sheetFormatPr defaultRowHeight="15" x14ac:dyDescent="0.25"/>
  <cols>
    <col min="1" max="1" width="28.85546875" bestFit="1" customWidth="1"/>
    <col min="2" max="2" width="47.7109375" bestFit="1" customWidth="1"/>
    <col min="3" max="3" width="28.28515625" bestFit="1" customWidth="1"/>
    <col min="4" max="4" width="20.28515625" customWidth="1"/>
    <col min="5" max="5" width="17.42578125" customWidth="1"/>
    <col min="6" max="6" width="50" bestFit="1" customWidth="1"/>
    <col min="7" max="7" width="21.42578125" bestFit="1" customWidth="1"/>
    <col min="8" max="8" width="56.140625" bestFit="1" customWidth="1"/>
    <col min="9" max="9" width="18.85546875" bestFit="1" customWidth="1"/>
    <col min="10" max="10" width="54.85546875" bestFit="1" customWidth="1"/>
    <col min="11" max="11" width="21" bestFit="1" customWidth="1"/>
  </cols>
  <sheetData>
    <row r="1" spans="1:9" x14ac:dyDescent="0.25">
      <c r="A1" t="s">
        <v>19</v>
      </c>
      <c r="B1" t="s">
        <v>313</v>
      </c>
      <c r="C1" t="s">
        <v>263</v>
      </c>
      <c r="D1" t="s">
        <v>314</v>
      </c>
      <c r="E1" t="s">
        <v>264</v>
      </c>
      <c r="F1" t="s">
        <v>315</v>
      </c>
      <c r="G1" t="s">
        <v>265</v>
      </c>
      <c r="H1" t="s">
        <v>316</v>
      </c>
      <c r="I1" t="s">
        <v>266</v>
      </c>
    </row>
    <row r="2" spans="1:9" x14ac:dyDescent="0.25">
      <c r="A2" t="s">
        <v>1</v>
      </c>
      <c r="B2">
        <v>8.5749999999999993</v>
      </c>
      <c r="C2">
        <v>20288228.593499999</v>
      </c>
      <c r="D2">
        <v>5.1120000000000001</v>
      </c>
      <c r="E2">
        <v>9010729.6776000001</v>
      </c>
      <c r="F2">
        <v>3.8339999999999996</v>
      </c>
      <c r="G2">
        <v>6758047.2581999991</v>
      </c>
      <c r="H2">
        <v>9.6999999999999993</v>
      </c>
      <c r="I2">
        <v>64905406.105999991</v>
      </c>
    </row>
    <row r="3" spans="1:9" x14ac:dyDescent="0.25">
      <c r="A3" t="s">
        <v>2</v>
      </c>
      <c r="B3">
        <v>13.67</v>
      </c>
      <c r="C3">
        <v>47911418.292299993</v>
      </c>
      <c r="D3">
        <v>7.16</v>
      </c>
      <c r="E3">
        <v>16429566.766800001</v>
      </c>
      <c r="F3">
        <v>5.37</v>
      </c>
      <c r="G3">
        <v>12322175.075099999</v>
      </c>
      <c r="H3">
        <v>8.2159999999999993</v>
      </c>
      <c r="I3">
        <v>43263753.480479993</v>
      </c>
    </row>
    <row r="4" spans="1:9" x14ac:dyDescent="0.25">
      <c r="A4" t="s">
        <v>3</v>
      </c>
      <c r="B4">
        <v>12.51</v>
      </c>
      <c r="C4">
        <v>8156601.1898999996</v>
      </c>
      <c r="D4">
        <v>6.7959999999999994</v>
      </c>
      <c r="E4">
        <v>3009000.4939199998</v>
      </c>
      <c r="F4">
        <v>5.0699999999999994</v>
      </c>
      <c r="G4">
        <v>2244795.8363999999</v>
      </c>
      <c r="H4">
        <v>8.48</v>
      </c>
      <c r="I4">
        <v>9368228.5264000017</v>
      </c>
    </row>
    <row r="5" spans="1:9" x14ac:dyDescent="0.25">
      <c r="A5" t="s">
        <v>4</v>
      </c>
      <c r="B5">
        <v>6.42</v>
      </c>
      <c r="C5">
        <v>1042393.3152</v>
      </c>
      <c r="D5">
        <v>3.8560000000000003</v>
      </c>
      <c r="E5">
        <v>470277.33584000007</v>
      </c>
      <c r="F5">
        <v>2.8920000000000003</v>
      </c>
      <c r="G5">
        <v>352708.00188</v>
      </c>
      <c r="H5">
        <v>7.5</v>
      </c>
      <c r="I5">
        <v>3556207.8</v>
      </c>
    </row>
    <row r="6" spans="1:9" x14ac:dyDescent="0.25">
      <c r="A6" t="s">
        <v>7</v>
      </c>
      <c r="B6">
        <v>13.914999999999999</v>
      </c>
      <c r="C6">
        <v>1215068.2362500001</v>
      </c>
      <c r="D6">
        <v>6.7240000000000002</v>
      </c>
      <c r="E6">
        <v>354811.49407999997</v>
      </c>
      <c r="F6">
        <v>5.0429999999999993</v>
      </c>
      <c r="G6">
        <v>266108.62055999995</v>
      </c>
      <c r="H6">
        <v>8.1999999999999993</v>
      </c>
      <c r="I6">
        <v>1055033.4019999998</v>
      </c>
    </row>
    <row r="7" spans="1:9" x14ac:dyDescent="0.25">
      <c r="A7" t="s">
        <v>8</v>
      </c>
      <c r="B7">
        <v>10.39</v>
      </c>
      <c r="C7">
        <v>545239.147</v>
      </c>
      <c r="D7">
        <v>6.2360000000000007</v>
      </c>
      <c r="E7">
        <v>245527.84540000002</v>
      </c>
      <c r="F7">
        <v>4.6769999999999996</v>
      </c>
      <c r="G7">
        <v>184145.88404999996</v>
      </c>
      <c r="H7">
        <v>8.8559999999999999</v>
      </c>
      <c r="I7">
        <v>990146.85120000003</v>
      </c>
    </row>
    <row r="8" spans="1:9" x14ac:dyDescent="0.25">
      <c r="A8" t="s">
        <v>13</v>
      </c>
      <c r="B8">
        <v>6.41</v>
      </c>
      <c r="C8">
        <v>48396.333299999998</v>
      </c>
      <c r="D8">
        <v>6.6239999999999997</v>
      </c>
      <c r="E8">
        <v>64605.991679999999</v>
      </c>
      <c r="F8">
        <v>4.968</v>
      </c>
      <c r="G8">
        <v>48454.493760000005</v>
      </c>
      <c r="H8">
        <v>10.106</v>
      </c>
      <c r="I8">
        <v>300704.13105999999</v>
      </c>
    </row>
    <row r="9" spans="1:9" x14ac:dyDescent="0.25">
      <c r="A9" t="s">
        <v>9</v>
      </c>
      <c r="B9">
        <v>15</v>
      </c>
      <c r="C9">
        <v>154623.9</v>
      </c>
      <c r="D9">
        <v>7.476</v>
      </c>
      <c r="E9">
        <v>47844.231959999997</v>
      </c>
      <c r="F9">
        <v>5.6070000000000002</v>
      </c>
      <c r="G9">
        <v>35883.173970000003</v>
      </c>
      <c r="H9">
        <v>8.76</v>
      </c>
      <c r="I9">
        <v>131388.0864</v>
      </c>
    </row>
    <row r="10" spans="1:9" x14ac:dyDescent="0.25">
      <c r="A10" t="s">
        <v>12</v>
      </c>
      <c r="B10">
        <v>13.05</v>
      </c>
      <c r="C10">
        <v>973165.77450000006</v>
      </c>
      <c r="D10">
        <v>7.4279999999999999</v>
      </c>
      <c r="E10">
        <v>394046.41211999999</v>
      </c>
      <c r="F10">
        <v>5.5710000000000006</v>
      </c>
      <c r="G10">
        <v>295534.80909</v>
      </c>
      <c r="H10">
        <v>9.4</v>
      </c>
      <c r="I10">
        <v>1258556.976</v>
      </c>
    </row>
    <row r="11" spans="1:9" x14ac:dyDescent="0.25">
      <c r="A11" t="s">
        <v>14</v>
      </c>
      <c r="B11">
        <v>10.5</v>
      </c>
      <c r="C11">
        <v>133934.64000000001</v>
      </c>
      <c r="D11">
        <v>5.4</v>
      </c>
      <c r="E11">
        <v>44300.898000000008</v>
      </c>
      <c r="F11">
        <v>4.0529999999999999</v>
      </c>
      <c r="G11">
        <v>33250.285109999997</v>
      </c>
      <c r="H11">
        <v>12.228</v>
      </c>
      <c r="I11">
        <v>454021.23791999999</v>
      </c>
    </row>
    <row r="12" spans="1:9" x14ac:dyDescent="0.25">
      <c r="A12" t="s">
        <v>10</v>
      </c>
      <c r="B12">
        <v>6.3150000000000004</v>
      </c>
      <c r="C12">
        <v>18457.039950000002</v>
      </c>
      <c r="D12">
        <v>4.9400000000000004</v>
      </c>
      <c r="E12">
        <v>14124.151600000001</v>
      </c>
      <c r="F12">
        <v>3.7050000000000001</v>
      </c>
      <c r="G12">
        <v>10593.113700000002</v>
      </c>
      <c r="H12">
        <v>14.118000000000002</v>
      </c>
      <c r="I12">
        <v>230648.16606000002</v>
      </c>
    </row>
    <row r="13" spans="1:9" x14ac:dyDescent="0.25">
      <c r="A13" t="s">
        <v>0</v>
      </c>
      <c r="B13">
        <v>9.5399999999999991</v>
      </c>
      <c r="C13">
        <v>25678.054799999998</v>
      </c>
      <c r="D13">
        <v>6.26</v>
      </c>
      <c r="E13">
        <v>13821.266199999998</v>
      </c>
      <c r="F13">
        <v>4.6950000000000003</v>
      </c>
      <c r="G13">
        <v>10365.94965</v>
      </c>
      <c r="H13">
        <v>11.208</v>
      </c>
      <c r="I13">
        <v>88618.069440000007</v>
      </c>
    </row>
    <row r="14" spans="1:9" x14ac:dyDescent="0.25">
      <c r="A14" t="s">
        <v>5</v>
      </c>
      <c r="B14">
        <v>12.51</v>
      </c>
      <c r="C14">
        <v>89992.311299999987</v>
      </c>
      <c r="D14">
        <v>6.04</v>
      </c>
      <c r="E14">
        <v>26222.720400000002</v>
      </c>
      <c r="F14">
        <v>4.53</v>
      </c>
      <c r="G14">
        <v>19667.040300000001</v>
      </c>
      <c r="H14">
        <v>10.454000000000001</v>
      </c>
      <c r="I14">
        <v>157118.60208000001</v>
      </c>
    </row>
    <row r="15" spans="1:9" x14ac:dyDescent="0.25">
      <c r="A15" t="s">
        <v>11</v>
      </c>
      <c r="B15">
        <v>8.56</v>
      </c>
      <c r="C15">
        <v>2084601.1352000001</v>
      </c>
      <c r="D15">
        <v>3.7840000000000003</v>
      </c>
      <c r="E15">
        <v>509102.04664000007</v>
      </c>
      <c r="F15">
        <v>2.8380000000000001</v>
      </c>
      <c r="G15">
        <v>381826.53498000005</v>
      </c>
      <c r="H15">
        <v>8.9420000000000002</v>
      </c>
      <c r="I15">
        <v>5686797.1521800002</v>
      </c>
    </row>
    <row r="16" spans="1:9" x14ac:dyDescent="0.25">
      <c r="A16" t="s">
        <v>31</v>
      </c>
      <c r="B16">
        <v>7.88</v>
      </c>
      <c r="C16">
        <v>546693.75439999998</v>
      </c>
      <c r="D16">
        <v>3.944</v>
      </c>
      <c r="E16">
        <v>171208.84280000001</v>
      </c>
      <c r="F16">
        <v>2.9579999999999997</v>
      </c>
      <c r="G16">
        <v>128406.63209999999</v>
      </c>
      <c r="H16">
        <v>8.8579999999999988</v>
      </c>
      <c r="I16">
        <v>538131.91509999987</v>
      </c>
    </row>
    <row r="17" spans="1:9" x14ac:dyDescent="0.25">
      <c r="A17" t="s">
        <v>81</v>
      </c>
      <c r="B17">
        <v>8.7650000000000006</v>
      </c>
      <c r="C17">
        <v>994957.74790000007</v>
      </c>
      <c r="D17">
        <v>4.76</v>
      </c>
      <c r="E17">
        <v>366955.7304</v>
      </c>
      <c r="F17">
        <v>3.57</v>
      </c>
      <c r="G17">
        <v>275216.7978</v>
      </c>
      <c r="H17">
        <v>8.11</v>
      </c>
      <c r="I17">
        <v>2129766.5323000001</v>
      </c>
    </row>
    <row r="18" spans="1:9" x14ac:dyDescent="0.25">
      <c r="A18" t="s">
        <v>39</v>
      </c>
      <c r="B18">
        <v>8.7149999999999999</v>
      </c>
      <c r="C18">
        <v>151278.19455000001</v>
      </c>
      <c r="D18">
        <v>4.524</v>
      </c>
      <c r="E18">
        <v>50985.299039999998</v>
      </c>
      <c r="F18">
        <v>3.3930000000000002</v>
      </c>
      <c r="G18">
        <v>38238.974280000002</v>
      </c>
      <c r="H18">
        <v>7.8840000000000012</v>
      </c>
      <c r="I18">
        <v>309578.66280000005</v>
      </c>
    </row>
    <row r="19" spans="1:9" x14ac:dyDescent="0.25">
      <c r="A19" t="s">
        <v>28</v>
      </c>
      <c r="B19">
        <v>6.8250000000000002</v>
      </c>
      <c r="C19">
        <v>578840.73975000007</v>
      </c>
      <c r="D19">
        <v>3.8639999999999999</v>
      </c>
      <c r="E19">
        <v>232036.36847999998</v>
      </c>
      <c r="F19">
        <v>2.8980000000000001</v>
      </c>
      <c r="G19">
        <v>174027.27635999999</v>
      </c>
      <c r="H19">
        <v>8.4319999999999986</v>
      </c>
      <c r="I19">
        <v>2209114.4359999998</v>
      </c>
    </row>
    <row r="20" spans="1:9" x14ac:dyDescent="0.25">
      <c r="A20" t="s">
        <v>30</v>
      </c>
      <c r="B20">
        <v>7.69</v>
      </c>
      <c r="C20">
        <v>579004.09279999998</v>
      </c>
      <c r="D20">
        <v>3.8319999999999999</v>
      </c>
      <c r="E20">
        <v>179789.04791999998</v>
      </c>
      <c r="F20">
        <v>2.8739999999999997</v>
      </c>
      <c r="G20">
        <v>134841.78593999997</v>
      </c>
      <c r="H20">
        <v>8.9819999999999993</v>
      </c>
      <c r="I20">
        <v>1975064.6446199999</v>
      </c>
    </row>
    <row r="21" spans="1:9" x14ac:dyDescent="0.25">
      <c r="A21" t="s">
        <v>270</v>
      </c>
      <c r="B21">
        <v>12.295</v>
      </c>
      <c r="C21">
        <v>1339125.04785</v>
      </c>
      <c r="D21">
        <v>6.1119999999999992</v>
      </c>
      <c r="E21">
        <v>413629.78335999994</v>
      </c>
      <c r="F21">
        <v>4.5839999999999996</v>
      </c>
      <c r="G21">
        <v>310222.33751999994</v>
      </c>
      <c r="H21">
        <v>7.8760000000000003</v>
      </c>
      <c r="I21">
        <v>1373667.96688</v>
      </c>
    </row>
    <row r="22" spans="1:9" x14ac:dyDescent="0.25">
      <c r="A22" t="s">
        <v>271</v>
      </c>
      <c r="B22">
        <v>11.164999999999999</v>
      </c>
      <c r="C22">
        <v>5169017.9579499997</v>
      </c>
      <c r="D22">
        <v>6.5439999999999996</v>
      </c>
      <c r="E22">
        <v>2220597.9659199999</v>
      </c>
      <c r="F22">
        <v>4.9079999999999995</v>
      </c>
      <c r="G22">
        <v>1665448.4744399998</v>
      </c>
      <c r="H22">
        <v>8.7720000000000002</v>
      </c>
      <c r="I22">
        <v>7978153.5615600003</v>
      </c>
    </row>
    <row r="23" spans="1:9" x14ac:dyDescent="0.25">
      <c r="A23" t="s">
        <v>272</v>
      </c>
      <c r="B23">
        <v>12.11</v>
      </c>
      <c r="C23">
        <v>1398940.0551</v>
      </c>
      <c r="D23">
        <v>6.9</v>
      </c>
      <c r="E23">
        <v>567824.94300000009</v>
      </c>
      <c r="F23">
        <v>5.1749999999999998</v>
      </c>
      <c r="G23">
        <v>425868.70725000004</v>
      </c>
      <c r="H23">
        <v>8.3819999999999997</v>
      </c>
      <c r="I23">
        <v>1675571.6069400001</v>
      </c>
    </row>
    <row r="24" spans="1:9" x14ac:dyDescent="0.25">
      <c r="A24" t="s">
        <v>273</v>
      </c>
      <c r="B24">
        <v>7.72</v>
      </c>
      <c r="C24">
        <v>424546.19159999996</v>
      </c>
      <c r="D24">
        <v>4.74</v>
      </c>
      <c r="E24">
        <v>200039.80260000002</v>
      </c>
      <c r="F24">
        <v>3.5550000000000002</v>
      </c>
      <c r="G24">
        <v>150029.85195000001</v>
      </c>
      <c r="H24">
        <v>8</v>
      </c>
      <c r="I24">
        <v>1139784.08</v>
      </c>
    </row>
    <row r="25" spans="1:9" x14ac:dyDescent="0.25">
      <c r="A25" t="s">
        <v>274</v>
      </c>
      <c r="B25">
        <v>9.3650000000000002</v>
      </c>
      <c r="C25">
        <v>5729126.1254499992</v>
      </c>
      <c r="D25">
        <v>5.3079999999999998</v>
      </c>
      <c r="E25">
        <v>2301112.3762399997</v>
      </c>
      <c r="F25">
        <v>3.9809999999999999</v>
      </c>
      <c r="G25">
        <v>1725834.2821799999</v>
      </c>
      <c r="H25">
        <v>7.89</v>
      </c>
      <c r="I25">
        <v>10167304.2708</v>
      </c>
    </row>
    <row r="26" spans="1:9" x14ac:dyDescent="0.25">
      <c r="A26" t="s">
        <v>276</v>
      </c>
      <c r="B26">
        <v>20.87</v>
      </c>
      <c r="C26">
        <v>7255871.2304000007</v>
      </c>
      <c r="D26">
        <v>8.5840000000000014</v>
      </c>
      <c r="E26">
        <v>1534804.1780000001</v>
      </c>
      <c r="F26">
        <v>6.4380000000000006</v>
      </c>
      <c r="G26">
        <v>1151103.1335</v>
      </c>
      <c r="H26">
        <v>6.1059999999999999</v>
      </c>
      <c r="I26">
        <v>1552751.40368</v>
      </c>
    </row>
    <row r="27" spans="1:9" x14ac:dyDescent="0.25">
      <c r="A27" t="s">
        <v>277</v>
      </c>
      <c r="B27">
        <v>19.45</v>
      </c>
      <c r="C27">
        <v>1044383.31</v>
      </c>
      <c r="D27">
        <v>8.1879999999999988</v>
      </c>
      <c r="E27">
        <v>231399.02099999998</v>
      </c>
      <c r="F27">
        <v>6.1409999999999991</v>
      </c>
      <c r="G27">
        <v>173549.26574999999</v>
      </c>
      <c r="H27">
        <v>6.38</v>
      </c>
      <c r="I27">
        <v>280975.71039999998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23" sqref="A23"/>
    </sheetView>
  </sheetViews>
  <sheetFormatPr defaultRowHeight="15" x14ac:dyDescent="0.25"/>
  <sheetData>
    <row r="1" spans="1:5" x14ac:dyDescent="0.25">
      <c r="A1" t="s">
        <v>174</v>
      </c>
    </row>
    <row r="2" spans="1:5" x14ac:dyDescent="0.25">
      <c r="A2" t="s">
        <v>175</v>
      </c>
    </row>
    <row r="3" spans="1:5" x14ac:dyDescent="0.25">
      <c r="A3" t="s">
        <v>176</v>
      </c>
    </row>
    <row r="4" spans="1:5" x14ac:dyDescent="0.25">
      <c r="A4" t="s">
        <v>177</v>
      </c>
    </row>
    <row r="5" spans="1:5" x14ac:dyDescent="0.25">
      <c r="A5" t="s">
        <v>178</v>
      </c>
    </row>
    <row r="6" spans="1:5" x14ac:dyDescent="0.25">
      <c r="A6" t="s">
        <v>179</v>
      </c>
    </row>
    <row r="7" spans="1:5" x14ac:dyDescent="0.25">
      <c r="A7" t="s">
        <v>177</v>
      </c>
    </row>
    <row r="8" spans="1:5" x14ac:dyDescent="0.25">
      <c r="A8" t="s">
        <v>178</v>
      </c>
    </row>
    <row r="9" spans="1:5" x14ac:dyDescent="0.25">
      <c r="A9" t="s">
        <v>182</v>
      </c>
    </row>
    <row r="10" spans="1:5" x14ac:dyDescent="0.25">
      <c r="A10" t="s">
        <v>175</v>
      </c>
    </row>
    <row r="11" spans="1:5" x14ac:dyDescent="0.25">
      <c r="A11" t="s">
        <v>197</v>
      </c>
    </row>
    <row r="12" spans="1:5" x14ac:dyDescent="0.25">
      <c r="A12" t="s">
        <v>198</v>
      </c>
    </row>
    <row r="13" spans="1:5" x14ac:dyDescent="0.25">
      <c r="E13" t="s">
        <v>80</v>
      </c>
    </row>
    <row r="14" spans="1:5" x14ac:dyDescent="0.25">
      <c r="A14" t="s">
        <v>199</v>
      </c>
    </row>
    <row r="15" spans="1:5" x14ac:dyDescent="0.25">
      <c r="A15" t="s">
        <v>213</v>
      </c>
    </row>
    <row r="16" spans="1:5" x14ac:dyDescent="0.25">
      <c r="A16" t="s">
        <v>214</v>
      </c>
    </row>
    <row r="17" spans="1:6" x14ac:dyDescent="0.25">
      <c r="A17" t="s">
        <v>217</v>
      </c>
    </row>
    <row r="18" spans="1:6" x14ac:dyDescent="0.25">
      <c r="F18" t="s">
        <v>169</v>
      </c>
    </row>
    <row r="19" spans="1:6" x14ac:dyDescent="0.25">
      <c r="A19" t="s">
        <v>235</v>
      </c>
    </row>
    <row r="20" spans="1:6" x14ac:dyDescent="0.25">
      <c r="A20" t="s">
        <v>325</v>
      </c>
    </row>
    <row r="21" spans="1:6" x14ac:dyDescent="0.25">
      <c r="A21" t="s">
        <v>334</v>
      </c>
    </row>
    <row r="22" spans="1:6" x14ac:dyDescent="0.25">
      <c r="A22" t="s">
        <v>176</v>
      </c>
    </row>
    <row r="23" spans="1:6" x14ac:dyDescent="0.25">
      <c r="A23" t="s">
        <v>341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7"/>
  <sheetViews>
    <sheetView workbookViewId="0">
      <selection activeCell="D54" sqref="D54"/>
    </sheetView>
  </sheetViews>
  <sheetFormatPr defaultRowHeight="15" x14ac:dyDescent="0.25"/>
  <cols>
    <col min="3" max="3" width="11.7109375" bestFit="1" customWidth="1"/>
    <col min="4" max="4" width="16" bestFit="1" customWidth="1"/>
    <col min="7" max="7" width="16" bestFit="1" customWidth="1"/>
    <col min="8" max="8" width="14.7109375" bestFit="1" customWidth="1"/>
  </cols>
  <sheetData>
    <row r="1" spans="1:8" x14ac:dyDescent="0.25">
      <c r="A1" t="s">
        <v>17</v>
      </c>
    </row>
    <row r="2" spans="1:8" x14ac:dyDescent="0.25">
      <c r="A2" t="s">
        <v>18</v>
      </c>
      <c r="B2" t="s">
        <v>19</v>
      </c>
      <c r="C2" t="s">
        <v>20</v>
      </c>
      <c r="D2" t="s">
        <v>21</v>
      </c>
    </row>
    <row r="3" spans="1:8" hidden="1" x14ac:dyDescent="0.25">
      <c r="A3" t="s">
        <v>6</v>
      </c>
      <c r="C3">
        <v>-2018</v>
      </c>
    </row>
    <row r="4" spans="1:8" hidden="1" x14ac:dyDescent="0.25">
      <c r="A4">
        <v>1</v>
      </c>
      <c r="B4" t="s">
        <v>11</v>
      </c>
      <c r="C4" s="4">
        <v>143964709</v>
      </c>
      <c r="D4" t="s">
        <v>22</v>
      </c>
      <c r="G4" t="s">
        <v>22</v>
      </c>
      <c r="H4" s="5">
        <f>SUM(C4:C31)</f>
        <v>723417673</v>
      </c>
    </row>
    <row r="5" spans="1:8" hidden="1" x14ac:dyDescent="0.25">
      <c r="A5">
        <v>2</v>
      </c>
      <c r="B5" t="s">
        <v>23</v>
      </c>
      <c r="C5" s="4">
        <v>82293457</v>
      </c>
      <c r="D5" t="s">
        <v>24</v>
      </c>
      <c r="G5" t="s">
        <v>24</v>
      </c>
      <c r="H5" s="5">
        <v>194072933</v>
      </c>
    </row>
    <row r="6" spans="1:8" hidden="1" x14ac:dyDescent="0.25">
      <c r="A6">
        <v>3</v>
      </c>
      <c r="B6" t="s">
        <v>25</v>
      </c>
      <c r="C6" s="4">
        <v>66573504</v>
      </c>
      <c r="D6" t="s">
        <v>26</v>
      </c>
      <c r="G6" t="s">
        <v>26</v>
      </c>
      <c r="H6" s="5">
        <v>104461178</v>
      </c>
    </row>
    <row r="7" spans="1:8" hidden="1" x14ac:dyDescent="0.25">
      <c r="A7">
        <v>4</v>
      </c>
      <c r="B7" t="s">
        <v>27</v>
      </c>
      <c r="C7" s="4">
        <v>65233271</v>
      </c>
      <c r="D7" t="s">
        <v>24</v>
      </c>
      <c r="G7" t="s">
        <v>29</v>
      </c>
      <c r="H7" s="5">
        <v>151825435</v>
      </c>
    </row>
    <row r="8" spans="1:8" x14ac:dyDescent="0.25">
      <c r="A8">
        <v>5</v>
      </c>
      <c r="B8" t="s">
        <v>28</v>
      </c>
      <c r="C8" s="4">
        <v>59290969</v>
      </c>
      <c r="D8" t="s">
        <v>29</v>
      </c>
    </row>
    <row r="9" spans="1:8" x14ac:dyDescent="0.25">
      <c r="A9">
        <v>6</v>
      </c>
      <c r="B9" t="s">
        <v>30</v>
      </c>
      <c r="C9" s="4">
        <v>46397452</v>
      </c>
      <c r="D9" t="s">
        <v>29</v>
      </c>
    </row>
    <row r="10" spans="1:8" hidden="1" x14ac:dyDescent="0.25">
      <c r="A10">
        <v>7</v>
      </c>
      <c r="B10" t="s">
        <v>31</v>
      </c>
      <c r="C10" s="4">
        <v>44009214</v>
      </c>
      <c r="D10" t="s">
        <v>22</v>
      </c>
    </row>
    <row r="11" spans="1:8" hidden="1" x14ac:dyDescent="0.25">
      <c r="A11">
        <v>8</v>
      </c>
      <c r="B11" t="s">
        <v>32</v>
      </c>
      <c r="C11" s="4">
        <v>38104832</v>
      </c>
      <c r="D11" t="s">
        <v>22</v>
      </c>
    </row>
    <row r="12" spans="1:8" hidden="1" x14ac:dyDescent="0.25">
      <c r="A12">
        <v>9</v>
      </c>
      <c r="B12" t="s">
        <v>33</v>
      </c>
      <c r="C12" s="4">
        <v>19580634</v>
      </c>
      <c r="D12" t="s">
        <v>22</v>
      </c>
    </row>
    <row r="13" spans="1:8" hidden="1" x14ac:dyDescent="0.25">
      <c r="A13">
        <v>10</v>
      </c>
      <c r="B13" t="s">
        <v>34</v>
      </c>
      <c r="C13" s="4">
        <v>17084459</v>
      </c>
      <c r="D13" t="s">
        <v>24</v>
      </c>
    </row>
    <row r="14" spans="1:8" hidden="1" x14ac:dyDescent="0.25">
      <c r="A14">
        <v>11</v>
      </c>
      <c r="B14" t="s">
        <v>35</v>
      </c>
      <c r="C14" s="4">
        <v>11498519</v>
      </c>
      <c r="D14" t="s">
        <v>24</v>
      </c>
    </row>
    <row r="15" spans="1:8" x14ac:dyDescent="0.25">
      <c r="A15">
        <v>12</v>
      </c>
      <c r="B15" t="s">
        <v>36</v>
      </c>
      <c r="C15" s="4">
        <v>11142161</v>
      </c>
      <c r="D15" t="s">
        <v>29</v>
      </c>
    </row>
    <row r="16" spans="1:8" hidden="1" x14ac:dyDescent="0.25">
      <c r="A16">
        <v>13</v>
      </c>
      <c r="B16" t="s">
        <v>37</v>
      </c>
      <c r="C16" s="4">
        <v>10625250</v>
      </c>
      <c r="D16" t="s">
        <v>22</v>
      </c>
    </row>
    <row r="17" spans="1:4" x14ac:dyDescent="0.25">
      <c r="A17">
        <v>14</v>
      </c>
      <c r="B17" t="s">
        <v>38</v>
      </c>
      <c r="C17" s="4">
        <v>10291196</v>
      </c>
      <c r="D17" t="s">
        <v>29</v>
      </c>
    </row>
    <row r="18" spans="1:4" hidden="1" x14ac:dyDescent="0.25">
      <c r="A18">
        <v>15</v>
      </c>
      <c r="B18" t="s">
        <v>39</v>
      </c>
      <c r="C18" s="4">
        <v>9982709</v>
      </c>
      <c r="D18" t="s">
        <v>26</v>
      </c>
    </row>
    <row r="19" spans="1:4" hidden="1" x14ac:dyDescent="0.25">
      <c r="A19">
        <v>16</v>
      </c>
      <c r="B19" t="s">
        <v>40</v>
      </c>
      <c r="C19" s="4">
        <v>9688847</v>
      </c>
      <c r="D19" t="s">
        <v>22</v>
      </c>
    </row>
    <row r="20" spans="1:4" hidden="1" x14ac:dyDescent="0.25">
      <c r="A20">
        <v>17</v>
      </c>
      <c r="B20" t="s">
        <v>41</v>
      </c>
      <c r="C20" s="4">
        <v>9452113</v>
      </c>
      <c r="D20" t="s">
        <v>22</v>
      </c>
    </row>
    <row r="21" spans="1:4" x14ac:dyDescent="0.25">
      <c r="A21">
        <v>18</v>
      </c>
      <c r="B21" t="s">
        <v>42</v>
      </c>
      <c r="C21" s="4">
        <v>8762027</v>
      </c>
      <c r="D21" t="s">
        <v>29</v>
      </c>
    </row>
    <row r="22" spans="1:4" hidden="1" x14ac:dyDescent="0.25">
      <c r="A22">
        <v>19</v>
      </c>
      <c r="B22" t="s">
        <v>43</v>
      </c>
      <c r="C22" s="4">
        <v>8751820</v>
      </c>
      <c r="D22" t="s">
        <v>24</v>
      </c>
    </row>
    <row r="23" spans="1:4" hidden="1" x14ac:dyDescent="0.25">
      <c r="A23">
        <v>20</v>
      </c>
      <c r="B23" t="s">
        <v>44</v>
      </c>
      <c r="C23" s="4">
        <v>8544034</v>
      </c>
      <c r="D23" t="s">
        <v>24</v>
      </c>
    </row>
    <row r="24" spans="1:4" hidden="1" x14ac:dyDescent="0.25">
      <c r="A24">
        <v>21</v>
      </c>
      <c r="B24" t="s">
        <v>45</v>
      </c>
      <c r="C24" s="4">
        <v>7036848</v>
      </c>
      <c r="D24" t="s">
        <v>22</v>
      </c>
    </row>
    <row r="25" spans="1:4" hidden="1" x14ac:dyDescent="0.25">
      <c r="A25">
        <v>22</v>
      </c>
      <c r="B25" t="s">
        <v>46</v>
      </c>
      <c r="C25" s="4">
        <v>5754356</v>
      </c>
      <c r="D25" t="s">
        <v>26</v>
      </c>
    </row>
    <row r="26" spans="1:4" hidden="1" x14ac:dyDescent="0.25">
      <c r="A26">
        <v>23</v>
      </c>
      <c r="B26" t="s">
        <v>47</v>
      </c>
      <c r="C26" s="4">
        <v>5542517</v>
      </c>
      <c r="D26" t="s">
        <v>26</v>
      </c>
    </row>
    <row r="27" spans="1:4" hidden="1" x14ac:dyDescent="0.25">
      <c r="A27">
        <v>24</v>
      </c>
      <c r="B27" t="s">
        <v>48</v>
      </c>
      <c r="C27" s="4">
        <v>5449816</v>
      </c>
      <c r="D27" t="s">
        <v>22</v>
      </c>
    </row>
    <row r="28" spans="1:4" hidden="1" x14ac:dyDescent="0.25">
      <c r="A28">
        <v>25</v>
      </c>
      <c r="B28" t="s">
        <v>49</v>
      </c>
      <c r="C28" s="4">
        <v>5353363</v>
      </c>
      <c r="D28" t="s">
        <v>26</v>
      </c>
    </row>
    <row r="29" spans="1:4" hidden="1" x14ac:dyDescent="0.25">
      <c r="A29">
        <v>26</v>
      </c>
      <c r="B29" t="s">
        <v>50</v>
      </c>
      <c r="C29" s="4">
        <v>4803748</v>
      </c>
      <c r="D29" t="s">
        <v>26</v>
      </c>
    </row>
    <row r="30" spans="1:4" x14ac:dyDescent="0.25">
      <c r="A30">
        <v>27</v>
      </c>
      <c r="B30" t="s">
        <v>51</v>
      </c>
      <c r="C30" s="4">
        <v>4164783</v>
      </c>
      <c r="D30" t="s">
        <v>29</v>
      </c>
    </row>
    <row r="31" spans="1:4" hidden="1" x14ac:dyDescent="0.25">
      <c r="A31">
        <v>28</v>
      </c>
      <c r="B31" t="s">
        <v>52</v>
      </c>
      <c r="C31" s="4">
        <v>4041065</v>
      </c>
      <c r="D31" t="s">
        <v>22</v>
      </c>
    </row>
    <row r="32" spans="1:4" x14ac:dyDescent="0.25">
      <c r="A32">
        <v>29</v>
      </c>
      <c r="B32" t="s">
        <v>53</v>
      </c>
      <c r="C32" s="4">
        <v>3503554</v>
      </c>
      <c r="D32" t="s">
        <v>29</v>
      </c>
    </row>
    <row r="33" spans="1:4" x14ac:dyDescent="0.25">
      <c r="A33">
        <v>30</v>
      </c>
      <c r="B33" t="s">
        <v>54</v>
      </c>
      <c r="C33" s="4">
        <v>2934363</v>
      </c>
      <c r="D33" t="s">
        <v>29</v>
      </c>
    </row>
    <row r="34" spans="1:4" hidden="1" x14ac:dyDescent="0.25">
      <c r="A34">
        <v>31</v>
      </c>
      <c r="B34" t="s">
        <v>55</v>
      </c>
      <c r="C34" s="4">
        <v>2876475</v>
      </c>
      <c r="D34" t="s">
        <v>26</v>
      </c>
    </row>
    <row r="35" spans="1:4" x14ac:dyDescent="0.25">
      <c r="A35">
        <v>32</v>
      </c>
      <c r="B35" t="s">
        <v>56</v>
      </c>
      <c r="C35" s="4">
        <v>2085051</v>
      </c>
      <c r="D35" t="s">
        <v>29</v>
      </c>
    </row>
    <row r="36" spans="1:4" x14ac:dyDescent="0.25">
      <c r="A36">
        <v>33</v>
      </c>
      <c r="B36" t="s">
        <v>57</v>
      </c>
      <c r="C36" s="4">
        <v>2081260</v>
      </c>
      <c r="D36" t="s">
        <v>29</v>
      </c>
    </row>
    <row r="37" spans="1:4" hidden="1" x14ac:dyDescent="0.25">
      <c r="A37">
        <v>34</v>
      </c>
      <c r="B37" t="s">
        <v>58</v>
      </c>
      <c r="C37" s="4">
        <v>1929938</v>
      </c>
      <c r="D37" t="s">
        <v>26</v>
      </c>
    </row>
    <row r="38" spans="1:4" hidden="1" x14ac:dyDescent="0.25">
      <c r="A38">
        <v>35</v>
      </c>
      <c r="B38" t="s">
        <v>59</v>
      </c>
      <c r="C38" s="4">
        <v>1306788</v>
      </c>
      <c r="D38" t="s">
        <v>26</v>
      </c>
    </row>
    <row r="39" spans="1:4" x14ac:dyDescent="0.25">
      <c r="A39">
        <v>36</v>
      </c>
      <c r="B39" t="s">
        <v>60</v>
      </c>
      <c r="C39" s="4">
        <v>629219</v>
      </c>
      <c r="D39" t="s">
        <v>29</v>
      </c>
    </row>
    <row r="40" spans="1:4" hidden="1" x14ac:dyDescent="0.25">
      <c r="A40">
        <v>37</v>
      </c>
      <c r="B40" t="s">
        <v>61</v>
      </c>
      <c r="C40" s="4">
        <v>590321</v>
      </c>
      <c r="D40" t="s">
        <v>24</v>
      </c>
    </row>
    <row r="41" spans="1:4" x14ac:dyDescent="0.25">
      <c r="A41">
        <v>38</v>
      </c>
      <c r="B41" t="s">
        <v>62</v>
      </c>
      <c r="C41" s="4">
        <v>432089</v>
      </c>
      <c r="D41" t="s">
        <v>29</v>
      </c>
    </row>
    <row r="42" spans="1:4" hidden="1" x14ac:dyDescent="0.25">
      <c r="A42">
        <v>39</v>
      </c>
      <c r="B42" t="s">
        <v>63</v>
      </c>
      <c r="C42" s="4">
        <v>337780</v>
      </c>
      <c r="D42" t="s">
        <v>26</v>
      </c>
    </row>
    <row r="43" spans="1:4" x14ac:dyDescent="0.25">
      <c r="A43">
        <v>40</v>
      </c>
      <c r="B43" t="s">
        <v>64</v>
      </c>
      <c r="C43" s="4">
        <v>76953</v>
      </c>
      <c r="D43" t="s">
        <v>29</v>
      </c>
    </row>
    <row r="44" spans="1:4" hidden="1" x14ac:dyDescent="0.25">
      <c r="A44">
        <v>41</v>
      </c>
      <c r="B44" t="s">
        <v>65</v>
      </c>
      <c r="C44" s="4">
        <v>38897</v>
      </c>
      <c r="D44" t="s">
        <v>24</v>
      </c>
    </row>
    <row r="45" spans="1:4" hidden="1" x14ac:dyDescent="0.25">
      <c r="A45">
        <v>42</v>
      </c>
      <c r="B45" t="s">
        <v>66</v>
      </c>
      <c r="C45" s="4">
        <v>38155</v>
      </c>
      <c r="D45" t="s">
        <v>24</v>
      </c>
    </row>
    <row r="46" spans="1:4" x14ac:dyDescent="0.25">
      <c r="A46">
        <v>43</v>
      </c>
      <c r="B46" t="s">
        <v>67</v>
      </c>
      <c r="C46" s="4">
        <v>33557</v>
      </c>
      <c r="D46" t="s">
        <v>29</v>
      </c>
    </row>
    <row r="47" spans="1:4" x14ac:dyDescent="0.25">
      <c r="A47">
        <v>44</v>
      </c>
      <c r="B47" t="s">
        <v>68</v>
      </c>
      <c r="C47">
        <v>801</v>
      </c>
      <c r="D47" t="s">
        <v>29</v>
      </c>
    </row>
  </sheetData>
  <autoFilter ref="A2:H47">
    <filterColumn colId="3">
      <filters>
        <filter val="Southern Europe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G11" sqref="G11"/>
    </sheetView>
  </sheetViews>
  <sheetFormatPr defaultRowHeight="15" x14ac:dyDescent="0.25"/>
  <cols>
    <col min="1" max="1" width="14.85546875" bestFit="1" customWidth="1"/>
    <col min="2" max="2" width="29.85546875" style="29" bestFit="1" customWidth="1"/>
  </cols>
  <sheetData>
    <row r="1" spans="1:2" x14ac:dyDescent="0.25">
      <c r="A1" t="s">
        <v>19</v>
      </c>
      <c r="B1" s="29" t="s">
        <v>267</v>
      </c>
    </row>
    <row r="2" spans="1:2" x14ac:dyDescent="0.25">
      <c r="A2" t="s">
        <v>1</v>
      </c>
      <c r="B2" s="29" t="s">
        <v>215</v>
      </c>
    </row>
    <row r="3" spans="1:2" x14ac:dyDescent="0.25">
      <c r="A3" t="s">
        <v>2</v>
      </c>
      <c r="B3" s="29" t="s">
        <v>216</v>
      </c>
    </row>
    <row r="4" spans="1:2" x14ac:dyDescent="0.25">
      <c r="A4" t="s">
        <v>3</v>
      </c>
      <c r="B4" s="29" t="s">
        <v>408</v>
      </c>
    </row>
    <row r="5" spans="1:2" x14ac:dyDescent="0.25">
      <c r="A5" t="s">
        <v>4</v>
      </c>
      <c r="B5" s="29">
        <v>126451398</v>
      </c>
    </row>
    <row r="6" spans="1:2" x14ac:dyDescent="0.25">
      <c r="A6" t="s">
        <v>7</v>
      </c>
      <c r="B6" s="29">
        <v>31381992</v>
      </c>
    </row>
    <row r="7" spans="1:2" x14ac:dyDescent="0.25">
      <c r="A7" t="s">
        <v>8</v>
      </c>
      <c r="B7" s="29">
        <v>25248140</v>
      </c>
    </row>
    <row r="8" spans="1:2" x14ac:dyDescent="0.25">
      <c r="A8" t="s">
        <v>13</v>
      </c>
      <c r="B8" s="29" t="s">
        <v>108</v>
      </c>
    </row>
    <row r="9" spans="1:2" x14ac:dyDescent="0.25">
      <c r="A9" t="s">
        <v>9</v>
      </c>
      <c r="B9" s="29">
        <v>4613241</v>
      </c>
    </row>
    <row r="10" spans="1:2" x14ac:dyDescent="0.25">
      <c r="A10" t="s">
        <v>12</v>
      </c>
      <c r="B10" s="29">
        <v>28571770</v>
      </c>
    </row>
    <row r="11" spans="1:2" x14ac:dyDescent="0.25">
      <c r="A11" t="s">
        <v>14</v>
      </c>
      <c r="B11" s="29">
        <v>6072475</v>
      </c>
    </row>
    <row r="12" spans="1:2" x14ac:dyDescent="0.25">
      <c r="A12" t="s">
        <v>10</v>
      </c>
      <c r="B12" s="29">
        <v>2314307</v>
      </c>
    </row>
    <row r="13" spans="1:2" x14ac:dyDescent="0.25">
      <c r="A13" t="s">
        <v>0</v>
      </c>
      <c r="B13" s="29">
        <v>1410942</v>
      </c>
    </row>
    <row r="14" spans="1:2" x14ac:dyDescent="0.25">
      <c r="A14" t="s">
        <v>5</v>
      </c>
      <c r="B14" s="29">
        <v>2875422</v>
      </c>
    </row>
    <row r="15" spans="1:2" x14ac:dyDescent="0.25">
      <c r="A15" t="s">
        <v>11</v>
      </c>
      <c r="B15" s="29">
        <v>142257519</v>
      </c>
    </row>
    <row r="16" spans="1:2" x14ac:dyDescent="0.25">
      <c r="A16" t="s">
        <v>31</v>
      </c>
      <c r="B16" s="29">
        <v>44033874</v>
      </c>
    </row>
    <row r="17" spans="1:2" x14ac:dyDescent="0.25">
      <c r="A17" t="s">
        <v>81</v>
      </c>
      <c r="B17" s="29">
        <v>65648100</v>
      </c>
    </row>
    <row r="18" spans="1:2" x14ac:dyDescent="0.25">
      <c r="A18" t="s">
        <v>39</v>
      </c>
      <c r="B18" s="29">
        <v>9960487</v>
      </c>
    </row>
    <row r="19" spans="1:2" x14ac:dyDescent="0.25">
      <c r="A19" t="s">
        <v>28</v>
      </c>
      <c r="B19" s="29">
        <v>62137802</v>
      </c>
    </row>
    <row r="20" spans="1:2" x14ac:dyDescent="0.25">
      <c r="A20" t="s">
        <v>30</v>
      </c>
      <c r="B20" s="29">
        <v>48958159</v>
      </c>
    </row>
    <row r="21" spans="1:2" x14ac:dyDescent="0.25">
      <c r="A21" t="s">
        <v>270</v>
      </c>
      <c r="B21" s="29">
        <v>44293293</v>
      </c>
    </row>
    <row r="22" spans="1:2" x14ac:dyDescent="0.25">
      <c r="A22" t="s">
        <v>271</v>
      </c>
      <c r="B22" s="29">
        <v>207353391</v>
      </c>
    </row>
    <row r="23" spans="1:2" x14ac:dyDescent="0.25">
      <c r="A23" t="s">
        <v>272</v>
      </c>
      <c r="B23" s="29">
        <v>47698524</v>
      </c>
    </row>
    <row r="24" spans="1:2" x14ac:dyDescent="0.25">
      <c r="A24" t="s">
        <v>273</v>
      </c>
      <c r="B24" s="29">
        <v>35623680</v>
      </c>
    </row>
    <row r="25" spans="1:2" x14ac:dyDescent="0.25">
      <c r="A25" t="s">
        <v>274</v>
      </c>
      <c r="B25" s="29">
        <v>326625791</v>
      </c>
    </row>
    <row r="26" spans="1:2" x14ac:dyDescent="0.25">
      <c r="A26" t="s">
        <v>276</v>
      </c>
      <c r="B26" s="29">
        <v>83301151</v>
      </c>
    </row>
    <row r="27" spans="1:2" x14ac:dyDescent="0.25">
      <c r="A27" t="s">
        <v>277</v>
      </c>
      <c r="B27" s="29">
        <v>13805084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1"/>
  <sheetViews>
    <sheetView topLeftCell="A7" zoomScale="70" zoomScaleNormal="70" workbookViewId="0">
      <selection activeCell="F41" sqref="F41"/>
    </sheetView>
  </sheetViews>
  <sheetFormatPr defaultRowHeight="15" x14ac:dyDescent="0.25"/>
  <cols>
    <col min="1" max="1" width="28.85546875" bestFit="1" customWidth="1"/>
    <col min="2" max="2" width="28.85546875" style="31" bestFit="1" customWidth="1"/>
    <col min="3" max="3" width="28.85546875" customWidth="1"/>
    <col min="4" max="4" width="12.28515625" customWidth="1"/>
    <col min="5" max="5" width="29.7109375" customWidth="1"/>
    <col min="6" max="6" width="28.28515625" bestFit="1" customWidth="1"/>
    <col min="7" max="7" width="29.42578125" customWidth="1"/>
    <col min="8" max="8" width="21" bestFit="1" customWidth="1"/>
  </cols>
  <sheetData>
    <row r="1" spans="1:8" x14ac:dyDescent="0.25">
      <c r="A1" t="s">
        <v>19</v>
      </c>
      <c r="B1" s="31" t="s">
        <v>267</v>
      </c>
      <c r="C1" t="s">
        <v>409</v>
      </c>
      <c r="D1" t="s">
        <v>20</v>
      </c>
      <c r="E1" t="s">
        <v>414</v>
      </c>
      <c r="F1" t="s">
        <v>415</v>
      </c>
      <c r="G1" t="s">
        <v>316</v>
      </c>
      <c r="H1" t="s">
        <v>266</v>
      </c>
    </row>
    <row r="2" spans="1:8" x14ac:dyDescent="0.25">
      <c r="A2" s="3" t="s">
        <v>413</v>
      </c>
    </row>
    <row r="3" spans="1:8" x14ac:dyDescent="0.25">
      <c r="A3" t="s">
        <v>1</v>
      </c>
      <c r="B3" s="31" t="s">
        <v>215</v>
      </c>
      <c r="C3" t="s">
        <v>410</v>
      </c>
      <c r="D3">
        <v>236597418</v>
      </c>
      <c r="E3">
        <v>8.5749999999999993</v>
      </c>
      <c r="F3">
        <v>20288228.593499999</v>
      </c>
      <c r="G3">
        <v>9.6999999999999993</v>
      </c>
      <c r="H3">
        <v>64905406.105999991</v>
      </c>
    </row>
    <row r="4" spans="1:8" x14ac:dyDescent="0.25">
      <c r="A4" t="s">
        <v>1</v>
      </c>
      <c r="C4" t="s">
        <v>411</v>
      </c>
      <c r="D4">
        <v>176266230</v>
      </c>
      <c r="E4">
        <v>5.1120000000000001</v>
      </c>
      <c r="F4">
        <v>9010729.6776000001</v>
      </c>
    </row>
    <row r="5" spans="1:8" s="30" customFormat="1" x14ac:dyDescent="0.25">
      <c r="A5" t="s">
        <v>1</v>
      </c>
      <c r="B5" s="32"/>
      <c r="C5" s="30" t="s">
        <v>412</v>
      </c>
      <c r="D5" s="30">
        <v>669127898</v>
      </c>
      <c r="E5" s="30">
        <v>3.8339999999999996</v>
      </c>
      <c r="F5" s="30">
        <v>6758047.2581999991</v>
      </c>
    </row>
    <row r="11" spans="1:8" x14ac:dyDescent="0.25">
      <c r="A11" t="s">
        <v>2</v>
      </c>
      <c r="B11" s="31" t="s">
        <v>216</v>
      </c>
      <c r="C11" t="s">
        <v>410</v>
      </c>
      <c r="D11">
        <v>350485869</v>
      </c>
      <c r="E11">
        <v>13.67</v>
      </c>
      <c r="F11">
        <v>47911418.292299993</v>
      </c>
      <c r="G11">
        <v>8.2159999999999993</v>
      </c>
      <c r="H11">
        <v>43263753.480479993</v>
      </c>
    </row>
    <row r="12" spans="1:8" x14ac:dyDescent="0.25">
      <c r="A12" t="s">
        <v>2</v>
      </c>
      <c r="C12" t="s">
        <v>411</v>
      </c>
      <c r="D12">
        <v>229463223</v>
      </c>
      <c r="E12">
        <v>7.16</v>
      </c>
      <c r="F12">
        <v>16429566.766800001</v>
      </c>
    </row>
    <row r="13" spans="1:8" x14ac:dyDescent="0.25">
      <c r="A13" t="s">
        <v>2</v>
      </c>
      <c r="C13" s="30" t="s">
        <v>412</v>
      </c>
      <c r="D13">
        <v>526579278</v>
      </c>
      <c r="E13">
        <v>5.37</v>
      </c>
      <c r="F13">
        <v>12322175.075099999</v>
      </c>
    </row>
    <row r="17" spans="1:8" x14ac:dyDescent="0.25">
      <c r="A17" t="s">
        <v>3</v>
      </c>
      <c r="B17" s="31" t="s">
        <v>82</v>
      </c>
      <c r="C17" t="s">
        <v>410</v>
      </c>
      <c r="D17">
        <v>65200649</v>
      </c>
      <c r="E17">
        <v>12.51</v>
      </c>
      <c r="F17">
        <v>8156601.1898999996</v>
      </c>
      <c r="G17">
        <v>8.48</v>
      </c>
      <c r="H17">
        <v>9368228.5264000017</v>
      </c>
    </row>
    <row r="18" spans="1:8" x14ac:dyDescent="0.25">
      <c r="A18" t="s">
        <v>3</v>
      </c>
      <c r="C18" t="s">
        <v>411</v>
      </c>
      <c r="D18">
        <v>44276052</v>
      </c>
      <c r="E18">
        <v>6.7959999999999994</v>
      </c>
      <c r="F18">
        <v>3009000.4939199998</v>
      </c>
    </row>
    <row r="19" spans="1:8" x14ac:dyDescent="0.25">
      <c r="A19" t="s">
        <v>3</v>
      </c>
      <c r="C19" s="30" t="s">
        <v>412</v>
      </c>
      <c r="D19">
        <v>110474393</v>
      </c>
      <c r="E19">
        <v>5.0699999999999994</v>
      </c>
      <c r="F19">
        <v>2244795.8363999999</v>
      </c>
    </row>
    <row r="23" spans="1:8" x14ac:dyDescent="0.25">
      <c r="A23" t="s">
        <v>4</v>
      </c>
      <c r="B23" s="31">
        <v>126451398</v>
      </c>
      <c r="C23" t="s">
        <v>410</v>
      </c>
      <c r="D23">
        <v>16236656</v>
      </c>
      <c r="E23">
        <v>6.42</v>
      </c>
      <c r="F23">
        <v>1042393.3152</v>
      </c>
      <c r="G23">
        <v>7.5</v>
      </c>
      <c r="H23">
        <v>3556207.8</v>
      </c>
    </row>
    <row r="24" spans="1:8" x14ac:dyDescent="0.25">
      <c r="A24" t="s">
        <v>4</v>
      </c>
      <c r="C24" t="s">
        <v>411</v>
      </c>
      <c r="D24">
        <v>12195989</v>
      </c>
      <c r="E24">
        <v>3.8560000000000003</v>
      </c>
      <c r="F24">
        <v>470277.33584000007</v>
      </c>
    </row>
    <row r="25" spans="1:8" x14ac:dyDescent="0.25">
      <c r="A25" t="s">
        <v>4</v>
      </c>
      <c r="C25" s="30" t="s">
        <v>412</v>
      </c>
      <c r="D25">
        <v>47416104</v>
      </c>
      <c r="E25">
        <v>2.8920000000000003</v>
      </c>
      <c r="F25">
        <v>352708.00188</v>
      </c>
    </row>
    <row r="30" spans="1:8" x14ac:dyDescent="0.25">
      <c r="A30" t="s">
        <v>7</v>
      </c>
      <c r="B30" s="31">
        <v>31381992</v>
      </c>
      <c r="C30" t="s">
        <v>410</v>
      </c>
      <c r="D30">
        <v>8732075</v>
      </c>
      <c r="E30">
        <v>13.914999999999999</v>
      </c>
      <c r="F30">
        <v>1215068.2362500001</v>
      </c>
      <c r="G30">
        <v>8.1999999999999993</v>
      </c>
      <c r="H30">
        <v>1055033.4019999998</v>
      </c>
    </row>
    <row r="31" spans="1:8" x14ac:dyDescent="0.25">
      <c r="A31" t="s">
        <v>7</v>
      </c>
      <c r="C31" t="s">
        <v>411</v>
      </c>
      <c r="D31">
        <v>5276792</v>
      </c>
      <c r="E31">
        <v>6.7240000000000002</v>
      </c>
      <c r="F31">
        <v>354811.49407999997</v>
      </c>
    </row>
    <row r="32" spans="1:8" x14ac:dyDescent="0.25">
      <c r="A32" t="s">
        <v>7</v>
      </c>
      <c r="C32" s="30" t="s">
        <v>412</v>
      </c>
      <c r="D32">
        <v>12866261</v>
      </c>
      <c r="E32">
        <v>5.0429999999999993</v>
      </c>
      <c r="F32">
        <v>266108.62055999995</v>
      </c>
    </row>
    <row r="36" spans="1:8" x14ac:dyDescent="0.25">
      <c r="A36" t="s">
        <v>8</v>
      </c>
      <c r="B36" s="31">
        <v>25248140</v>
      </c>
      <c r="C36" t="s">
        <v>410</v>
      </c>
      <c r="D36">
        <v>5247730</v>
      </c>
      <c r="E36">
        <v>10.39</v>
      </c>
      <c r="F36">
        <v>545239.147</v>
      </c>
      <c r="G36">
        <v>8.8559999999999999</v>
      </c>
      <c r="H36">
        <v>990146.85120000003</v>
      </c>
    </row>
    <row r="37" spans="1:8" x14ac:dyDescent="0.25">
      <c r="A37" t="s">
        <v>8</v>
      </c>
      <c r="C37" t="s">
        <v>411</v>
      </c>
      <c r="D37">
        <v>3937265</v>
      </c>
      <c r="E37">
        <v>6.2360000000000007</v>
      </c>
      <c r="F37">
        <v>245527.84540000002</v>
      </c>
    </row>
    <row r="38" spans="1:8" x14ac:dyDescent="0.25">
      <c r="A38" t="s">
        <v>8</v>
      </c>
      <c r="C38" s="30" t="s">
        <v>412</v>
      </c>
      <c r="D38">
        <v>11180520</v>
      </c>
      <c r="E38">
        <v>4.6769999999999996</v>
      </c>
      <c r="F38">
        <v>184145.88404999996</v>
      </c>
    </row>
    <row r="43" spans="1:8" x14ac:dyDescent="0.25">
      <c r="A43" t="s">
        <v>13</v>
      </c>
      <c r="B43" s="31" t="s">
        <v>108</v>
      </c>
      <c r="C43" t="s">
        <v>410</v>
      </c>
      <c r="D43">
        <v>755013</v>
      </c>
      <c r="E43">
        <v>6.41</v>
      </c>
      <c r="F43">
        <v>48396.333299999998</v>
      </c>
      <c r="G43">
        <v>10.106</v>
      </c>
      <c r="H43">
        <v>300704.13105999999</v>
      </c>
    </row>
    <row r="44" spans="1:8" x14ac:dyDescent="0.25">
      <c r="A44" t="s">
        <v>13</v>
      </c>
      <c r="C44" t="s">
        <v>411</v>
      </c>
      <c r="D44">
        <v>975332</v>
      </c>
      <c r="E44">
        <v>6.6239999999999997</v>
      </c>
      <c r="F44">
        <v>64605.991679999999</v>
      </c>
    </row>
    <row r="45" spans="1:8" x14ac:dyDescent="0.25">
      <c r="A45" t="s">
        <v>13</v>
      </c>
      <c r="C45" s="30" t="s">
        <v>412</v>
      </c>
      <c r="D45">
        <v>2975501</v>
      </c>
      <c r="E45">
        <v>4.968</v>
      </c>
      <c r="F45">
        <v>48454.493760000005</v>
      </c>
    </row>
    <row r="50" spans="1:8" x14ac:dyDescent="0.25">
      <c r="A50" s="3" t="s">
        <v>15</v>
      </c>
    </row>
    <row r="51" spans="1:8" x14ac:dyDescent="0.25">
      <c r="A51" t="s">
        <v>9</v>
      </c>
      <c r="B51" s="31">
        <v>4613241</v>
      </c>
      <c r="C51" t="s">
        <v>410</v>
      </c>
      <c r="D51">
        <v>1030826</v>
      </c>
      <c r="E51">
        <v>15</v>
      </c>
      <c r="F51">
        <v>154623.9</v>
      </c>
      <c r="G51">
        <v>8.76</v>
      </c>
      <c r="H51">
        <v>131388.0864</v>
      </c>
    </row>
    <row r="52" spans="1:8" x14ac:dyDescent="0.25">
      <c r="A52" t="s">
        <v>9</v>
      </c>
      <c r="C52" t="s">
        <v>411</v>
      </c>
      <c r="D52">
        <v>639971</v>
      </c>
      <c r="E52">
        <v>7.476</v>
      </c>
      <c r="F52">
        <v>47844.231959999997</v>
      </c>
    </row>
    <row r="53" spans="1:8" x14ac:dyDescent="0.25">
      <c r="A53" t="s">
        <v>9</v>
      </c>
      <c r="C53" s="30" t="s">
        <v>412</v>
      </c>
      <c r="D53">
        <v>1499864</v>
      </c>
      <c r="E53">
        <v>5.6070000000000002</v>
      </c>
      <c r="F53">
        <v>35883.173970000003</v>
      </c>
    </row>
    <row r="57" spans="1:8" x14ac:dyDescent="0.25">
      <c r="A57" t="s">
        <v>12</v>
      </c>
      <c r="B57" s="31">
        <v>28571770</v>
      </c>
      <c r="C57" t="s">
        <v>410</v>
      </c>
      <c r="D57">
        <v>7457209</v>
      </c>
      <c r="E57">
        <v>13.05</v>
      </c>
      <c r="F57">
        <v>973165.77450000006</v>
      </c>
      <c r="G57">
        <v>9.4</v>
      </c>
      <c r="H57">
        <v>1258556.976</v>
      </c>
    </row>
    <row r="58" spans="1:8" x14ac:dyDescent="0.25">
      <c r="A58" t="s">
        <v>12</v>
      </c>
      <c r="C58" t="s">
        <v>411</v>
      </c>
      <c r="D58">
        <v>5304879</v>
      </c>
      <c r="E58">
        <v>7.4279999999999999</v>
      </c>
      <c r="F58">
        <v>394046.41211999999</v>
      </c>
    </row>
    <row r="59" spans="1:8" x14ac:dyDescent="0.25">
      <c r="A59" t="s">
        <v>12</v>
      </c>
      <c r="C59" s="30" t="s">
        <v>412</v>
      </c>
      <c r="D59">
        <v>13388904</v>
      </c>
      <c r="E59">
        <v>5.5710000000000006</v>
      </c>
      <c r="F59">
        <v>295534.80909</v>
      </c>
    </row>
    <row r="63" spans="1:8" x14ac:dyDescent="0.25">
      <c r="A63" t="s">
        <v>14</v>
      </c>
      <c r="B63" s="31">
        <v>6072475</v>
      </c>
      <c r="C63" t="s">
        <v>410</v>
      </c>
      <c r="D63">
        <v>1275568</v>
      </c>
      <c r="E63">
        <v>10.5</v>
      </c>
      <c r="F63">
        <v>133934.64000000001</v>
      </c>
      <c r="G63">
        <v>12.228</v>
      </c>
      <c r="H63">
        <v>454021.23791999999</v>
      </c>
    </row>
    <row r="64" spans="1:8" x14ac:dyDescent="0.25">
      <c r="A64" t="s">
        <v>14</v>
      </c>
      <c r="C64" t="s">
        <v>411</v>
      </c>
      <c r="D64">
        <v>820387</v>
      </c>
      <c r="E64">
        <v>5.4</v>
      </c>
      <c r="F64">
        <v>44300.898000000008</v>
      </c>
    </row>
    <row r="65" spans="1:8" x14ac:dyDescent="0.25">
      <c r="A65" t="s">
        <v>14</v>
      </c>
      <c r="C65" s="30" t="s">
        <v>412</v>
      </c>
      <c r="D65">
        <v>3712964</v>
      </c>
      <c r="E65">
        <v>4.0529999999999999</v>
      </c>
      <c r="F65">
        <v>33250.285109999997</v>
      </c>
    </row>
    <row r="69" spans="1:8" x14ac:dyDescent="0.25">
      <c r="A69" t="s">
        <v>10</v>
      </c>
      <c r="B69" s="31">
        <v>2314307</v>
      </c>
      <c r="C69" t="s">
        <v>410</v>
      </c>
      <c r="D69">
        <v>292273</v>
      </c>
      <c r="E69">
        <v>6.3150000000000004</v>
      </c>
      <c r="F69">
        <v>18457.039950000002</v>
      </c>
      <c r="G69">
        <v>14.118000000000002</v>
      </c>
      <c r="H69">
        <v>230648.16606000002</v>
      </c>
    </row>
    <row r="70" spans="1:8" x14ac:dyDescent="0.25">
      <c r="A70" t="s">
        <v>10</v>
      </c>
      <c r="C70" t="s">
        <v>411</v>
      </c>
      <c r="D70">
        <v>285914</v>
      </c>
      <c r="E70">
        <v>4.9400000000000004</v>
      </c>
      <c r="F70">
        <v>14124.151600000001</v>
      </c>
    </row>
    <row r="71" spans="1:8" x14ac:dyDescent="0.25">
      <c r="A71" t="s">
        <v>10</v>
      </c>
      <c r="C71" s="30" t="s">
        <v>412</v>
      </c>
      <c r="D71">
        <v>1633717</v>
      </c>
      <c r="E71">
        <v>3.7050000000000001</v>
      </c>
      <c r="F71">
        <v>10593.113700000002</v>
      </c>
    </row>
    <row r="75" spans="1:8" x14ac:dyDescent="0.25">
      <c r="A75" t="s">
        <v>0</v>
      </c>
      <c r="B75" s="31">
        <v>1410942</v>
      </c>
      <c r="C75" t="s">
        <v>410</v>
      </c>
      <c r="D75">
        <v>269162</v>
      </c>
      <c r="E75">
        <v>9.5399999999999991</v>
      </c>
      <c r="F75">
        <v>25678.054799999998</v>
      </c>
      <c r="G75">
        <v>11.208</v>
      </c>
      <c r="H75">
        <v>88618.069440000007</v>
      </c>
    </row>
    <row r="76" spans="1:8" x14ac:dyDescent="0.25">
      <c r="A76" t="s">
        <v>0</v>
      </c>
      <c r="C76" t="s">
        <v>411</v>
      </c>
      <c r="D76">
        <v>220787</v>
      </c>
      <c r="E76">
        <v>6.26</v>
      </c>
      <c r="F76">
        <v>13821.266199999998</v>
      </c>
    </row>
    <row r="77" spans="1:8" x14ac:dyDescent="0.25">
      <c r="A77" t="s">
        <v>0</v>
      </c>
      <c r="C77" s="30" t="s">
        <v>412</v>
      </c>
      <c r="D77">
        <v>790668</v>
      </c>
      <c r="E77">
        <v>4.6950000000000003</v>
      </c>
      <c r="F77">
        <v>10365.94965</v>
      </c>
    </row>
    <row r="81" spans="1:8" x14ac:dyDescent="0.25">
      <c r="A81" t="s">
        <v>5</v>
      </c>
      <c r="B81" s="31">
        <v>2875422</v>
      </c>
      <c r="C81" t="s">
        <v>410</v>
      </c>
      <c r="D81">
        <v>719363</v>
      </c>
      <c r="E81">
        <v>12.51</v>
      </c>
      <c r="F81">
        <v>89992.311299999987</v>
      </c>
      <c r="G81">
        <v>10.454000000000001</v>
      </c>
      <c r="H81">
        <v>157118.60208000001</v>
      </c>
    </row>
    <row r="82" spans="1:8" x14ac:dyDescent="0.25">
      <c r="A82" t="s">
        <v>5</v>
      </c>
      <c r="C82" t="s">
        <v>411</v>
      </c>
      <c r="D82">
        <v>434151</v>
      </c>
      <c r="E82">
        <v>6.04</v>
      </c>
      <c r="F82">
        <v>26222.720400000002</v>
      </c>
    </row>
    <row r="83" spans="1:8" x14ac:dyDescent="0.25">
      <c r="A83" t="s">
        <v>5</v>
      </c>
      <c r="C83" s="30" t="s">
        <v>412</v>
      </c>
      <c r="D83">
        <v>1502952</v>
      </c>
      <c r="E83">
        <v>4.53</v>
      </c>
      <c r="F83">
        <v>19667.040300000001</v>
      </c>
    </row>
    <row r="87" spans="1:8" x14ac:dyDescent="0.25">
      <c r="A87" s="3" t="s">
        <v>16</v>
      </c>
    </row>
    <row r="88" spans="1:8" x14ac:dyDescent="0.25">
      <c r="A88" t="s">
        <v>22</v>
      </c>
    </row>
    <row r="89" spans="1:8" x14ac:dyDescent="0.25">
      <c r="A89" t="s">
        <v>11</v>
      </c>
      <c r="B89" s="31">
        <v>142257519</v>
      </c>
      <c r="C89" t="s">
        <v>410</v>
      </c>
      <c r="D89">
        <v>24352817</v>
      </c>
      <c r="E89">
        <v>8.56</v>
      </c>
      <c r="F89">
        <v>2084601.1352000001</v>
      </c>
      <c r="G89">
        <v>8.9420000000000002</v>
      </c>
      <c r="H89">
        <v>5686797.1521800002</v>
      </c>
    </row>
    <row r="90" spans="1:8" x14ac:dyDescent="0.25">
      <c r="A90" t="s">
        <v>11</v>
      </c>
      <c r="C90" t="s">
        <v>411</v>
      </c>
      <c r="D90">
        <v>13454071</v>
      </c>
      <c r="E90">
        <v>3.7840000000000003</v>
      </c>
      <c r="F90">
        <v>509102.04664000007</v>
      </c>
    </row>
    <row r="91" spans="1:8" x14ac:dyDescent="0.25">
      <c r="A91" t="s">
        <v>11</v>
      </c>
      <c r="C91" s="30" t="s">
        <v>412</v>
      </c>
      <c r="D91">
        <v>63596479</v>
      </c>
      <c r="E91">
        <v>2.8380000000000001</v>
      </c>
      <c r="F91">
        <v>381826.53498000005</v>
      </c>
    </row>
    <row r="95" spans="1:8" x14ac:dyDescent="0.25">
      <c r="A95" t="s">
        <v>31</v>
      </c>
      <c r="B95" s="31">
        <v>44033874</v>
      </c>
      <c r="C95" t="s">
        <v>410</v>
      </c>
      <c r="D95">
        <v>6937738</v>
      </c>
      <c r="E95">
        <v>7.88</v>
      </c>
      <c r="F95">
        <v>546693.75439999998</v>
      </c>
      <c r="G95">
        <v>8.8579999999999988</v>
      </c>
      <c r="H95">
        <v>538131.91509999987</v>
      </c>
    </row>
    <row r="96" spans="1:8" x14ac:dyDescent="0.25">
      <c r="A96" t="s">
        <v>31</v>
      </c>
      <c r="C96" t="s">
        <v>411</v>
      </c>
      <c r="D96">
        <v>4340995</v>
      </c>
      <c r="E96">
        <v>3.944</v>
      </c>
      <c r="F96">
        <v>171208.84280000001</v>
      </c>
    </row>
    <row r="97" spans="1:8" x14ac:dyDescent="0.25">
      <c r="A97" t="s">
        <v>31</v>
      </c>
      <c r="C97" s="30" t="s">
        <v>412</v>
      </c>
      <c r="D97">
        <v>19500536</v>
      </c>
      <c r="E97">
        <v>2.9579999999999997</v>
      </c>
      <c r="F97">
        <v>128406.63209999999</v>
      </c>
    </row>
    <row r="101" spans="1:8" x14ac:dyDescent="0.25">
      <c r="A101" t="s">
        <v>26</v>
      </c>
    </row>
    <row r="102" spans="1:8" x14ac:dyDescent="0.25">
      <c r="A102" t="s">
        <v>81</v>
      </c>
      <c r="B102" s="31">
        <v>65648100</v>
      </c>
      <c r="C102" t="s">
        <v>410</v>
      </c>
      <c r="D102">
        <v>11351486</v>
      </c>
      <c r="E102">
        <v>8.7650000000000006</v>
      </c>
      <c r="F102">
        <v>994957.74790000007</v>
      </c>
      <c r="G102">
        <v>8.11</v>
      </c>
      <c r="H102">
        <v>2129766.5323000001</v>
      </c>
    </row>
    <row r="103" spans="1:8" x14ac:dyDescent="0.25">
      <c r="A103" t="s">
        <v>81</v>
      </c>
      <c r="C103" t="s">
        <v>411</v>
      </c>
      <c r="D103">
        <v>7709154</v>
      </c>
      <c r="E103">
        <v>4.76</v>
      </c>
      <c r="F103">
        <v>366955.7304</v>
      </c>
    </row>
    <row r="104" spans="1:8" x14ac:dyDescent="0.25">
      <c r="A104" t="s">
        <v>81</v>
      </c>
      <c r="C104" s="30" t="s">
        <v>412</v>
      </c>
      <c r="D104">
        <v>26260993</v>
      </c>
      <c r="E104">
        <v>3.57</v>
      </c>
      <c r="F104">
        <v>275216.7978</v>
      </c>
    </row>
    <row r="108" spans="1:8" x14ac:dyDescent="0.25">
      <c r="A108" t="s">
        <v>39</v>
      </c>
      <c r="B108" s="31">
        <v>9960487</v>
      </c>
      <c r="C108" t="s">
        <v>410</v>
      </c>
      <c r="D108">
        <v>1735837</v>
      </c>
      <c r="E108">
        <v>8.7149999999999999</v>
      </c>
      <c r="F108">
        <v>151278.19455000001</v>
      </c>
      <c r="G108">
        <v>7.8840000000000012</v>
      </c>
      <c r="H108">
        <v>309578.66280000005</v>
      </c>
    </row>
    <row r="109" spans="1:8" x14ac:dyDescent="0.25">
      <c r="A109" t="s">
        <v>39</v>
      </c>
      <c r="C109" t="s">
        <v>411</v>
      </c>
      <c r="D109">
        <v>1126996</v>
      </c>
      <c r="E109">
        <v>4.524</v>
      </c>
      <c r="F109">
        <v>50985.299039999998</v>
      </c>
    </row>
    <row r="110" spans="1:8" x14ac:dyDescent="0.25">
      <c r="A110" t="s">
        <v>39</v>
      </c>
      <c r="C110" s="30" t="s">
        <v>412</v>
      </c>
      <c r="D110">
        <v>3926670</v>
      </c>
      <c r="E110">
        <v>3.3930000000000002</v>
      </c>
      <c r="F110">
        <v>38238.974280000002</v>
      </c>
    </row>
    <row r="114" spans="1:8" x14ac:dyDescent="0.25">
      <c r="A114" t="s">
        <v>29</v>
      </c>
    </row>
    <row r="115" spans="1:8" x14ac:dyDescent="0.25">
      <c r="A115" t="s">
        <v>28</v>
      </c>
      <c r="B115" s="31">
        <v>62137802</v>
      </c>
      <c r="C115" t="s">
        <v>410</v>
      </c>
      <c r="D115">
        <v>8481183</v>
      </c>
      <c r="E115">
        <v>6.8250000000000002</v>
      </c>
      <c r="F115">
        <v>578840.73975000007</v>
      </c>
      <c r="G115">
        <v>8.4319999999999986</v>
      </c>
      <c r="H115">
        <v>2209114.4359999998</v>
      </c>
    </row>
    <row r="116" spans="1:8" x14ac:dyDescent="0.25">
      <c r="A116" t="s">
        <v>28</v>
      </c>
      <c r="C116" t="s">
        <v>411</v>
      </c>
      <c r="D116">
        <v>6005082</v>
      </c>
      <c r="E116">
        <v>3.8639999999999999</v>
      </c>
      <c r="F116">
        <v>232036.36847999998</v>
      </c>
    </row>
    <row r="117" spans="1:8" x14ac:dyDescent="0.25">
      <c r="A117" t="s">
        <v>28</v>
      </c>
      <c r="C117" s="30" t="s">
        <v>412</v>
      </c>
      <c r="D117">
        <v>26199175</v>
      </c>
      <c r="E117">
        <v>2.8980000000000001</v>
      </c>
      <c r="F117">
        <v>174027.27635999999</v>
      </c>
    </row>
    <row r="121" spans="1:8" x14ac:dyDescent="0.25">
      <c r="A121" t="s">
        <v>30</v>
      </c>
      <c r="B121" s="31">
        <v>48958159</v>
      </c>
      <c r="C121" t="s">
        <v>410</v>
      </c>
      <c r="D121">
        <v>7529312</v>
      </c>
      <c r="E121">
        <v>7.69</v>
      </c>
      <c r="F121">
        <v>579004.09279999998</v>
      </c>
      <c r="G121">
        <v>8.9819999999999993</v>
      </c>
      <c r="H121">
        <v>1975064.6446199999</v>
      </c>
    </row>
    <row r="122" spans="1:8" x14ac:dyDescent="0.25">
      <c r="A122" t="s">
        <v>30</v>
      </c>
      <c r="C122" t="s">
        <v>411</v>
      </c>
      <c r="D122">
        <v>4691781</v>
      </c>
      <c r="E122">
        <v>3.8319999999999999</v>
      </c>
      <c r="F122">
        <v>179789.04791999998</v>
      </c>
    </row>
    <row r="123" spans="1:8" x14ac:dyDescent="0.25">
      <c r="A123" t="s">
        <v>30</v>
      </c>
      <c r="C123" s="30" t="s">
        <v>412</v>
      </c>
      <c r="D123">
        <v>21989141</v>
      </c>
      <c r="E123">
        <v>2.8739999999999997</v>
      </c>
      <c r="F123">
        <v>134841.78593999997</v>
      </c>
    </row>
    <row r="127" spans="1:8" x14ac:dyDescent="0.25">
      <c r="A127" s="3" t="s">
        <v>228</v>
      </c>
    </row>
    <row r="128" spans="1:8" x14ac:dyDescent="0.25">
      <c r="A128" t="s">
        <v>268</v>
      </c>
    </row>
    <row r="129" spans="1:8" x14ac:dyDescent="0.25">
      <c r="A129" t="s">
        <v>270</v>
      </c>
      <c r="B129" s="31">
        <v>44293293</v>
      </c>
      <c r="C129" t="s">
        <v>410</v>
      </c>
      <c r="D129">
        <v>10891623</v>
      </c>
      <c r="E129">
        <v>12.295</v>
      </c>
      <c r="F129">
        <v>1339125.04785</v>
      </c>
      <c r="G129">
        <v>7.8760000000000003</v>
      </c>
      <c r="H129">
        <v>1373667.96688</v>
      </c>
    </row>
    <row r="130" spans="1:8" x14ac:dyDescent="0.25">
      <c r="A130" t="s">
        <v>270</v>
      </c>
      <c r="C130" t="s">
        <v>411</v>
      </c>
      <c r="D130">
        <v>6767503</v>
      </c>
      <c r="E130">
        <v>6.1119999999999992</v>
      </c>
      <c r="F130">
        <v>413629.78335999994</v>
      </c>
    </row>
    <row r="131" spans="1:8" x14ac:dyDescent="0.25">
      <c r="A131" t="s">
        <v>270</v>
      </c>
      <c r="C131" s="30" t="s">
        <v>412</v>
      </c>
      <c r="D131">
        <v>17441188</v>
      </c>
      <c r="E131">
        <v>4.5839999999999996</v>
      </c>
      <c r="F131">
        <v>310222.33751999994</v>
      </c>
    </row>
    <row r="135" spans="1:8" x14ac:dyDescent="0.25">
      <c r="A135" t="s">
        <v>271</v>
      </c>
      <c r="B135" s="31">
        <v>207353391</v>
      </c>
      <c r="C135" t="s">
        <v>410</v>
      </c>
      <c r="D135">
        <v>46296623</v>
      </c>
      <c r="E135">
        <v>11.164999999999999</v>
      </c>
      <c r="F135">
        <v>5169017.9579499997</v>
      </c>
      <c r="G135">
        <v>8.7720000000000002</v>
      </c>
      <c r="H135">
        <v>7978153.5615600003</v>
      </c>
    </row>
    <row r="136" spans="1:8" x14ac:dyDescent="0.25">
      <c r="A136" t="s">
        <v>271</v>
      </c>
      <c r="C136" t="s">
        <v>411</v>
      </c>
      <c r="D136">
        <v>33933343</v>
      </c>
      <c r="E136">
        <v>6.5439999999999996</v>
      </c>
      <c r="F136">
        <v>2220597.9659199999</v>
      </c>
    </row>
    <row r="137" spans="1:8" x14ac:dyDescent="0.25">
      <c r="A137" t="s">
        <v>271</v>
      </c>
      <c r="C137" s="30" t="s">
        <v>412</v>
      </c>
      <c r="D137">
        <v>90950223</v>
      </c>
      <c r="E137">
        <v>4.9079999999999995</v>
      </c>
      <c r="F137">
        <v>1665448.4744399998</v>
      </c>
    </row>
    <row r="141" spans="1:8" x14ac:dyDescent="0.25">
      <c r="A141" t="s">
        <v>272</v>
      </c>
      <c r="B141" s="31">
        <v>47698524</v>
      </c>
      <c r="C141" t="s">
        <v>410</v>
      </c>
      <c r="D141">
        <v>11551941</v>
      </c>
      <c r="E141">
        <v>12.11</v>
      </c>
      <c r="F141">
        <v>1398940.0551</v>
      </c>
      <c r="G141">
        <v>8.3819999999999997</v>
      </c>
      <c r="H141">
        <v>1675571.6069400001</v>
      </c>
    </row>
    <row r="142" spans="1:8" x14ac:dyDescent="0.25">
      <c r="A142" t="s">
        <v>272</v>
      </c>
      <c r="C142" t="s">
        <v>411</v>
      </c>
      <c r="D142">
        <v>8229347</v>
      </c>
      <c r="E142">
        <v>6.9</v>
      </c>
      <c r="F142">
        <v>567824.94300000009</v>
      </c>
    </row>
    <row r="143" spans="1:8" x14ac:dyDescent="0.25">
      <c r="A143" t="s">
        <v>272</v>
      </c>
      <c r="C143" s="30" t="s">
        <v>412</v>
      </c>
      <c r="D143">
        <v>19990117</v>
      </c>
      <c r="E143">
        <v>5.1749999999999998</v>
      </c>
      <c r="F143">
        <v>425868.70725000004</v>
      </c>
    </row>
    <row r="147" spans="1:8" x14ac:dyDescent="0.25">
      <c r="A147" t="s">
        <v>269</v>
      </c>
    </row>
    <row r="148" spans="1:8" x14ac:dyDescent="0.25">
      <c r="A148" t="s">
        <v>273</v>
      </c>
      <c r="B148" s="31">
        <v>35623680</v>
      </c>
      <c r="C148" t="s">
        <v>410</v>
      </c>
      <c r="D148">
        <v>5499303</v>
      </c>
      <c r="E148">
        <v>7.72</v>
      </c>
      <c r="F148">
        <v>424546.19159999996</v>
      </c>
      <c r="G148">
        <v>8</v>
      </c>
      <c r="H148">
        <v>1139784.08</v>
      </c>
    </row>
    <row r="149" spans="1:8" x14ac:dyDescent="0.25">
      <c r="A149" t="s">
        <v>273</v>
      </c>
      <c r="C149" t="s">
        <v>411</v>
      </c>
      <c r="D149">
        <v>4220249</v>
      </c>
      <c r="E149">
        <v>4.74</v>
      </c>
      <c r="F149">
        <v>200039.80260000002</v>
      </c>
    </row>
    <row r="150" spans="1:8" x14ac:dyDescent="0.25">
      <c r="A150" t="s">
        <v>273</v>
      </c>
      <c r="C150" s="30" t="s">
        <v>412</v>
      </c>
      <c r="D150">
        <v>14247301</v>
      </c>
      <c r="E150">
        <v>3.5550000000000002</v>
      </c>
      <c r="F150">
        <v>150029.85195000001</v>
      </c>
    </row>
    <row r="155" spans="1:8" x14ac:dyDescent="0.25">
      <c r="A155" t="s">
        <v>274</v>
      </c>
      <c r="B155" s="31">
        <v>326625791</v>
      </c>
      <c r="C155" t="s">
        <v>410</v>
      </c>
      <c r="D155">
        <v>61175933</v>
      </c>
      <c r="E155">
        <v>9.3650000000000002</v>
      </c>
      <c r="F155">
        <v>5729126.1254499992</v>
      </c>
      <c r="G155">
        <v>7.89</v>
      </c>
      <c r="H155">
        <v>10167304.2708</v>
      </c>
    </row>
    <row r="156" spans="1:8" x14ac:dyDescent="0.25">
      <c r="A156" t="s">
        <v>274</v>
      </c>
      <c r="C156" t="s">
        <v>411</v>
      </c>
      <c r="D156">
        <v>43351778</v>
      </c>
      <c r="E156">
        <v>5.3079999999999998</v>
      </c>
      <c r="F156">
        <v>2301112.3762399997</v>
      </c>
    </row>
    <row r="157" spans="1:8" x14ac:dyDescent="0.25">
      <c r="A157" t="s">
        <v>274</v>
      </c>
      <c r="C157" s="30" t="s">
        <v>412</v>
      </c>
      <c r="D157">
        <v>128863172</v>
      </c>
      <c r="E157">
        <v>3.9809999999999999</v>
      </c>
      <c r="F157">
        <v>1725834.2821799999</v>
      </c>
    </row>
    <row r="161" spans="1:8" x14ac:dyDescent="0.25">
      <c r="A161" s="3" t="s">
        <v>275</v>
      </c>
    </row>
    <row r="163" spans="1:8" x14ac:dyDescent="0.25">
      <c r="A163" t="s">
        <v>276</v>
      </c>
      <c r="B163" s="31">
        <v>83301151</v>
      </c>
      <c r="C163" t="s">
        <v>410</v>
      </c>
      <c r="D163">
        <v>34766992</v>
      </c>
      <c r="E163">
        <v>20.87</v>
      </c>
      <c r="F163">
        <v>7255871.2304000007</v>
      </c>
      <c r="G163">
        <v>6.1059999999999999</v>
      </c>
      <c r="H163">
        <v>1552751.40368</v>
      </c>
    </row>
    <row r="164" spans="1:8" x14ac:dyDescent="0.25">
      <c r="A164" t="s">
        <v>276</v>
      </c>
      <c r="C164" t="s">
        <v>411</v>
      </c>
      <c r="D164">
        <v>17879825</v>
      </c>
      <c r="E164">
        <v>8.5840000000000014</v>
      </c>
      <c r="F164">
        <v>1534804.1780000001</v>
      </c>
    </row>
    <row r="165" spans="1:8" x14ac:dyDescent="0.25">
      <c r="A165" t="s">
        <v>276</v>
      </c>
      <c r="C165" s="30" t="s">
        <v>412</v>
      </c>
      <c r="D165">
        <v>25429928</v>
      </c>
      <c r="E165">
        <v>6.4380000000000006</v>
      </c>
      <c r="F165">
        <v>1151103.1335</v>
      </c>
    </row>
    <row r="169" spans="1:8" x14ac:dyDescent="0.25">
      <c r="A169" t="s">
        <v>277</v>
      </c>
      <c r="B169" s="31">
        <v>13805084</v>
      </c>
      <c r="C169" t="s">
        <v>410</v>
      </c>
      <c r="D169">
        <v>5369580</v>
      </c>
      <c r="E169">
        <v>19.45</v>
      </c>
      <c r="F169">
        <v>1044383.31</v>
      </c>
      <c r="G169">
        <v>6.38</v>
      </c>
      <c r="H169">
        <v>280975.71039999998</v>
      </c>
    </row>
    <row r="170" spans="1:8" x14ac:dyDescent="0.25">
      <c r="A170" t="s">
        <v>277</v>
      </c>
      <c r="C170" t="s">
        <v>411</v>
      </c>
      <c r="D170">
        <v>2826075</v>
      </c>
      <c r="E170">
        <v>8.1879999999999988</v>
      </c>
      <c r="F170">
        <v>231399.02099999998</v>
      </c>
    </row>
    <row r="171" spans="1:8" x14ac:dyDescent="0.25">
      <c r="A171" t="s">
        <v>277</v>
      </c>
      <c r="C171" s="30" t="s">
        <v>412</v>
      </c>
      <c r="D171">
        <v>4404008</v>
      </c>
      <c r="E171">
        <v>6.1409999999999991</v>
      </c>
      <c r="F171">
        <v>173549.26574999999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B2" sqref="B2"/>
    </sheetView>
  </sheetViews>
  <sheetFormatPr defaultRowHeight="15" x14ac:dyDescent="0.25"/>
  <cols>
    <col min="1" max="1" width="14.85546875" bestFit="1" customWidth="1"/>
    <col min="2" max="2" width="34.140625" bestFit="1" customWidth="1"/>
    <col min="3" max="3" width="27" bestFit="1" customWidth="1"/>
    <col min="4" max="4" width="37.7109375" bestFit="1" customWidth="1"/>
    <col min="5" max="5" width="16.5703125" style="28" customWidth="1"/>
  </cols>
  <sheetData>
    <row r="1" spans="1:5" s="3" customFormat="1" x14ac:dyDescent="0.25">
      <c r="A1" s="3" t="s">
        <v>19</v>
      </c>
      <c r="B1" s="3" t="s">
        <v>317</v>
      </c>
      <c r="C1" s="3" t="s">
        <v>171</v>
      </c>
      <c r="D1" s="3" t="s">
        <v>318</v>
      </c>
      <c r="E1" s="33" t="s">
        <v>319</v>
      </c>
    </row>
    <row r="2" spans="1:5" x14ac:dyDescent="0.25">
      <c r="A2" t="s">
        <v>1</v>
      </c>
      <c r="B2">
        <v>15550552.10331</v>
      </c>
      <c r="C2">
        <v>25</v>
      </c>
      <c r="D2">
        <v>388763802.58275002</v>
      </c>
      <c r="E2" s="28">
        <v>116629140774.82501</v>
      </c>
    </row>
    <row r="3" spans="1:5" x14ac:dyDescent="0.25">
      <c r="A3" t="s">
        <v>2</v>
      </c>
      <c r="B3">
        <v>36277884.221249998</v>
      </c>
      <c r="C3">
        <v>6</v>
      </c>
      <c r="D3">
        <v>217667305.32749999</v>
      </c>
      <c r="E3" s="28">
        <v>65300191598.25</v>
      </c>
    </row>
    <row r="4" spans="1:5" x14ac:dyDescent="0.25">
      <c r="A4" t="s">
        <v>3</v>
      </c>
      <c r="B4">
        <v>6335050.9653900005</v>
      </c>
      <c r="C4">
        <v>7</v>
      </c>
      <c r="D4">
        <v>44345356.757730007</v>
      </c>
      <c r="E4" s="28">
        <v>13303607027.319002</v>
      </c>
    </row>
    <row r="5" spans="1:5" x14ac:dyDescent="0.25">
      <c r="A5" t="s">
        <v>4</v>
      </c>
      <c r="B5">
        <v>873904.65948000015</v>
      </c>
      <c r="C5">
        <v>21</v>
      </c>
      <c r="D5">
        <v>18351997.849080004</v>
      </c>
      <c r="E5" s="28">
        <v>5505599354.7240009</v>
      </c>
    </row>
    <row r="6" spans="1:5" x14ac:dyDescent="0.25">
      <c r="A6" t="s">
        <v>7</v>
      </c>
      <c r="B6">
        <v>873642.73868499999</v>
      </c>
      <c r="C6">
        <v>20</v>
      </c>
      <c r="D6">
        <v>17472854.773699999</v>
      </c>
      <c r="E6" s="28">
        <v>5241856432.1099997</v>
      </c>
    </row>
    <row r="7" spans="1:5" x14ac:dyDescent="0.25">
      <c r="A7" t="s">
        <v>8</v>
      </c>
      <c r="B7">
        <v>456765.45755000005</v>
      </c>
      <c r="C7">
        <v>44</v>
      </c>
      <c r="D7">
        <v>20097680.132200003</v>
      </c>
      <c r="E7" s="28">
        <v>6029304039.6600008</v>
      </c>
    </row>
    <row r="8" spans="1:5" x14ac:dyDescent="0.25">
      <c r="A8" t="s">
        <v>13</v>
      </c>
      <c r="B8">
        <v>72652.660410000011</v>
      </c>
      <c r="C8">
        <v>45</v>
      </c>
      <c r="D8">
        <v>3269369.7184500005</v>
      </c>
      <c r="E8" s="28">
        <v>980810915.53500009</v>
      </c>
    </row>
    <row r="9" spans="1:5" x14ac:dyDescent="0.25">
      <c r="A9" t="s">
        <v>9</v>
      </c>
      <c r="B9">
        <v>113195.12396999999</v>
      </c>
      <c r="C9">
        <v>51</v>
      </c>
      <c r="D9">
        <v>5772951.3224699991</v>
      </c>
      <c r="E9" s="28">
        <v>1731885396.7409997</v>
      </c>
    </row>
    <row r="10" spans="1:5" x14ac:dyDescent="0.25">
      <c r="A10" t="s">
        <v>12</v>
      </c>
      <c r="B10">
        <v>782117.69634000002</v>
      </c>
      <c r="C10">
        <v>50</v>
      </c>
      <c r="D10">
        <v>39105884.817000002</v>
      </c>
      <c r="E10" s="28">
        <v>11731765445.1</v>
      </c>
    </row>
    <row r="11" spans="1:5" x14ac:dyDescent="0.25">
      <c r="A11" t="s">
        <v>14</v>
      </c>
      <c r="B11">
        <v>100192.99350000001</v>
      </c>
      <c r="C11">
        <v>52</v>
      </c>
      <c r="D11">
        <v>5210035.6620000005</v>
      </c>
      <c r="E11" s="28">
        <v>1563010698.6000001</v>
      </c>
    </row>
    <row r="12" spans="1:5" x14ac:dyDescent="0.25">
      <c r="A12" t="s">
        <v>10</v>
      </c>
      <c r="B12">
        <v>19821.633675000005</v>
      </c>
      <c r="C12">
        <v>54</v>
      </c>
      <c r="D12">
        <v>1070368.2184500003</v>
      </c>
      <c r="E12" s="28">
        <v>321110465.53500009</v>
      </c>
    </row>
    <row r="13" spans="1:5" x14ac:dyDescent="0.25">
      <c r="A13" t="s">
        <v>0</v>
      </c>
      <c r="B13">
        <v>23204.977049999998</v>
      </c>
      <c r="C13">
        <v>53</v>
      </c>
      <c r="D13">
        <v>1229863.7836499999</v>
      </c>
      <c r="E13" s="28">
        <v>368959135.09499997</v>
      </c>
    </row>
    <row r="14" spans="1:5" x14ac:dyDescent="0.25">
      <c r="A14" t="s">
        <v>5</v>
      </c>
      <c r="B14">
        <v>64663.195949999994</v>
      </c>
      <c r="C14">
        <v>39</v>
      </c>
      <c r="D14">
        <v>2521864.6420499999</v>
      </c>
      <c r="E14" s="28">
        <v>756559392.61500001</v>
      </c>
    </row>
    <row r="15" spans="1:5" x14ac:dyDescent="0.25">
      <c r="A15" t="s">
        <v>11</v>
      </c>
      <c r="B15">
        <v>1424127.1025800002</v>
      </c>
      <c r="C15">
        <v>100</v>
      </c>
      <c r="D15">
        <v>142412710.25800002</v>
      </c>
      <c r="E15" s="28">
        <v>42723813077.400002</v>
      </c>
    </row>
    <row r="16" spans="1:5" x14ac:dyDescent="0.25">
      <c r="A16" t="s">
        <v>31</v>
      </c>
      <c r="B16">
        <v>401753.50929999998</v>
      </c>
      <c r="C16">
        <v>123</v>
      </c>
      <c r="D16">
        <v>49415681.6439</v>
      </c>
      <c r="E16" s="28">
        <v>14824704493.170002</v>
      </c>
    </row>
    <row r="17" spans="1:5" x14ac:dyDescent="0.25">
      <c r="A17" t="s">
        <v>81</v>
      </c>
      <c r="B17">
        <v>772695.67174999998</v>
      </c>
      <c r="C17">
        <v>100</v>
      </c>
      <c r="D17">
        <v>77269567.174999997</v>
      </c>
      <c r="E17" s="28">
        <v>23180870152.5</v>
      </c>
    </row>
    <row r="18" spans="1:5" x14ac:dyDescent="0.25">
      <c r="A18" t="s">
        <v>39</v>
      </c>
      <c r="B18">
        <v>113878.071555</v>
      </c>
      <c r="C18">
        <v>100</v>
      </c>
      <c r="D18">
        <v>11387807.1555</v>
      </c>
      <c r="E18" s="28">
        <v>3416342146.6499996</v>
      </c>
    </row>
    <row r="19" spans="1:5" x14ac:dyDescent="0.25">
      <c r="A19" t="s">
        <v>28</v>
      </c>
      <c r="B19">
        <v>463447.64623499999</v>
      </c>
      <c r="C19">
        <v>75</v>
      </c>
      <c r="D19">
        <v>34758573.467625</v>
      </c>
      <c r="E19" s="28">
        <v>10427572040.287498</v>
      </c>
    </row>
    <row r="20" spans="1:5" x14ac:dyDescent="0.25">
      <c r="A20" t="s">
        <v>30</v>
      </c>
      <c r="B20">
        <v>424343.83233999996</v>
      </c>
      <c r="C20">
        <v>50</v>
      </c>
      <c r="D20">
        <v>21217191.616999999</v>
      </c>
      <c r="E20" s="28">
        <v>6365157485.0999994</v>
      </c>
    </row>
    <row r="21" spans="1:5" x14ac:dyDescent="0.25">
      <c r="A21" t="s">
        <v>270</v>
      </c>
      <c r="B21">
        <v>979784.86144499993</v>
      </c>
      <c r="C21">
        <v>50</v>
      </c>
      <c r="D21">
        <v>48989243.072249994</v>
      </c>
      <c r="E21" s="28">
        <v>14696772921.674999</v>
      </c>
    </row>
    <row r="22" spans="1:5" x14ac:dyDescent="0.25">
      <c r="A22" t="s">
        <v>271</v>
      </c>
      <c r="B22">
        <v>4249957.4534149999</v>
      </c>
      <c r="C22">
        <v>40</v>
      </c>
      <c r="D22">
        <v>169998298.13659999</v>
      </c>
      <c r="E22" s="28">
        <v>50999489440.979996</v>
      </c>
    </row>
    <row r="23" spans="1:5" x14ac:dyDescent="0.25">
      <c r="A23" t="s">
        <v>272</v>
      </c>
      <c r="B23">
        <v>1125338.7348000002</v>
      </c>
      <c r="C23">
        <v>45</v>
      </c>
      <c r="D23">
        <v>50640243.066000007</v>
      </c>
      <c r="E23" s="28">
        <v>15192072919.800001</v>
      </c>
    </row>
    <row r="24" spans="1:5" x14ac:dyDescent="0.25">
      <c r="A24" t="s">
        <v>273</v>
      </c>
      <c r="B24">
        <v>362302.94774999999</v>
      </c>
      <c r="C24">
        <v>45</v>
      </c>
      <c r="D24">
        <v>16303632.64875</v>
      </c>
      <c r="E24" s="28">
        <v>4891089794.625</v>
      </c>
    </row>
    <row r="25" spans="1:5" x14ac:dyDescent="0.25">
      <c r="A25" t="s">
        <v>274</v>
      </c>
      <c r="B25">
        <v>4590397.3449049992</v>
      </c>
      <c r="C25">
        <v>45</v>
      </c>
      <c r="D25">
        <v>206567880.52072495</v>
      </c>
      <c r="E25" s="28">
        <v>61970364156.217484</v>
      </c>
    </row>
    <row r="26" spans="1:5" x14ac:dyDescent="0.25">
      <c r="A26" t="s">
        <v>276</v>
      </c>
      <c r="B26">
        <v>4779038.7487000003</v>
      </c>
      <c r="C26">
        <v>32</v>
      </c>
      <c r="D26">
        <v>152929239.95840001</v>
      </c>
      <c r="E26" s="28">
        <v>45878771987.520004</v>
      </c>
    </row>
    <row r="27" spans="1:5" x14ac:dyDescent="0.25">
      <c r="A27" t="s">
        <v>277</v>
      </c>
      <c r="B27">
        <v>695740.92075000005</v>
      </c>
      <c r="C27">
        <v>30</v>
      </c>
      <c r="D27">
        <v>20872227.622500002</v>
      </c>
      <c r="E27" s="28">
        <v>6261668286.750001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G9" sqref="G9"/>
    </sheetView>
  </sheetViews>
  <sheetFormatPr defaultRowHeight="15" x14ac:dyDescent="0.25"/>
  <cols>
    <col min="1" max="1" width="28.28515625" bestFit="1" customWidth="1"/>
    <col min="2" max="2" width="21.42578125" bestFit="1" customWidth="1"/>
    <col min="3" max="3" width="18.85546875" bestFit="1" customWidth="1"/>
    <col min="4" max="4" width="21" bestFit="1" customWidth="1"/>
  </cols>
  <sheetData>
    <row r="1" spans="1:4" x14ac:dyDescent="0.25">
      <c r="A1" t="s">
        <v>263</v>
      </c>
      <c r="B1" t="s">
        <v>264</v>
      </c>
      <c r="C1" t="s">
        <v>265</v>
      </c>
      <c r="D1" t="s">
        <v>266</v>
      </c>
    </row>
    <row r="2" spans="1:4" x14ac:dyDescent="0.25">
      <c r="A2">
        <v>20288228.593499999</v>
      </c>
      <c r="B2">
        <v>9010729.6776000001</v>
      </c>
      <c r="C2">
        <v>6758047.2581999991</v>
      </c>
      <c r="D2">
        <v>64905406.105999991</v>
      </c>
    </row>
    <row r="3" spans="1:4" x14ac:dyDescent="0.25">
      <c r="A3">
        <v>47911418.292299993</v>
      </c>
      <c r="B3">
        <v>16429566.766800001</v>
      </c>
      <c r="C3">
        <v>12322175.075099999</v>
      </c>
      <c r="D3">
        <v>43263753.480479993</v>
      </c>
    </row>
    <row r="4" spans="1:4" x14ac:dyDescent="0.25">
      <c r="A4">
        <v>8156601.1898999996</v>
      </c>
      <c r="B4">
        <v>3009000.4939199998</v>
      </c>
      <c r="C4">
        <v>2244795.8363999999</v>
      </c>
      <c r="D4">
        <v>9368228.5264000017</v>
      </c>
    </row>
    <row r="5" spans="1:4" x14ac:dyDescent="0.25">
      <c r="A5">
        <v>1042393.3152</v>
      </c>
      <c r="B5">
        <v>470277.33584000007</v>
      </c>
      <c r="C5">
        <v>352708.00188</v>
      </c>
      <c r="D5">
        <v>3556207.8</v>
      </c>
    </row>
    <row r="6" spans="1:4" x14ac:dyDescent="0.25">
      <c r="A6">
        <v>1215068.2362500001</v>
      </c>
      <c r="B6">
        <v>354811.49407999997</v>
      </c>
      <c r="C6">
        <v>266108.62055999995</v>
      </c>
      <c r="D6">
        <v>1055033.4019999998</v>
      </c>
    </row>
    <row r="7" spans="1:4" x14ac:dyDescent="0.25">
      <c r="A7">
        <v>545239.147</v>
      </c>
      <c r="B7">
        <v>245527.84540000002</v>
      </c>
      <c r="C7">
        <v>184145.88404999996</v>
      </c>
      <c r="D7">
        <v>990146.85120000003</v>
      </c>
    </row>
    <row r="8" spans="1:4" x14ac:dyDescent="0.25">
      <c r="A8">
        <v>48396.333299999998</v>
      </c>
      <c r="B8">
        <v>64605.991679999999</v>
      </c>
      <c r="C8">
        <v>48454.493760000005</v>
      </c>
      <c r="D8">
        <v>300704.13105999999</v>
      </c>
    </row>
    <row r="9" spans="1:4" x14ac:dyDescent="0.25">
      <c r="A9">
        <v>154623.9</v>
      </c>
      <c r="B9">
        <v>47844.231959999997</v>
      </c>
      <c r="C9">
        <v>35883.173970000003</v>
      </c>
      <c r="D9">
        <v>131388.0864</v>
      </c>
    </row>
    <row r="10" spans="1:4" x14ac:dyDescent="0.25">
      <c r="A10">
        <v>973165.77450000006</v>
      </c>
      <c r="B10">
        <v>394046.41211999999</v>
      </c>
      <c r="C10">
        <v>295534.80909</v>
      </c>
      <c r="D10">
        <v>1258556.976</v>
      </c>
    </row>
    <row r="11" spans="1:4" x14ac:dyDescent="0.25">
      <c r="A11">
        <v>133934.64000000001</v>
      </c>
      <c r="B11">
        <v>44300.898000000008</v>
      </c>
      <c r="C11">
        <v>33250.285109999997</v>
      </c>
      <c r="D11">
        <v>454021.23791999999</v>
      </c>
    </row>
    <row r="12" spans="1:4" x14ac:dyDescent="0.25">
      <c r="A12">
        <v>18457.039950000002</v>
      </c>
      <c r="B12">
        <v>14124.151600000001</v>
      </c>
      <c r="C12">
        <v>10593.113700000002</v>
      </c>
      <c r="D12">
        <v>230648.16606000002</v>
      </c>
    </row>
    <row r="13" spans="1:4" x14ac:dyDescent="0.25">
      <c r="A13">
        <v>25678.054799999998</v>
      </c>
      <c r="B13">
        <v>13821.266199999998</v>
      </c>
      <c r="C13">
        <v>10365.94965</v>
      </c>
      <c r="D13">
        <v>88618.069440000007</v>
      </c>
    </row>
    <row r="14" spans="1:4" x14ac:dyDescent="0.25">
      <c r="A14">
        <v>89992.311299999987</v>
      </c>
      <c r="B14">
        <v>26222.720400000002</v>
      </c>
      <c r="C14">
        <v>19667.040300000001</v>
      </c>
      <c r="D14">
        <v>157118.60208000001</v>
      </c>
    </row>
    <row r="15" spans="1:4" x14ac:dyDescent="0.25">
      <c r="A15">
        <v>2084601.1352000001</v>
      </c>
      <c r="B15">
        <v>509102.04664000007</v>
      </c>
      <c r="C15">
        <v>381826.53498000005</v>
      </c>
      <c r="D15">
        <v>5686797.1521800002</v>
      </c>
    </row>
    <row r="16" spans="1:4" x14ac:dyDescent="0.25">
      <c r="A16">
        <v>546693.75439999998</v>
      </c>
      <c r="B16">
        <v>171208.84280000001</v>
      </c>
      <c r="C16">
        <v>128406.63209999999</v>
      </c>
      <c r="D16">
        <v>538131.91509999987</v>
      </c>
    </row>
    <row r="17" spans="1:4" x14ac:dyDescent="0.25">
      <c r="A17">
        <v>994957.74790000007</v>
      </c>
      <c r="B17">
        <v>366955.7304</v>
      </c>
      <c r="C17">
        <v>275216.7978</v>
      </c>
      <c r="D17">
        <v>2129766.5323000001</v>
      </c>
    </row>
    <row r="18" spans="1:4" x14ac:dyDescent="0.25">
      <c r="A18">
        <v>151278.19455000001</v>
      </c>
      <c r="B18">
        <v>50985.299039999998</v>
      </c>
      <c r="C18">
        <v>38238.974280000002</v>
      </c>
      <c r="D18">
        <v>309578.66280000005</v>
      </c>
    </row>
    <row r="19" spans="1:4" x14ac:dyDescent="0.25">
      <c r="A19">
        <v>578840.73975000007</v>
      </c>
      <c r="B19">
        <v>232036.36847999998</v>
      </c>
      <c r="C19">
        <v>174027.27635999999</v>
      </c>
      <c r="D19">
        <v>2209114.4359999998</v>
      </c>
    </row>
    <row r="20" spans="1:4" x14ac:dyDescent="0.25">
      <c r="A20">
        <v>579004.09279999998</v>
      </c>
      <c r="B20">
        <v>179789.04791999998</v>
      </c>
      <c r="C20">
        <v>134841.78593999997</v>
      </c>
      <c r="D20">
        <v>1975064.6446199999</v>
      </c>
    </row>
    <row r="21" spans="1:4" x14ac:dyDescent="0.25">
      <c r="A21">
        <v>1339125.04785</v>
      </c>
      <c r="B21">
        <v>413629.78335999994</v>
      </c>
      <c r="C21">
        <v>310222.33751999994</v>
      </c>
      <c r="D21">
        <v>1373667.96688</v>
      </c>
    </row>
    <row r="22" spans="1:4" x14ac:dyDescent="0.25">
      <c r="A22">
        <v>5169017.9579499997</v>
      </c>
      <c r="B22">
        <v>2220597.9659199999</v>
      </c>
      <c r="C22">
        <v>1665448.4744399998</v>
      </c>
      <c r="D22">
        <v>7978153.5615600003</v>
      </c>
    </row>
    <row r="23" spans="1:4" x14ac:dyDescent="0.25">
      <c r="A23">
        <v>1398940.0551</v>
      </c>
      <c r="B23">
        <v>567824.94300000009</v>
      </c>
      <c r="C23">
        <v>425868.70725000004</v>
      </c>
      <c r="D23">
        <v>1675571.6069400001</v>
      </c>
    </row>
    <row r="24" spans="1:4" x14ac:dyDescent="0.25">
      <c r="A24">
        <v>424546.19159999996</v>
      </c>
      <c r="B24">
        <v>200039.80260000002</v>
      </c>
      <c r="C24">
        <v>150029.85195000001</v>
      </c>
      <c r="D24">
        <v>1139784.08</v>
      </c>
    </row>
    <row r="25" spans="1:4" x14ac:dyDescent="0.25">
      <c r="A25">
        <v>5729126.1254499992</v>
      </c>
      <c r="B25">
        <v>2301112.3762399997</v>
      </c>
      <c r="C25">
        <v>1725834.2821799999</v>
      </c>
      <c r="D25">
        <v>10167304.2708</v>
      </c>
    </row>
    <row r="26" spans="1:4" x14ac:dyDescent="0.25">
      <c r="A26">
        <v>7255871.2304000007</v>
      </c>
      <c r="B26">
        <v>1534804.1780000001</v>
      </c>
      <c r="C26">
        <v>1151103.1335</v>
      </c>
      <c r="D26">
        <v>1552751.40368</v>
      </c>
    </row>
    <row r="27" spans="1:4" x14ac:dyDescent="0.25">
      <c r="A27">
        <v>1044383.31</v>
      </c>
      <c r="B27">
        <v>231399.02099999998</v>
      </c>
      <c r="C27">
        <v>173549.26574999999</v>
      </c>
      <c r="D27">
        <v>280975.71039999998</v>
      </c>
    </row>
    <row r="29" spans="1:4" x14ac:dyDescent="0.25">
      <c r="A29">
        <f>SUM(A2:A27)</f>
        <v>107899582.41094995</v>
      </c>
      <c r="B29">
        <f>SUM(B2:B27)</f>
        <v>39104364.691</v>
      </c>
      <c r="C29">
        <f>SUM(C2:C27)</f>
        <v>29316343.595819999</v>
      </c>
      <c r="D29">
        <f>SUM(D2:D27)</f>
        <v>162776493.37829998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K-12</vt:lpstr>
      <vt:lpstr>Data</vt:lpstr>
      <vt:lpstr>Primary Ed</vt:lpstr>
      <vt:lpstr>Reference</vt:lpstr>
      <vt:lpstr>Sheet2</vt:lpstr>
      <vt:lpstr>Country Population</vt:lpstr>
      <vt:lpstr>Age Groups</vt:lpstr>
      <vt:lpstr>k-12 Market</vt:lpstr>
      <vt:lpstr>Agewise Population</vt:lpstr>
      <vt:lpstr>Percentage DERIVED</vt:lpstr>
      <vt:lpstr>Tutor Market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Rajashri</dc:creator>
  <cp:lastModifiedBy>Rajashri</cp:lastModifiedBy>
  <dcterms:created xsi:type="dcterms:W3CDTF">2018-06-29T09:58:25Z</dcterms:created>
  <dcterms:modified xsi:type="dcterms:W3CDTF">2018-07-16T05:45:15Z</dcterms:modified>
</cp:coreProperties>
</file>