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codeName="ThisWorkbook"/>
  <bookViews>
    <workbookView xWindow="-105" yWindow="45" windowWidth="23070" windowHeight="9210"/>
  </bookViews>
  <sheets>
    <sheet name="01nen" sheetId="45" r:id="rId1"/>
  </sheets>
  <definedNames>
    <definedName name="_xlnm._FilterDatabase" localSheetId="0" hidden="1">'01nen'!$Y$14:$Y$19</definedName>
    <definedName name="_xlnm.Database">#REF!</definedName>
    <definedName name="_xlnm.Print_Area" localSheetId="0">'01nen'!$B$6:$X$53</definedName>
  </definedNames>
  <calcPr calcId="125725"/>
</workbook>
</file>

<file path=xl/calcChain.xml><?xml version="1.0" encoding="utf-8"?>
<calcChain xmlns="http://schemas.openxmlformats.org/spreadsheetml/2006/main">
  <c r="C6" i="45"/>
  <c r="AB9"/>
  <c r="AD9"/>
  <c r="AL9"/>
  <c r="AB10"/>
  <c r="AB11"/>
  <c r="AD11"/>
  <c r="AL11"/>
  <c r="AM11"/>
  <c r="AN11"/>
  <c r="AO11"/>
  <c r="AB12"/>
  <c r="AD12"/>
  <c r="AM12"/>
  <c r="AB13"/>
  <c r="AD13"/>
  <c r="AB14"/>
  <c r="AD14"/>
  <c r="AL14"/>
  <c r="AM14"/>
  <c r="AN14"/>
  <c r="AB15"/>
  <c r="AD15"/>
  <c r="K16"/>
  <c r="O16"/>
  <c r="Q16"/>
  <c r="AB16"/>
  <c r="AD16"/>
  <c r="AL16"/>
  <c r="K17"/>
  <c r="Q17"/>
  <c r="AB17"/>
  <c r="AD17"/>
  <c r="K18"/>
  <c r="Q18"/>
  <c r="AB18"/>
  <c r="AD18"/>
  <c r="AL18"/>
  <c r="AM18"/>
  <c r="AN18"/>
  <c r="AO18"/>
  <c r="K19"/>
  <c r="Q19"/>
  <c r="AB19"/>
  <c r="AD19"/>
  <c r="AM19"/>
  <c r="K20"/>
  <c r="Q20"/>
  <c r="AB20"/>
  <c r="AD20"/>
  <c r="AE20"/>
  <c r="AB21"/>
  <c r="AL21"/>
  <c r="AM21"/>
  <c r="AN21"/>
  <c r="AB22"/>
  <c r="K23"/>
  <c r="Q23"/>
  <c r="V23"/>
  <c r="W23"/>
  <c r="X23"/>
  <c r="AD23"/>
  <c r="K24"/>
  <c r="Q24"/>
  <c r="AM24"/>
  <c r="K25"/>
  <c r="Q25"/>
  <c r="AB25"/>
  <c r="AD25"/>
  <c r="AE25"/>
  <c r="AM25"/>
  <c r="K26"/>
  <c r="Q26"/>
  <c r="AM26"/>
  <c r="AO27"/>
  <c r="V28"/>
  <c r="W28"/>
  <c r="X28"/>
  <c r="AB28"/>
  <c r="AC28"/>
  <c r="AD28"/>
  <c r="V29"/>
  <c r="W29"/>
  <c r="X29"/>
  <c r="AB29"/>
  <c r="AC29"/>
  <c r="AD29"/>
  <c r="I30"/>
  <c r="P30"/>
  <c r="AC30"/>
  <c r="AD30"/>
  <c r="P31"/>
  <c r="AB31"/>
  <c r="AD31"/>
  <c r="I32"/>
  <c r="O32"/>
  <c r="P32"/>
  <c r="AB32"/>
  <c r="AD32"/>
  <c r="AM32"/>
  <c r="P33"/>
  <c r="W33"/>
  <c r="X33"/>
  <c r="AE33"/>
  <c r="H34"/>
  <c r="P34"/>
  <c r="W34"/>
  <c r="X34"/>
  <c r="AJ34"/>
  <c r="AM34"/>
  <c r="I35"/>
  <c r="P35"/>
  <c r="W35"/>
  <c r="AB35"/>
  <c r="AJ35"/>
  <c r="H36"/>
  <c r="P36"/>
  <c r="W36"/>
  <c r="AJ36"/>
  <c r="AM36"/>
  <c r="I37"/>
  <c r="P37"/>
  <c r="W37"/>
  <c r="AJ37"/>
  <c r="P38"/>
  <c r="W38"/>
  <c r="AJ38"/>
  <c r="W39"/>
  <c r="AJ39"/>
  <c r="AM39"/>
  <c r="P40"/>
  <c r="AJ40"/>
  <c r="AM40"/>
  <c r="W41"/>
  <c r="Z41"/>
  <c r="AA41"/>
  <c r="AJ41"/>
  <c r="W42"/>
  <c r="Z42"/>
  <c r="AA42"/>
  <c r="AJ42"/>
  <c r="W43"/>
  <c r="Z43"/>
  <c r="AA43"/>
  <c r="AJ43"/>
  <c r="W44"/>
  <c r="Z44"/>
  <c r="AA44"/>
  <c r="AJ44"/>
  <c r="W45"/>
  <c r="Z45"/>
  <c r="AA45"/>
  <c r="W46"/>
  <c r="X46"/>
  <c r="Z46"/>
  <c r="AA46"/>
  <c r="AL46"/>
  <c r="X47"/>
  <c r="AL47"/>
  <c r="X48"/>
  <c r="F49"/>
  <c r="X49"/>
  <c r="AL49"/>
  <c r="AM49"/>
  <c r="AN49"/>
  <c r="W50"/>
  <c r="X50"/>
  <c r="AL52"/>
  <c r="AL53"/>
  <c r="AL55"/>
  <c r="AM55"/>
  <c r="AN55"/>
  <c r="AL58"/>
  <c r="AM58"/>
  <c r="AN58"/>
  <c r="AO58"/>
  <c r="B59"/>
  <c r="K59"/>
  <c r="Q59"/>
  <c r="AL59"/>
  <c r="AM59"/>
  <c r="AN59"/>
  <c r="AO59"/>
  <c r="K60"/>
  <c r="Q60"/>
  <c r="AO60"/>
  <c r="K61"/>
  <c r="Q61"/>
  <c r="AL62"/>
  <c r="AM62"/>
  <c r="AN62"/>
  <c r="AO62"/>
  <c r="AL64"/>
  <c r="AM64"/>
  <c r="AN64"/>
  <c r="AO64"/>
  <c r="B65"/>
  <c r="K65"/>
  <c r="Q65"/>
  <c r="AL65"/>
  <c r="AM65"/>
  <c r="AN65"/>
  <c r="AO65"/>
  <c r="K66"/>
  <c r="Q66"/>
  <c r="AO66"/>
  <c r="K67"/>
  <c r="Q67"/>
  <c r="AO68"/>
  <c r="AL71"/>
  <c r="AM71"/>
  <c r="AN71"/>
  <c r="AO71"/>
  <c r="AL73"/>
  <c r="AM73"/>
  <c r="AN73"/>
  <c r="AO73"/>
  <c r="AO75"/>
  <c r="AL79"/>
  <c r="AM79"/>
  <c r="AN79"/>
  <c r="AO79"/>
  <c r="AO83"/>
  <c r="AI87"/>
  <c r="AJ87"/>
  <c r="AL89"/>
  <c r="AM89"/>
  <c r="AN89"/>
  <c r="AO89"/>
  <c r="AO91"/>
</calcChain>
</file>

<file path=xl/sharedStrings.xml><?xml version="1.0" encoding="utf-8"?>
<sst xmlns="http://schemas.openxmlformats.org/spreadsheetml/2006/main" count="449" uniqueCount="287">
  <si>
    <t>計</t>
  </si>
  <si>
    <t>計</t>
    <rPh sb="0" eb="1">
      <t>ケイ</t>
    </rPh>
    <phoneticPr fontId="2"/>
  </si>
  <si>
    <t>扶養控除該当</t>
  </si>
  <si>
    <t>年調給与額の算出</t>
  </si>
  <si>
    <t>生年月日</t>
  </si>
  <si>
    <t>扶養控除非該当</t>
  </si>
  <si>
    <t>階差</t>
  </si>
  <si>
    <t>住所</t>
  </si>
  <si>
    <t>老人控除対象配偶者</t>
  </si>
  <si>
    <t>最小値</t>
  </si>
  <si>
    <t>商</t>
  </si>
  <si>
    <t>余り</t>
  </si>
  <si>
    <t>同居老親等</t>
  </si>
  <si>
    <t>同居老親等以外老人</t>
  </si>
  <si>
    <t>年調給与額</t>
  </si>
  <si>
    <t>特定扶養親族</t>
  </si>
  <si>
    <t>－</t>
  </si>
  <si>
    <t>一般の障害者</t>
  </si>
  <si>
    <t>特別障害者</t>
  </si>
  <si>
    <t>%</t>
  </si>
  <si>
    <t>控除額</t>
  </si>
  <si>
    <t>給与所得控除後の金額</t>
  </si>
  <si>
    <t>同居特別障害者</t>
  </si>
  <si>
    <t>算式</t>
  </si>
  <si>
    <t>寡婦</t>
  </si>
  <si>
    <t>特別の寡婦</t>
  </si>
  <si>
    <t>寡夫</t>
  </si>
  <si>
    <t>勤労学生</t>
  </si>
  <si>
    <t>障害者等控計</t>
  </si>
  <si>
    <t>金額</t>
  </si>
  <si>
    <t>税額</t>
  </si>
  <si>
    <t>未成年者</t>
  </si>
  <si>
    <t>死亡退職</t>
  </si>
  <si>
    <t>配偶者特別控除</t>
  </si>
  <si>
    <t>所得金額</t>
  </si>
  <si>
    <t>災害者</t>
  </si>
  <si>
    <t>外国人</t>
  </si>
  <si>
    <t>生命保険控除</t>
  </si>
  <si>
    <t>配偶者控除</t>
  </si>
  <si>
    <t>扶養控除</t>
  </si>
  <si>
    <t>基礎控除</t>
  </si>
  <si>
    <t>所得控除の合計額</t>
  </si>
  <si>
    <t>課税給与所得/年税額</t>
  </si>
  <si>
    <t>住宅取得等特別控除</t>
  </si>
  <si>
    <t>超過・不足額</t>
  </si>
  <si>
    <t>所得税額速算</t>
  </si>
  <si>
    <t>課税給与所得金額</t>
  </si>
  <si>
    <t>税率</t>
  </si>
  <si>
    <t>色のみに金額などを入力する</t>
    <rPh sb="0" eb="1">
      <t>イロ</t>
    </rPh>
    <rPh sb="4" eb="6">
      <t>キンガク</t>
    </rPh>
    <rPh sb="9" eb="11">
      <t>ニュウリョク</t>
    </rPh>
    <phoneticPr fontId="2"/>
  </si>
  <si>
    <t>色は給与等の支給明細を入れない場合に金額を入れる</t>
    <rPh sb="0" eb="1">
      <t>イロ</t>
    </rPh>
    <rPh sb="2" eb="4">
      <t>キュウヨ</t>
    </rPh>
    <rPh sb="4" eb="5">
      <t>トウ</t>
    </rPh>
    <rPh sb="6" eb="8">
      <t>シキュウ</t>
    </rPh>
    <rPh sb="8" eb="10">
      <t>メイサイ</t>
    </rPh>
    <rPh sb="11" eb="12">
      <t>イ</t>
    </rPh>
    <rPh sb="15" eb="17">
      <t>バアイ</t>
    </rPh>
    <rPh sb="18" eb="20">
      <t>キンガク</t>
    </rPh>
    <rPh sb="21" eb="22">
      <t>イ</t>
    </rPh>
    <phoneticPr fontId="2"/>
  </si>
  <si>
    <t>氏名</t>
    <rPh sb="0" eb="2">
      <t>シメイ</t>
    </rPh>
    <phoneticPr fontId="2"/>
  </si>
  <si>
    <t>支払者</t>
    <phoneticPr fontId="4"/>
  </si>
  <si>
    <t>住所・所在地</t>
    <phoneticPr fontId="2"/>
  </si>
  <si>
    <t>受給者番号</t>
    <phoneticPr fontId="2"/>
  </si>
  <si>
    <t>区分</t>
    <rPh sb="0" eb="2">
      <t>クブン</t>
    </rPh>
    <phoneticPr fontId="2"/>
  </si>
  <si>
    <t>支給日</t>
    <rPh sb="0" eb="2">
      <t>シキュウ</t>
    </rPh>
    <rPh sb="2" eb="3">
      <t>ヒ</t>
    </rPh>
    <phoneticPr fontId="2"/>
  </si>
  <si>
    <t>総支給金額</t>
    <rPh sb="0" eb="1">
      <t>ソウ</t>
    </rPh>
    <rPh sb="1" eb="3">
      <t>シキュウ</t>
    </rPh>
    <rPh sb="3" eb="5">
      <t>キンガク</t>
    </rPh>
    <phoneticPr fontId="2"/>
  </si>
  <si>
    <t>社保等控除</t>
    <rPh sb="0" eb="1">
      <t>シャ</t>
    </rPh>
    <rPh sb="1" eb="2">
      <t>ホ</t>
    </rPh>
    <rPh sb="2" eb="3">
      <t>トウ</t>
    </rPh>
    <rPh sb="3" eb="5">
      <t>コウジョ</t>
    </rPh>
    <phoneticPr fontId="2"/>
  </si>
  <si>
    <t>算出税額</t>
    <rPh sb="0" eb="2">
      <t>サンシュツ</t>
    </rPh>
    <rPh sb="2" eb="4">
      <t>ゼイガク</t>
    </rPh>
    <phoneticPr fontId="2"/>
  </si>
  <si>
    <t>氏名・名称</t>
    <phoneticPr fontId="2"/>
  </si>
  <si>
    <t>フリガナ</t>
    <phoneticPr fontId="2"/>
  </si>
  <si>
    <t>給料・手当等</t>
    <rPh sb="0" eb="2">
      <t>キュウリョウ</t>
    </rPh>
    <rPh sb="3" eb="5">
      <t>テア</t>
    </rPh>
    <rPh sb="5" eb="6">
      <t>トウ</t>
    </rPh>
    <phoneticPr fontId="2"/>
  </si>
  <si>
    <t>給与総額</t>
    <phoneticPr fontId="2"/>
  </si>
  <si>
    <t>最小値</t>
    <phoneticPr fontId="2"/>
  </si>
  <si>
    <t>電話</t>
    <rPh sb="0" eb="2">
      <t>デンワ</t>
    </rPh>
    <phoneticPr fontId="2"/>
  </si>
  <si>
    <t>署番号</t>
    <rPh sb="0" eb="1">
      <t>ショ</t>
    </rPh>
    <rPh sb="1" eb="3">
      <t>バンゴウ</t>
    </rPh>
    <phoneticPr fontId="2"/>
  </si>
  <si>
    <t>①</t>
    <phoneticPr fontId="2"/>
  </si>
  <si>
    <t>整理番号</t>
    <rPh sb="0" eb="2">
      <t>セイリ</t>
    </rPh>
    <rPh sb="2" eb="4">
      <t>バンゴウ</t>
    </rPh>
    <phoneticPr fontId="2"/>
  </si>
  <si>
    <t>役職名</t>
    <phoneticPr fontId="2"/>
  </si>
  <si>
    <t>続柄</t>
    <rPh sb="0" eb="2">
      <t>ゾクガラ</t>
    </rPh>
    <phoneticPr fontId="2"/>
  </si>
  <si>
    <t>控除判定</t>
    <rPh sb="0" eb="2">
      <t>コウジョ</t>
    </rPh>
    <rPh sb="2" eb="4">
      <t>ハンテイ</t>
    </rPh>
    <phoneticPr fontId="2"/>
  </si>
  <si>
    <t>給与所得控除後の計算</t>
    <phoneticPr fontId="2"/>
  </si>
  <si>
    <t>年調給与額</t>
    <phoneticPr fontId="2"/>
  </si>
  <si>
    <t>本人</t>
    <rPh sb="0" eb="2">
      <t>ホンニン</t>
    </rPh>
    <phoneticPr fontId="2"/>
  </si>
  <si>
    <t>配偶者</t>
    <rPh sb="0" eb="3">
      <t>ハイグウシャ</t>
    </rPh>
    <phoneticPr fontId="2"/>
  </si>
  <si>
    <t>扶養</t>
    <rPh sb="0" eb="2">
      <t>フヨウ</t>
    </rPh>
    <phoneticPr fontId="2"/>
  </si>
  <si>
    <t>賞与等</t>
    <rPh sb="0" eb="2">
      <t>ショウヨ</t>
    </rPh>
    <rPh sb="2" eb="3">
      <t>トウ</t>
    </rPh>
    <phoneticPr fontId="2"/>
  </si>
  <si>
    <t>夏</t>
    <rPh sb="0" eb="1">
      <t>ナツ</t>
    </rPh>
    <phoneticPr fontId="2"/>
  </si>
  <si>
    <t>冬</t>
    <rPh sb="0" eb="1">
      <t>フユ</t>
    </rPh>
    <phoneticPr fontId="2"/>
  </si>
  <si>
    <t>合計</t>
    <rPh sb="0" eb="2">
      <t>ゴウケイ</t>
    </rPh>
    <phoneticPr fontId="2"/>
  </si>
  <si>
    <t>国民健康保険・介護保険他</t>
    <rPh sb="0" eb="2">
      <t>コクミン</t>
    </rPh>
    <rPh sb="2" eb="4">
      <t>ケンコウ</t>
    </rPh>
    <rPh sb="4" eb="6">
      <t>ホケン</t>
    </rPh>
    <rPh sb="7" eb="9">
      <t>カイゴ</t>
    </rPh>
    <rPh sb="9" eb="11">
      <t>ホケン</t>
    </rPh>
    <rPh sb="11" eb="12">
      <t>タ</t>
    </rPh>
    <phoneticPr fontId="2"/>
  </si>
  <si>
    <t>国民年金・国民年金基金</t>
    <rPh sb="0" eb="2">
      <t>コクミン</t>
    </rPh>
    <rPh sb="2" eb="4">
      <t>ネンキン</t>
    </rPh>
    <rPh sb="5" eb="7">
      <t>コクミン</t>
    </rPh>
    <rPh sb="7" eb="9">
      <t>ネンキン</t>
    </rPh>
    <rPh sb="9" eb="11">
      <t>キキン</t>
    </rPh>
    <phoneticPr fontId="2"/>
  </si>
  <si>
    <t>小規模企業共済等掛金</t>
    <rPh sb="7" eb="8">
      <t>トウ</t>
    </rPh>
    <phoneticPr fontId="2"/>
  </si>
  <si>
    <t>社会保険料等控除</t>
    <rPh sb="5" eb="6">
      <t>トウ</t>
    </rPh>
    <rPh sb="6" eb="8">
      <t>コウジョ</t>
    </rPh>
    <phoneticPr fontId="2"/>
  </si>
  <si>
    <t>給与等控除分</t>
    <rPh sb="0" eb="2">
      <t>キュウヨ</t>
    </rPh>
    <rPh sb="2" eb="3">
      <t>トウ</t>
    </rPh>
    <rPh sb="3" eb="5">
      <t>コウジョ</t>
    </rPh>
    <rPh sb="5" eb="6">
      <t>ブン</t>
    </rPh>
    <phoneticPr fontId="2"/>
  </si>
  <si>
    <t>申告分</t>
    <rPh sb="2" eb="3">
      <t>ブン</t>
    </rPh>
    <phoneticPr fontId="2"/>
  </si>
  <si>
    <t>収入金額等</t>
    <rPh sb="0" eb="2">
      <t>シュウニュウ</t>
    </rPh>
    <rPh sb="2" eb="4">
      <t>キンガク</t>
    </rPh>
    <rPh sb="4" eb="5">
      <t>トウ</t>
    </rPh>
    <phoneticPr fontId="2"/>
  </si>
  <si>
    <t>必要経費等</t>
    <rPh sb="0" eb="2">
      <t>ヒツヨウ</t>
    </rPh>
    <rPh sb="2" eb="4">
      <t>ケイヒ</t>
    </rPh>
    <rPh sb="4" eb="5">
      <t>トウ</t>
    </rPh>
    <phoneticPr fontId="2"/>
  </si>
  <si>
    <t>所得金額</t>
    <rPh sb="0" eb="2">
      <t>ショトク</t>
    </rPh>
    <rPh sb="2" eb="4">
      <t>キンガク</t>
    </rPh>
    <phoneticPr fontId="2"/>
  </si>
  <si>
    <t>給与所得</t>
    <rPh sb="0" eb="2">
      <t>キュウヨ</t>
    </rPh>
    <rPh sb="2" eb="4">
      <t>ショトク</t>
    </rPh>
    <phoneticPr fontId="2"/>
  </si>
  <si>
    <t>H</t>
    <phoneticPr fontId="2"/>
  </si>
  <si>
    <t>事業所得</t>
    <rPh sb="0" eb="2">
      <t>ジギョウ</t>
    </rPh>
    <rPh sb="2" eb="4">
      <t>ショトク</t>
    </rPh>
    <phoneticPr fontId="2"/>
  </si>
  <si>
    <t>雑所得</t>
    <rPh sb="0" eb="1">
      <t>ザツ</t>
    </rPh>
    <rPh sb="1" eb="3">
      <t>ショトク</t>
    </rPh>
    <phoneticPr fontId="2"/>
  </si>
  <si>
    <t>公的年金等</t>
    <rPh sb="0" eb="2">
      <t>コウテキ</t>
    </rPh>
    <rPh sb="2" eb="4">
      <t>ネンキン</t>
    </rPh>
    <rPh sb="4" eb="5">
      <t>トウ</t>
    </rPh>
    <phoneticPr fontId="2"/>
  </si>
  <si>
    <t>その他</t>
    <rPh sb="2" eb="3">
      <t>タ</t>
    </rPh>
    <phoneticPr fontId="2"/>
  </si>
  <si>
    <t>配当所得</t>
    <rPh sb="0" eb="2">
      <t>ハイトウ</t>
    </rPh>
    <rPh sb="2" eb="4">
      <t>ショトク</t>
    </rPh>
    <phoneticPr fontId="2"/>
  </si>
  <si>
    <t>不動産所得</t>
    <rPh sb="0" eb="3">
      <t>フドウサン</t>
    </rPh>
    <rPh sb="3" eb="5">
      <t>ショトク</t>
    </rPh>
    <phoneticPr fontId="2"/>
  </si>
  <si>
    <t>退職所得</t>
    <rPh sb="0" eb="2">
      <t>タイショク</t>
    </rPh>
    <rPh sb="2" eb="4">
      <t>ショトク</t>
    </rPh>
    <phoneticPr fontId="2"/>
  </si>
  <si>
    <t>譲渡所得</t>
    <rPh sb="0" eb="2">
      <t>ジョウト</t>
    </rPh>
    <rPh sb="2" eb="4">
      <t>ショトク</t>
    </rPh>
    <phoneticPr fontId="2"/>
  </si>
  <si>
    <t>短期</t>
    <rPh sb="0" eb="2">
      <t>タンキ</t>
    </rPh>
    <phoneticPr fontId="2"/>
  </si>
  <si>
    <t>中途就・退職</t>
    <rPh sb="0" eb="1">
      <t>ナカ</t>
    </rPh>
    <rPh sb="1" eb="2">
      <t>ト</t>
    </rPh>
    <rPh sb="2" eb="3">
      <t>シュウ</t>
    </rPh>
    <rPh sb="4" eb="5">
      <t>タイ</t>
    </rPh>
    <rPh sb="5" eb="6">
      <t>ショク</t>
    </rPh>
    <phoneticPr fontId="2"/>
  </si>
  <si>
    <t>長期</t>
    <rPh sb="0" eb="2">
      <t>チョウキ</t>
    </rPh>
    <phoneticPr fontId="2"/>
  </si>
  <si>
    <t>一時所得</t>
    <rPh sb="0" eb="2">
      <t>イチジ</t>
    </rPh>
    <rPh sb="2" eb="4">
      <t>ショトク</t>
    </rPh>
    <phoneticPr fontId="2"/>
  </si>
  <si>
    <t>公的年金65歳未満</t>
    <phoneticPr fontId="4"/>
  </si>
  <si>
    <t>加算額</t>
    <rPh sb="0" eb="2">
      <t>カサン</t>
    </rPh>
    <rPh sb="2" eb="3">
      <t>ガク</t>
    </rPh>
    <phoneticPr fontId="4"/>
  </si>
  <si>
    <t>以後</t>
    <phoneticPr fontId="2"/>
  </si>
  <si>
    <t>控除額</t>
    <phoneticPr fontId="2"/>
  </si>
  <si>
    <t>公的年金65歳以上</t>
    <phoneticPr fontId="4"/>
  </si>
  <si>
    <t>以前</t>
    <phoneticPr fontId="2"/>
  </si>
  <si>
    <t>課税所得</t>
    <phoneticPr fontId="2"/>
  </si>
  <si>
    <t>特別障害者</t>
    <phoneticPr fontId="2"/>
  </si>
  <si>
    <t>左の色の部分以外はシートを保護してますので訂正はできません。(解除パスワードは"1111"です。)</t>
    <rPh sb="0" eb="1">
      <t>ヒダリ</t>
    </rPh>
    <rPh sb="2" eb="3">
      <t>イロ</t>
    </rPh>
    <rPh sb="4" eb="6">
      <t>ブブン</t>
    </rPh>
    <rPh sb="6" eb="8">
      <t>イガイ</t>
    </rPh>
    <phoneticPr fontId="2"/>
  </si>
  <si>
    <t>内未払金額</t>
    <rPh sb="0" eb="1">
      <t>ウチ</t>
    </rPh>
    <rPh sb="1" eb="3">
      <t>ミバライ</t>
    </rPh>
    <rPh sb="3" eb="5">
      <t>キンガク</t>
    </rPh>
    <phoneticPr fontId="2"/>
  </si>
  <si>
    <t>T</t>
    <phoneticPr fontId="2"/>
  </si>
  <si>
    <t>住民税額速算</t>
    <rPh sb="0" eb="3">
      <t>ジュウミンゼイ</t>
    </rPh>
    <phoneticPr fontId="2"/>
  </si>
  <si>
    <t>課税所得</t>
    <phoneticPr fontId="2"/>
  </si>
  <si>
    <t>概算住民税</t>
    <rPh sb="0" eb="2">
      <t>ガイサン</t>
    </rPh>
    <phoneticPr fontId="2"/>
  </si>
  <si>
    <t>所得見積額</t>
    <phoneticPr fontId="2"/>
  </si>
  <si>
    <t>給料・賞与</t>
    <phoneticPr fontId="2"/>
  </si>
  <si>
    <t>M</t>
    <phoneticPr fontId="2"/>
  </si>
  <si>
    <t>S</t>
    <phoneticPr fontId="2"/>
  </si>
  <si>
    <t>旧長期</t>
    <rPh sb="0" eb="1">
      <t>キュウ</t>
    </rPh>
    <rPh sb="1" eb="3">
      <t>チョウキ</t>
    </rPh>
    <phoneticPr fontId="2"/>
  </si>
  <si>
    <t>地震</t>
    <rPh sb="0" eb="2">
      <t>ジシン</t>
    </rPh>
    <phoneticPr fontId="2"/>
  </si>
  <si>
    <t>地震保険控除</t>
    <rPh sb="0" eb="2">
      <t>ジシン</t>
    </rPh>
    <phoneticPr fontId="2"/>
  </si>
  <si>
    <t>旧長期金額</t>
    <rPh sb="0" eb="1">
      <t>キュウ</t>
    </rPh>
    <phoneticPr fontId="2"/>
  </si>
  <si>
    <t>地震金額</t>
    <rPh sb="0" eb="2">
      <t>ジシン</t>
    </rPh>
    <phoneticPr fontId="2"/>
  </si>
  <si>
    <t>地震保険料控除</t>
    <rPh sb="0" eb="2">
      <t>ジシン</t>
    </rPh>
    <phoneticPr fontId="2"/>
  </si>
  <si>
    <t>旧長</t>
    <rPh sb="0" eb="1">
      <t>キュウ</t>
    </rPh>
    <phoneticPr fontId="2"/>
  </si>
  <si>
    <t>甲欄</t>
  </si>
  <si>
    <t>社会保険料控除</t>
    <rPh sb="0" eb="2">
      <t>シャカイ</t>
    </rPh>
    <rPh sb="2" eb="4">
      <t>ホケン</t>
    </rPh>
    <rPh sb="4" eb="5">
      <t>リョウ</t>
    </rPh>
    <rPh sb="5" eb="7">
      <t>コウジョ</t>
    </rPh>
    <phoneticPr fontId="2"/>
  </si>
  <si>
    <t>地震保険料等</t>
    <rPh sb="0" eb="2">
      <t>ジシン</t>
    </rPh>
    <rPh sb="5" eb="6">
      <t>トウ</t>
    </rPh>
    <phoneticPr fontId="2"/>
  </si>
  <si>
    <t>住宅借入金等特別控除額</t>
    <rPh sb="2" eb="4">
      <t>カリイレ</t>
    </rPh>
    <rPh sb="4" eb="5">
      <t>キン</t>
    </rPh>
    <rPh sb="10" eb="11">
      <t>ガク</t>
    </rPh>
    <phoneticPr fontId="2"/>
  </si>
  <si>
    <t>同居特別障害者</t>
    <phoneticPr fontId="2"/>
  </si>
  <si>
    <t>同居特別以外障害者</t>
    <rPh sb="2" eb="4">
      <t>トクベツ</t>
    </rPh>
    <rPh sb="4" eb="6">
      <t>イガイ</t>
    </rPh>
    <phoneticPr fontId="2"/>
  </si>
  <si>
    <t>扶養親族や生計を一する子を有するか</t>
    <rPh sb="0" eb="2">
      <t>フヨウ</t>
    </rPh>
    <rPh sb="2" eb="4">
      <t>シンゾク</t>
    </rPh>
    <rPh sb="5" eb="7">
      <t>セイケイ</t>
    </rPh>
    <rPh sb="8" eb="9">
      <t>イツ</t>
    </rPh>
    <rPh sb="11" eb="12">
      <t>コ</t>
    </rPh>
    <rPh sb="13" eb="14">
      <t>ユウ</t>
    </rPh>
    <phoneticPr fontId="2"/>
  </si>
  <si>
    <t>扶養親族ある子を有するか</t>
    <rPh sb="0" eb="2">
      <t>フヨウ</t>
    </rPh>
    <rPh sb="2" eb="4">
      <t>シンゾク</t>
    </rPh>
    <rPh sb="6" eb="7">
      <t>コ</t>
    </rPh>
    <rPh sb="8" eb="9">
      <t>ユウ</t>
    </rPh>
    <phoneticPr fontId="2"/>
  </si>
  <si>
    <t>配偶者と死別等した者か</t>
    <rPh sb="0" eb="3">
      <t>ハイグウシャ</t>
    </rPh>
    <rPh sb="4" eb="6">
      <t>シベツ</t>
    </rPh>
    <rPh sb="6" eb="7">
      <t>トウ</t>
    </rPh>
    <rPh sb="9" eb="10">
      <t>モノ</t>
    </rPh>
    <phoneticPr fontId="2"/>
  </si>
  <si>
    <t>該当</t>
    <rPh sb="0" eb="2">
      <t>ガイトウ</t>
    </rPh>
    <phoneticPr fontId="2"/>
  </si>
  <si>
    <t>有する</t>
    <rPh sb="0" eb="1">
      <t>ユウ</t>
    </rPh>
    <phoneticPr fontId="2"/>
  </si>
  <si>
    <t>寡婦(夫)要因</t>
    <rPh sb="0" eb="2">
      <t>カフ</t>
    </rPh>
    <rPh sb="3" eb="4">
      <t>オット</t>
    </rPh>
    <rPh sb="5" eb="7">
      <t>ヨウイン</t>
    </rPh>
    <phoneticPr fontId="2"/>
  </si>
  <si>
    <t>死別・離婚・生死不明・未帰還</t>
    <rPh sb="0" eb="2">
      <t>シベツ</t>
    </rPh>
    <rPh sb="3" eb="5">
      <t>リコン</t>
    </rPh>
    <rPh sb="6" eb="8">
      <t>セイシ</t>
    </rPh>
    <rPh sb="8" eb="10">
      <t>フメイ</t>
    </rPh>
    <rPh sb="11" eb="14">
      <t>ミキカン</t>
    </rPh>
    <phoneticPr fontId="2"/>
  </si>
  <si>
    <t>寡婦(夫)判定</t>
    <rPh sb="0" eb="2">
      <t>カフ</t>
    </rPh>
    <rPh sb="3" eb="4">
      <t>オット</t>
    </rPh>
    <rPh sb="5" eb="7">
      <t>ハンテイ</t>
    </rPh>
    <phoneticPr fontId="2"/>
  </si>
  <si>
    <t>一般の寡婦・特別の寡婦</t>
    <rPh sb="0" eb="2">
      <t>イッパン</t>
    </rPh>
    <rPh sb="3" eb="5">
      <t>カフ</t>
    </rPh>
    <rPh sb="6" eb="8">
      <t>トクベツ</t>
    </rPh>
    <rPh sb="9" eb="11">
      <t>カフ</t>
    </rPh>
    <phoneticPr fontId="2"/>
  </si>
  <si>
    <t>障害者等控除</t>
    <phoneticPr fontId="2"/>
  </si>
  <si>
    <t>①</t>
    <phoneticPr fontId="2"/>
  </si>
  <si>
    <t>②</t>
    <phoneticPr fontId="2"/>
  </si>
  <si>
    <t>③</t>
    <phoneticPr fontId="2"/>
  </si>
  <si>
    <t>氏名</t>
    <phoneticPr fontId="2"/>
  </si>
  <si>
    <t>年少</t>
    <rPh sb="0" eb="2">
      <t>ネンショウ</t>
    </rPh>
    <phoneticPr fontId="2"/>
  </si>
  <si>
    <t>老・特</t>
    <phoneticPr fontId="2"/>
  </si>
  <si>
    <t>小規模企業共済等</t>
    <rPh sb="3" eb="5">
      <t>キギョウ</t>
    </rPh>
    <rPh sb="5" eb="7">
      <t>キョウサイ</t>
    </rPh>
    <rPh sb="7" eb="8">
      <t>トウ</t>
    </rPh>
    <phoneticPr fontId="2"/>
  </si>
  <si>
    <t>②イ</t>
    <phoneticPr fontId="2"/>
  </si>
  <si>
    <t>②ロ</t>
    <phoneticPr fontId="2"/>
  </si>
  <si>
    <t>②ハ</t>
    <phoneticPr fontId="2"/>
  </si>
  <si>
    <t>②ホ</t>
    <phoneticPr fontId="2"/>
  </si>
  <si>
    <t>②へ</t>
    <phoneticPr fontId="2"/>
  </si>
  <si>
    <t>②ト</t>
    <phoneticPr fontId="2"/>
  </si>
  <si>
    <t>↑</t>
    <phoneticPr fontId="2"/>
  </si>
  <si>
    <t>②ニ</t>
    <phoneticPr fontId="2"/>
  </si>
  <si>
    <t>控除扶養</t>
    <rPh sb="0" eb="2">
      <t>コウジョ</t>
    </rPh>
    <rPh sb="2" eb="4">
      <t>フヨウ</t>
    </rPh>
    <phoneticPr fontId="2"/>
  </si>
  <si>
    <t>介護医療</t>
    <rPh sb="0" eb="2">
      <t>カイゴ</t>
    </rPh>
    <rPh sb="2" eb="4">
      <t>イリョウ</t>
    </rPh>
    <phoneticPr fontId="2"/>
  </si>
  <si>
    <t>旧一般</t>
    <rPh sb="0" eb="1">
      <t>キュウ</t>
    </rPh>
    <phoneticPr fontId="2"/>
  </si>
  <si>
    <t>旧年金</t>
    <rPh sb="0" eb="1">
      <t>キュウ</t>
    </rPh>
    <phoneticPr fontId="2"/>
  </si>
  <si>
    <r>
      <rPr>
        <b/>
        <sz val="9"/>
        <color indexed="10"/>
        <rFont val="MS UI Gothic"/>
        <family val="3"/>
        <charset val="128"/>
      </rPr>
      <t>旧</t>
    </r>
    <r>
      <rPr>
        <sz val="9"/>
        <rFont val="MS UI Gothic"/>
        <family val="3"/>
        <charset val="128"/>
      </rPr>
      <t>一般</t>
    </r>
    <rPh sb="0" eb="1">
      <t>キュウ</t>
    </rPh>
    <phoneticPr fontId="2"/>
  </si>
  <si>
    <r>
      <rPr>
        <b/>
        <sz val="9"/>
        <color indexed="10"/>
        <rFont val="MS UI Gothic"/>
        <family val="3"/>
        <charset val="128"/>
      </rPr>
      <t>旧</t>
    </r>
    <r>
      <rPr>
        <sz val="9"/>
        <rFont val="MS UI Gothic"/>
        <family val="3"/>
        <charset val="128"/>
      </rPr>
      <t>年金</t>
    </r>
    <rPh sb="0" eb="1">
      <t>キュウ</t>
    </rPh>
    <phoneticPr fontId="2"/>
  </si>
  <si>
    <r>
      <rPr>
        <b/>
        <sz val="9"/>
        <color indexed="10"/>
        <rFont val="MS UI Gothic"/>
        <family val="3"/>
        <charset val="128"/>
      </rPr>
      <t>新</t>
    </r>
    <r>
      <rPr>
        <sz val="9"/>
        <rFont val="MS UI Gothic"/>
        <family val="3"/>
        <charset val="128"/>
      </rPr>
      <t>一般</t>
    </r>
    <rPh sb="0" eb="1">
      <t>シン</t>
    </rPh>
    <phoneticPr fontId="2"/>
  </si>
  <si>
    <r>
      <rPr>
        <b/>
        <sz val="9"/>
        <color indexed="10"/>
        <rFont val="MS UI Gothic"/>
        <family val="3"/>
        <charset val="128"/>
      </rPr>
      <t>新</t>
    </r>
    <r>
      <rPr>
        <sz val="9"/>
        <rFont val="MS UI Gothic"/>
        <family val="3"/>
        <charset val="128"/>
      </rPr>
      <t>年金</t>
    </r>
    <rPh sb="0" eb="1">
      <t>シン</t>
    </rPh>
    <phoneticPr fontId="2"/>
  </si>
  <si>
    <t>生命保険料</t>
    <phoneticPr fontId="2"/>
  </si>
  <si>
    <t>－</t>
    <phoneticPr fontId="2"/>
  </si>
  <si>
    <t>生命保険料控除</t>
    <phoneticPr fontId="2"/>
  </si>
  <si>
    <t>新生命金額</t>
    <rPh sb="0" eb="1">
      <t>シン</t>
    </rPh>
    <rPh sb="1" eb="3">
      <t>セイメイ</t>
    </rPh>
    <phoneticPr fontId="2"/>
  </si>
  <si>
    <t>介護</t>
    <rPh sb="0" eb="2">
      <t>カイゴ</t>
    </rPh>
    <phoneticPr fontId="2"/>
  </si>
  <si>
    <t>旧一般金額</t>
    <rPh sb="1" eb="3">
      <t>イッパン</t>
    </rPh>
    <phoneticPr fontId="2"/>
  </si>
  <si>
    <t>一般計</t>
    <rPh sb="0" eb="2">
      <t>イッパン</t>
    </rPh>
    <phoneticPr fontId="2"/>
  </si>
  <si>
    <t>年金計</t>
    <rPh sb="0" eb="2">
      <t>ネンキン</t>
    </rPh>
    <phoneticPr fontId="2"/>
  </si>
  <si>
    <t>新年金</t>
    <rPh sb="0" eb="1">
      <t>シン</t>
    </rPh>
    <phoneticPr fontId="2"/>
  </si>
  <si>
    <t>新一般</t>
    <rPh sb="0" eb="1">
      <t>シン</t>
    </rPh>
    <phoneticPr fontId="2"/>
  </si>
  <si>
    <t>計</t>
    <phoneticPr fontId="2"/>
  </si>
  <si>
    <t>勤労学生</t>
    <phoneticPr fontId="2"/>
  </si>
  <si>
    <t>(×102.1%)</t>
    <phoneticPr fontId="2"/>
  </si>
  <si>
    <t>年調所得税額</t>
    <rPh sb="0" eb="2">
      <t>ネンチョウ</t>
    </rPh>
    <rPh sb="2" eb="4">
      <t>ショトク</t>
    </rPh>
    <phoneticPr fontId="2"/>
  </si>
  <si>
    <t>③</t>
    <phoneticPr fontId="2"/>
  </si>
  <si>
    <t>年調年税額</t>
    <rPh sb="0" eb="2">
      <t>ネンチョウ</t>
    </rPh>
    <rPh sb="2" eb="5">
      <t>ネンゼイガク</t>
    </rPh>
    <phoneticPr fontId="2"/>
  </si>
  <si>
    <t>個人番号</t>
    <rPh sb="0" eb="2">
      <t>コジン</t>
    </rPh>
    <rPh sb="2" eb="4">
      <t>バンゴウ</t>
    </rPh>
    <phoneticPr fontId="2"/>
  </si>
  <si>
    <t>法人(個人)番号</t>
    <rPh sb="0" eb="2">
      <t>ホウジン</t>
    </rPh>
    <phoneticPr fontId="2"/>
  </si>
  <si>
    <t>フリガナ</t>
    <phoneticPr fontId="2"/>
  </si>
  <si>
    <t>住宅借入金等特別控除の額の内訳</t>
  </si>
  <si>
    <t>適用数</t>
    <rPh sb="0" eb="2">
      <t>テキヨウ</t>
    </rPh>
    <rPh sb="2" eb="3">
      <t>スウ</t>
    </rPh>
    <phoneticPr fontId="4"/>
  </si>
  <si>
    <t>非居住者</t>
    <phoneticPr fontId="2"/>
  </si>
  <si>
    <t>色は該当する場合ドロップダウンリストから"○"or"人数"などを選択する</t>
    <rPh sb="0" eb="1">
      <t>イロ</t>
    </rPh>
    <rPh sb="2" eb="4">
      <t>ガイトウ</t>
    </rPh>
    <rPh sb="6" eb="8">
      <t>バアイ</t>
    </rPh>
    <rPh sb="32" eb="34">
      <t>センタク</t>
    </rPh>
    <phoneticPr fontId="2"/>
  </si>
  <si>
    <t>住民税の徴収方法</t>
    <rPh sb="0" eb="3">
      <t>ジュウミンゼイ</t>
    </rPh>
    <rPh sb="4" eb="6">
      <t>チョウシュウ</t>
    </rPh>
    <rPh sb="6" eb="8">
      <t>ホウホウ</t>
    </rPh>
    <phoneticPr fontId="2"/>
  </si>
  <si>
    <t>前職情報等</t>
    <rPh sb="0" eb="2">
      <t>ゼンショク</t>
    </rPh>
    <rPh sb="2" eb="4">
      <t>ジョウホウ</t>
    </rPh>
    <rPh sb="4" eb="5">
      <t>トウ</t>
    </rPh>
    <phoneticPr fontId="2"/>
  </si>
  <si>
    <t>源泉徴収票　摘要欄記載事項</t>
    <rPh sb="0" eb="2">
      <t>ゲンセン</t>
    </rPh>
    <rPh sb="2" eb="4">
      <t>チョウシュウ</t>
    </rPh>
    <rPh sb="4" eb="5">
      <t>ヒョウ</t>
    </rPh>
    <rPh sb="6" eb="8">
      <t>テキヨウ</t>
    </rPh>
    <rPh sb="8" eb="9">
      <t>ラン</t>
    </rPh>
    <rPh sb="9" eb="11">
      <t>キサイ</t>
    </rPh>
    <rPh sb="11" eb="13">
      <t>ジコウ</t>
    </rPh>
    <phoneticPr fontId="2"/>
  </si>
  <si>
    <t>(1回目)</t>
    <phoneticPr fontId="2"/>
  </si>
  <si>
    <t>(2回目)</t>
  </si>
  <si>
    <t>扶養親族5人以上情報その他</t>
    <rPh sb="5" eb="6">
      <t>ヒト</t>
    </rPh>
    <rPh sb="6" eb="8">
      <t>イジョウ</t>
    </rPh>
    <rPh sb="12" eb="13">
      <t>タ</t>
    </rPh>
    <phoneticPr fontId="2"/>
  </si>
  <si>
    <t>居住開始日</t>
    <phoneticPr fontId="2"/>
  </si>
  <si>
    <t>住宅借入金等特別控除額</t>
    <phoneticPr fontId="2"/>
  </si>
  <si>
    <t>区分</t>
    <phoneticPr fontId="2"/>
  </si>
  <si>
    <t>借入金年末残高</t>
    <phoneticPr fontId="2"/>
  </si>
  <si>
    <t>特別控除可能額</t>
    <phoneticPr fontId="2"/>
  </si>
  <si>
    <r>
      <t>16歳未満</t>
    </r>
    <r>
      <rPr>
        <sz val="9"/>
        <rFont val="MS UI Gothic"/>
        <family val="3"/>
        <charset val="128"/>
      </rPr>
      <t>の
扶養親族</t>
    </r>
    <rPh sb="3" eb="5">
      <t>ミマン</t>
    </rPh>
    <phoneticPr fontId="2"/>
  </si>
  <si>
    <t>特定</t>
    <rPh sb="0" eb="2">
      <t>トクテイ</t>
    </rPh>
    <phoneticPr fontId="2"/>
  </si>
  <si>
    <t>従たる給与等の支払者</t>
    <rPh sb="0" eb="1">
      <t>ジュウ</t>
    </rPh>
    <rPh sb="3" eb="5">
      <t>キュウヨ</t>
    </rPh>
    <rPh sb="5" eb="6">
      <t>トウ</t>
    </rPh>
    <rPh sb="7" eb="9">
      <t>シハライ</t>
    </rPh>
    <rPh sb="9" eb="10">
      <t>シャ</t>
    </rPh>
    <phoneticPr fontId="2"/>
  </si>
  <si>
    <t>配偶者</t>
    <rPh sb="0" eb="3">
      <t>ハイグウシャ</t>
    </rPh>
    <phoneticPr fontId="2"/>
  </si>
  <si>
    <t>老人</t>
    <rPh sb="0" eb="2">
      <t>ロウジン</t>
    </rPh>
    <phoneticPr fontId="2"/>
  </si>
  <si>
    <t>その他</t>
    <rPh sb="2" eb="3">
      <t>タ</t>
    </rPh>
    <phoneticPr fontId="2"/>
  </si>
  <si>
    <t>マイナンバーは、個人情報保護のために、その管理に当たっては、安全管理措置などが義務付けられます。</t>
    <phoneticPr fontId="2"/>
  </si>
  <si>
    <t>法令に従い十分に気を付けて取り扱ってください。</t>
    <rPh sb="0" eb="2">
      <t>ホウレイ</t>
    </rPh>
    <rPh sb="3" eb="4">
      <t>シタガ</t>
    </rPh>
    <rPh sb="5" eb="7">
      <t>ジュウブン</t>
    </rPh>
    <rPh sb="8" eb="9">
      <t>キ</t>
    </rPh>
    <rPh sb="10" eb="11">
      <t>ツ</t>
    </rPh>
    <rPh sb="13" eb="14">
      <t>ト</t>
    </rPh>
    <rPh sb="15" eb="16">
      <t>アツカ</t>
    </rPh>
    <phoneticPr fontId="2"/>
  </si>
  <si>
    <t>支払った金額</t>
    <rPh sb="0" eb="2">
      <t>シハラ</t>
    </rPh>
    <rPh sb="4" eb="6">
      <t>キンガク</t>
    </rPh>
    <phoneticPr fontId="2"/>
  </si>
  <si>
    <t>支払った金額</t>
    <rPh sb="0" eb="2">
      <t>シハラ</t>
    </rPh>
    <rPh sb="4" eb="6">
      <t>キンガク</t>
    </rPh>
    <phoneticPr fontId="2"/>
  </si>
  <si>
    <t>④</t>
    <phoneticPr fontId="2"/>
  </si>
  <si>
    <t>⑤</t>
    <phoneticPr fontId="2"/>
  </si>
  <si>
    <t>⑥</t>
    <phoneticPr fontId="2"/>
  </si>
  <si>
    <t>⑦</t>
    <phoneticPr fontId="2"/>
  </si>
  <si>
    <t>④</t>
    <phoneticPr fontId="2"/>
  </si>
  <si>
    <t>⑤</t>
    <phoneticPr fontId="2"/>
  </si>
  <si>
    <t>⑥</t>
    <phoneticPr fontId="2"/>
  </si>
  <si>
    <t>⑦</t>
    <phoneticPr fontId="2"/>
  </si>
  <si>
    <t>扶養親族5人以上情報</t>
    <phoneticPr fontId="2"/>
  </si>
  <si>
    <t>同居特別障害者</t>
    <phoneticPr fontId="2"/>
  </si>
  <si>
    <t>同居区分</t>
    <rPh sb="0" eb="2">
      <t>ドウキョ</t>
    </rPh>
    <rPh sb="2" eb="4">
      <t>クブン</t>
    </rPh>
    <phoneticPr fontId="2"/>
  </si>
  <si>
    <t>扶養区分</t>
    <rPh sb="0" eb="2">
      <t>フヨウ</t>
    </rPh>
    <rPh sb="2" eb="4">
      <t>クブン</t>
    </rPh>
    <phoneticPr fontId="2"/>
  </si>
  <si>
    <t>同居</t>
    <rPh sb="0" eb="2">
      <t>ドウキョ</t>
    </rPh>
    <phoneticPr fontId="2"/>
  </si>
  <si>
    <t>同居以外</t>
    <rPh sb="0" eb="2">
      <t>ドウキョ</t>
    </rPh>
    <rPh sb="2" eb="4">
      <t>イガイ</t>
    </rPh>
    <phoneticPr fontId="2"/>
  </si>
  <si>
    <t>年少</t>
    <rPh sb="0" eb="2">
      <t>ネンショウ</t>
    </rPh>
    <phoneticPr fontId="2"/>
  </si>
  <si>
    <t>特定</t>
    <rPh sb="0" eb="2">
      <t>トクテイ</t>
    </rPh>
    <phoneticPr fontId="2"/>
  </si>
  <si>
    <t>老人</t>
    <rPh sb="0" eb="2">
      <t>ロウジン</t>
    </rPh>
    <phoneticPr fontId="2"/>
  </si>
  <si>
    <t>老親等</t>
    <rPh sb="0" eb="2">
      <t>ロウシン</t>
    </rPh>
    <rPh sb="2" eb="3">
      <t>トウ</t>
    </rPh>
    <phoneticPr fontId="2"/>
  </si>
  <si>
    <t>非居住者等</t>
    <rPh sb="4" eb="5">
      <t>トウ</t>
    </rPh>
    <phoneticPr fontId="2"/>
  </si>
  <si>
    <t>○</t>
    <phoneticPr fontId="2"/>
  </si>
  <si>
    <t>－</t>
    <phoneticPr fontId="2"/>
  </si>
  <si>
    <t>－</t>
    <phoneticPr fontId="2"/>
  </si>
  <si>
    <t>非居住者である親族の数</t>
    <phoneticPr fontId="2"/>
  </si>
  <si>
    <r>
      <rPr>
        <b/>
        <sz val="11"/>
        <rFont val="MS UI Gothic"/>
        <family val="3"/>
        <charset val="128"/>
      </rPr>
      <t>A</t>
    </r>
    <r>
      <rPr>
        <sz val="9"/>
        <rFont val="MS UI Gothic"/>
        <family val="3"/>
        <charset val="128"/>
      </rPr>
      <t>控除対象配偶者</t>
    </r>
    <phoneticPr fontId="2"/>
  </si>
  <si>
    <r>
      <rPr>
        <b/>
        <sz val="11"/>
        <rFont val="MS UI Gothic"/>
        <family val="3"/>
        <charset val="128"/>
      </rPr>
      <t>B</t>
    </r>
    <r>
      <rPr>
        <sz val="9"/>
        <rFont val="MS UI Gothic"/>
        <family val="3"/>
        <charset val="128"/>
      </rPr>
      <t>控除対象
扶養親族</t>
    </r>
    <r>
      <rPr>
        <sz val="9"/>
        <color indexed="10"/>
        <rFont val="MS UI Gothic"/>
        <family val="3"/>
        <charset val="128"/>
      </rPr>
      <t xml:space="preserve">
</t>
    </r>
    <r>
      <rPr>
        <sz val="9"/>
        <rFont val="MS UI Gothic"/>
        <family val="3"/>
        <charset val="128"/>
      </rPr>
      <t>(</t>
    </r>
    <r>
      <rPr>
        <sz val="9"/>
        <color indexed="10"/>
        <rFont val="MS UI Gothic"/>
        <family val="3"/>
        <charset val="128"/>
      </rPr>
      <t>16歳以上</t>
    </r>
    <r>
      <rPr>
        <sz val="9"/>
        <rFont val="MS UI Gothic"/>
        <family val="3"/>
        <charset val="128"/>
      </rPr>
      <t>)</t>
    </r>
    <phoneticPr fontId="2"/>
  </si>
  <si>
    <t>C</t>
    <phoneticPr fontId="2"/>
  </si>
  <si>
    <r>
      <t>5人目以降の</t>
    </r>
    <r>
      <rPr>
        <sz val="9"/>
        <color indexed="10"/>
        <rFont val="MS UI Gothic"/>
        <family val="3"/>
        <charset val="128"/>
      </rPr>
      <t>16歳未満</t>
    </r>
    <r>
      <rPr>
        <sz val="9"/>
        <rFont val="MS UI Gothic"/>
        <family val="3"/>
        <charset val="128"/>
      </rPr>
      <t>の扶養親族</t>
    </r>
    <phoneticPr fontId="2"/>
  </si>
  <si>
    <t>～～～～～～～～～～～～～～～～～～～～～～～～～～～～～～～～～～～～～～～～～～～～～～～～～～～～～～～～～～～～～～～～～～～～～～～～～～～～～～～～～～～～～～～～～～～～～～～～～～～～～～～～</t>
    <phoneticPr fontId="2"/>
  </si>
  <si>
    <r>
      <t>5人目以降の控除対象扶養親族(</t>
    </r>
    <r>
      <rPr>
        <sz val="9"/>
        <color indexed="10"/>
        <rFont val="MS UI Gothic"/>
        <family val="3"/>
        <charset val="128"/>
      </rPr>
      <t>16歳以上</t>
    </r>
    <r>
      <rPr>
        <sz val="9"/>
        <rFont val="MS UI Gothic"/>
        <family val="3"/>
        <charset val="128"/>
      </rPr>
      <t>)</t>
    </r>
    <phoneticPr fontId="2"/>
  </si>
  <si>
    <t>5人目以降の対象者がいる方は下記を入力してください。</t>
    <rPh sb="6" eb="9">
      <t>タイショウシャ</t>
    </rPh>
    <rPh sb="12" eb="13">
      <t>カタ</t>
    </rPh>
    <rPh sb="14" eb="16">
      <t>カキ</t>
    </rPh>
    <rPh sb="17" eb="19">
      <t>ニュウリョク</t>
    </rPh>
    <phoneticPr fontId="2"/>
  </si>
  <si>
    <t>○住民税に関する事項</t>
    <phoneticPr fontId="2"/>
  </si>
  <si>
    <t>○住民税に関する事項</t>
    <phoneticPr fontId="2"/>
  </si>
  <si>
    <r>
      <rPr>
        <b/>
        <sz val="9"/>
        <rFont val="MS UI Gothic"/>
        <family val="3"/>
        <charset val="128"/>
      </rPr>
      <t>B</t>
    </r>
    <r>
      <rPr>
        <sz val="9"/>
        <rFont val="MS UI Gothic"/>
        <family val="3"/>
        <charset val="128"/>
      </rPr>
      <t>控除対象扶養親族</t>
    </r>
    <phoneticPr fontId="2"/>
  </si>
  <si>
    <t>同居</t>
    <rPh sb="0" eb="2">
      <t>ドウキョ</t>
    </rPh>
    <phoneticPr fontId="2"/>
  </si>
  <si>
    <t>A</t>
    <phoneticPr fontId="2"/>
  </si>
  <si>
    <t>B</t>
    <phoneticPr fontId="2"/>
  </si>
  <si>
    <t>C</t>
    <phoneticPr fontId="2"/>
  </si>
  <si>
    <t>区分Ⅰ</t>
    <rPh sb="0" eb="2">
      <t>クブン</t>
    </rPh>
    <phoneticPr fontId="2"/>
  </si>
  <si>
    <t>区分Ⅱ</t>
    <rPh sb="0" eb="2">
      <t>クブン</t>
    </rPh>
    <phoneticPr fontId="2"/>
  </si>
  <si>
    <t>A</t>
    <phoneticPr fontId="2"/>
  </si>
  <si>
    <t>B</t>
    <phoneticPr fontId="2"/>
  </si>
  <si>
    <t>C</t>
    <phoneticPr fontId="2"/>
  </si>
  <si>
    <t>対象外</t>
    <rPh sb="0" eb="2">
      <t>タイショウ</t>
    </rPh>
    <rPh sb="2" eb="3">
      <t>ガイ</t>
    </rPh>
    <phoneticPr fontId="2"/>
  </si>
  <si>
    <t>－</t>
    <phoneticPr fontId="2"/>
  </si>
  <si>
    <t>中・退/年月日</t>
    <rPh sb="4" eb="7">
      <t>ネン</t>
    </rPh>
    <phoneticPr fontId="2"/>
  </si>
  <si>
    <r>
      <rPr>
        <b/>
        <sz val="9"/>
        <color indexed="10"/>
        <rFont val="MS UI Gothic"/>
        <family val="3"/>
        <charset val="128"/>
      </rPr>
      <t>配偶者の</t>
    </r>
    <r>
      <rPr>
        <sz val="9"/>
        <rFont val="MS UI Gothic"/>
        <family val="3"/>
        <charset val="128"/>
      </rPr>
      <t>合計所得(見積)</t>
    </r>
    <rPh sb="9" eb="11">
      <t>ミツモリ</t>
    </rPh>
    <phoneticPr fontId="2"/>
  </si>
  <si>
    <r>
      <rPr>
        <b/>
        <sz val="9"/>
        <color indexed="10"/>
        <rFont val="MS UI Gothic"/>
        <family val="3"/>
        <charset val="128"/>
      </rPr>
      <t>あなたの</t>
    </r>
    <r>
      <rPr>
        <sz val="9"/>
        <rFont val="MS UI Gothic"/>
        <family val="3"/>
        <charset val="128"/>
      </rPr>
      <t>合計所得(見積)</t>
    </r>
    <phoneticPr fontId="2"/>
  </si>
  <si>
    <t>その他の所得</t>
    <rPh sb="2" eb="3">
      <t>タ</t>
    </rPh>
    <rPh sb="4" eb="6">
      <t>ショトク</t>
    </rPh>
    <phoneticPr fontId="2"/>
  </si>
  <si>
    <t>配偶者(特別)控除</t>
    <phoneticPr fontId="2"/>
  </si>
  <si>
    <t>③④金額</t>
    <phoneticPr fontId="2"/>
  </si>
  <si>
    <t>配偶者控除</t>
    <rPh sb="0" eb="3">
      <t>ハイグウシャ</t>
    </rPh>
    <rPh sb="3" eb="5">
      <t>コウジョ</t>
    </rPh>
    <phoneticPr fontId="2"/>
  </si>
  <si>
    <t>①</t>
    <phoneticPr fontId="2"/>
  </si>
  <si>
    <t>②</t>
    <phoneticPr fontId="2"/>
  </si>
  <si>
    <t>判定</t>
    <rPh sb="0" eb="2">
      <t>ハンテイ</t>
    </rPh>
    <phoneticPr fontId="2"/>
  </si>
  <si>
    <t>あなたの</t>
    <phoneticPr fontId="2"/>
  </si>
  <si>
    <t>配偶者の</t>
    <phoneticPr fontId="2"/>
  </si>
  <si>
    <t>あなたの</t>
    <phoneticPr fontId="2"/>
  </si>
  <si>
    <t>配偶者の</t>
    <rPh sb="0" eb="3">
      <t>ハイグウシャ</t>
    </rPh>
    <phoneticPr fontId="2"/>
  </si>
  <si>
    <t>平成31年(2019年)分　給与所得者の扶養控除等(異動)申告書データ</t>
    <rPh sb="10" eb="11">
      <t>ネン</t>
    </rPh>
    <rPh sb="12" eb="13">
      <t>ブン</t>
    </rPh>
    <rPh sb="14" eb="16">
      <t>キュウヨ</t>
    </rPh>
    <rPh sb="16" eb="18">
      <t>ショトク</t>
    </rPh>
    <rPh sb="18" eb="19">
      <t>シャ</t>
    </rPh>
    <rPh sb="20" eb="22">
      <t>フヨウ</t>
    </rPh>
    <rPh sb="22" eb="24">
      <t>コウジョ</t>
    </rPh>
    <rPh sb="24" eb="25">
      <t>トウ</t>
    </rPh>
    <rPh sb="26" eb="28">
      <t>イドウ</t>
    </rPh>
    <rPh sb="29" eb="31">
      <t>シンコク</t>
    </rPh>
    <rPh sb="31" eb="32">
      <t>ショ</t>
    </rPh>
    <phoneticPr fontId="2"/>
  </si>
  <si>
    <t>令和元年分　配偶者控除等申告書データ</t>
    <rPh sb="0" eb="1">
      <t>レイ</t>
    </rPh>
    <rPh sb="1" eb="2">
      <t>ワ</t>
    </rPh>
    <rPh sb="2" eb="4">
      <t>ガンネン</t>
    </rPh>
    <rPh sb="6" eb="9">
      <t>ハイグウシャ</t>
    </rPh>
    <rPh sb="9" eb="11">
      <t>コウジョ</t>
    </rPh>
    <rPh sb="11" eb="12">
      <t>トウ</t>
    </rPh>
    <rPh sb="12" eb="14">
      <t>シンコク</t>
    </rPh>
    <rPh sb="14" eb="15">
      <t>ショ</t>
    </rPh>
    <phoneticPr fontId="2"/>
  </si>
  <si>
    <t>令和元年分　保険料控除申告書データ</t>
    <rPh sb="6" eb="8">
      <t>ホケン</t>
    </rPh>
    <rPh sb="8" eb="9">
      <t>リョウ</t>
    </rPh>
    <rPh sb="9" eb="11">
      <t>コウジョ</t>
    </rPh>
    <rPh sb="11" eb="13">
      <t>シンコク</t>
    </rPh>
    <rPh sb="13" eb="14">
      <t>ショ</t>
    </rPh>
    <phoneticPr fontId="2"/>
  </si>
  <si>
    <t>平成31年(2019年)分</t>
    <phoneticPr fontId="2"/>
  </si>
  <si>
    <t>給与所得に対する所得税源泉徴収簿データ</t>
    <rPh sb="0" eb="2">
      <t>キュウヨ</t>
    </rPh>
    <rPh sb="2" eb="4">
      <t>ショトク</t>
    </rPh>
    <rPh sb="5" eb="6">
      <t>タイ</t>
    </rPh>
    <rPh sb="8" eb="11">
      <t>ショトクゼイ</t>
    </rPh>
    <rPh sb="11" eb="13">
      <t>ゲンセン</t>
    </rPh>
    <rPh sb="13" eb="15">
      <t>チョウシュウ</t>
    </rPh>
    <rPh sb="15" eb="16">
      <t>ボ</t>
    </rPh>
    <phoneticPr fontId="2"/>
  </si>
  <si>
    <t>v2.15</t>
    <phoneticPr fontId="2"/>
  </si>
  <si>
    <t>令和元年分 控除額の合計額の早見表</t>
    <rPh sb="6" eb="8">
      <t>コウジョ</t>
    </rPh>
    <rPh sb="8" eb="9">
      <t>ガク</t>
    </rPh>
    <rPh sb="10" eb="12">
      <t>ゴウケイ</t>
    </rPh>
    <rPh sb="12" eb="13">
      <t>ガク</t>
    </rPh>
    <rPh sb="14" eb="16">
      <t>ハヤミ</t>
    </rPh>
    <rPh sb="16" eb="17">
      <t>ヒョウ</t>
    </rPh>
    <phoneticPr fontId="2"/>
  </si>
  <si>
    <t>+</t>
    <phoneticPr fontId="2"/>
  </si>
  <si>
    <t>(H16.1.1以前生)</t>
    <phoneticPr fontId="2"/>
  </si>
  <si>
    <t>(H16.1.2以後生)</t>
    <phoneticPr fontId="2"/>
  </si>
  <si>
    <t>税務署配布の「令和元年分 年末調整のしかた」をよく読んでお使いください。</t>
    <rPh sb="0" eb="3">
      <t>ゼイムショ</t>
    </rPh>
    <rPh sb="3" eb="5">
      <t>ハイフ</t>
    </rPh>
    <rPh sb="7" eb="8">
      <t>レイ</t>
    </rPh>
    <rPh sb="8" eb="9">
      <t>ワ</t>
    </rPh>
    <rPh sb="9" eb="11">
      <t>ガンネン</t>
    </rPh>
    <rPh sb="13" eb="14">
      <t>ネン</t>
    </rPh>
    <rPh sb="25" eb="26">
      <t>ヨ</t>
    </rPh>
    <rPh sb="29" eb="30">
      <t>ツカ</t>
    </rPh>
    <phoneticPr fontId="2"/>
  </si>
  <si>
    <t>非居住者親族数</t>
    <phoneticPr fontId="2"/>
  </si>
  <si>
    <t>株式会社 MICROBIT</t>
    <phoneticPr fontId="2"/>
  </si>
  <si>
    <t>06-6305-1251</t>
    <phoneticPr fontId="2"/>
  </si>
  <si>
    <t>父</t>
  </si>
  <si>
    <t>母</t>
  </si>
  <si>
    <t>○</t>
  </si>
  <si>
    <t>大阪市淀川区西中島5丁目6-3-305号</t>
    <phoneticPr fontId="2"/>
  </si>
</sst>
</file>

<file path=xl/styles.xml><?xml version="1.0" encoding="utf-8"?>
<styleSheet xmlns="http://schemas.openxmlformats.org/spreadsheetml/2006/main">
  <numFmts count="7">
    <numFmt numFmtId="176" formatCode="#,##0.000;[Red]\-#,##0.000"/>
    <numFmt numFmtId="177" formatCode="m/d"/>
    <numFmt numFmtId="178" formatCode="0&quot;人&quot;"/>
    <numFmt numFmtId="179" formatCode="00000000"/>
    <numFmt numFmtId="180" formatCode="00000"/>
    <numFmt numFmtId="181" formatCode="000000000000"/>
    <numFmt numFmtId="182" formatCode="0\ \ 0000\ \ 0000\ \ 0000"/>
  </numFmts>
  <fonts count="22">
    <font>
      <sz val="10"/>
      <name val="ＭＳ Ｐ明朝"/>
      <family val="1"/>
      <charset val="128"/>
    </font>
    <font>
      <sz val="10"/>
      <name val="ＭＳ Ｐ明朝"/>
      <family val="1"/>
      <charset val="128"/>
    </font>
    <font>
      <sz val="6"/>
      <name val="ＭＳ Ｐ明朝"/>
      <family val="1"/>
      <charset val="128"/>
    </font>
    <font>
      <sz val="10"/>
      <name val="MS UI Gothic"/>
      <family val="3"/>
      <charset val="128"/>
    </font>
    <font>
      <sz val="6"/>
      <name val="ＭＳ Ｐゴシック"/>
      <family val="3"/>
      <charset val="128"/>
    </font>
    <font>
      <sz val="9"/>
      <name val="MS UI Gothic"/>
      <family val="3"/>
      <charset val="128"/>
    </font>
    <font>
      <sz val="9"/>
      <color indexed="10"/>
      <name val="MS UI Gothic"/>
      <family val="3"/>
      <charset val="128"/>
    </font>
    <font>
      <b/>
      <sz val="12"/>
      <name val="MS UI Gothic"/>
      <family val="3"/>
      <charset val="128"/>
    </font>
    <font>
      <sz val="9"/>
      <color indexed="12"/>
      <name val="MS UI Gothic"/>
      <family val="3"/>
      <charset val="128"/>
    </font>
    <font>
      <i/>
      <sz val="9"/>
      <name val="MS UI Gothic"/>
      <family val="3"/>
      <charset val="128"/>
    </font>
    <font>
      <sz val="9"/>
      <name val="ＭＳ Ｐゴシック"/>
      <family val="3"/>
      <charset val="128"/>
    </font>
    <font>
      <b/>
      <sz val="9"/>
      <color indexed="12"/>
      <name val="MS UI Gothic"/>
      <family val="3"/>
      <charset val="128"/>
    </font>
    <font>
      <b/>
      <sz val="9"/>
      <color indexed="8"/>
      <name val="MS UI Gothic"/>
      <family val="3"/>
      <charset val="128"/>
    </font>
    <font>
      <sz val="8"/>
      <name val="MS UI Gothic"/>
      <family val="3"/>
      <charset val="128"/>
    </font>
    <font>
      <b/>
      <sz val="9"/>
      <color indexed="10"/>
      <name val="MS UI Gothic"/>
      <family val="3"/>
      <charset val="128"/>
    </font>
    <font>
      <b/>
      <sz val="9"/>
      <name val="MS UI Gothic"/>
      <family val="3"/>
      <charset val="128"/>
    </font>
    <font>
      <b/>
      <sz val="9"/>
      <color indexed="10"/>
      <name val="MS UI Gothic"/>
      <family val="3"/>
      <charset val="128"/>
    </font>
    <font>
      <sz val="6"/>
      <name val="MS UI Gothic"/>
      <family val="3"/>
      <charset val="128"/>
    </font>
    <font>
      <sz val="9"/>
      <color indexed="10"/>
      <name val="MS UI Gothic"/>
      <family val="3"/>
      <charset val="128"/>
    </font>
    <font>
      <b/>
      <sz val="11"/>
      <name val="MS UI Gothic"/>
      <family val="3"/>
      <charset val="128"/>
    </font>
    <font>
      <b/>
      <sz val="9"/>
      <color indexed="10"/>
      <name val="MS UI Gothic"/>
      <family val="3"/>
      <charset val="128"/>
    </font>
    <font>
      <sz val="11"/>
      <color theme="1"/>
      <name val="ＭＳ Ｐゴシック"/>
      <family val="3"/>
      <charset val="128"/>
      <scheme val="minor"/>
    </font>
  </fonts>
  <fills count="13">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42"/>
        <bgColor indexed="64"/>
      </patternFill>
    </fill>
    <fill>
      <patternFill patternType="solid">
        <fgColor indexed="9"/>
        <bgColor indexed="64"/>
      </patternFill>
    </fill>
    <fill>
      <patternFill patternType="solid">
        <fgColor indexed="45"/>
        <bgColor indexed="29"/>
      </patternFill>
    </fill>
    <fill>
      <patternFill patternType="solid">
        <fgColor indexed="46"/>
        <bgColor indexed="64"/>
      </patternFill>
    </fill>
    <fill>
      <patternFill patternType="solid">
        <fgColor indexed="13"/>
        <bgColor indexed="64"/>
      </patternFill>
    </fill>
    <fill>
      <patternFill patternType="solid">
        <fgColor indexed="27"/>
        <bgColor indexed="64"/>
      </patternFill>
    </fill>
    <fill>
      <patternFill patternType="solid">
        <fgColor indexed="44"/>
        <bgColor indexed="64"/>
      </patternFill>
    </fill>
    <fill>
      <patternFill patternType="solid">
        <fgColor indexed="1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diagonalUp="1">
      <left style="thin">
        <color indexed="64"/>
      </left>
      <right style="thin">
        <color indexed="64"/>
      </right>
      <top style="thin">
        <color indexed="64"/>
      </top>
      <bottom/>
      <diagonal style="thin">
        <color indexed="64"/>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bottom style="thin">
        <color indexed="64"/>
      </bottom>
      <diagonal/>
    </border>
  </borders>
  <cellStyleXfs count="5">
    <xf numFmtId="0" fontId="0" fillId="0" borderId="0"/>
    <xf numFmtId="38" fontId="1" fillId="0" borderId="0" applyFont="0" applyFill="0" applyBorder="0" applyAlignment="0" applyProtection="0"/>
    <xf numFmtId="9" fontId="1" fillId="0" borderId="0" applyFont="0" applyFill="0" applyBorder="0" applyAlignment="0" applyProtection="0"/>
    <xf numFmtId="0" fontId="21" fillId="0" borderId="0"/>
    <xf numFmtId="0" fontId="21" fillId="0" borderId="0"/>
  </cellStyleXfs>
  <cellXfs count="310">
    <xf numFmtId="0" fontId="0" fillId="0" borderId="0" xfId="0"/>
    <xf numFmtId="38" fontId="5" fillId="0" borderId="0" xfId="1" applyFont="1" applyAlignment="1">
      <alignment vertical="center"/>
    </xf>
    <xf numFmtId="38" fontId="5" fillId="0" borderId="0" xfId="1" applyFont="1" applyFill="1" applyAlignment="1">
      <alignment vertical="center"/>
    </xf>
    <xf numFmtId="38" fontId="5" fillId="0" borderId="1" xfId="1" applyFont="1" applyFill="1" applyBorder="1" applyAlignment="1">
      <alignment horizontal="center" vertical="center"/>
    </xf>
    <xf numFmtId="38" fontId="5" fillId="0" borderId="1" xfId="1" applyFont="1" applyBorder="1" applyAlignment="1">
      <alignment horizontal="distributed" vertical="center"/>
    </xf>
    <xf numFmtId="38" fontId="5" fillId="0" borderId="0" xfId="1" applyFont="1" applyFill="1" applyAlignment="1">
      <alignment horizontal="right" vertical="center"/>
    </xf>
    <xf numFmtId="0" fontId="5" fillId="0" borderId="0" xfId="0" applyFont="1" applyAlignment="1">
      <alignment vertical="center"/>
    </xf>
    <xf numFmtId="0" fontId="5" fillId="2" borderId="1" xfId="0" applyFont="1" applyFill="1" applyBorder="1" applyAlignment="1">
      <alignment horizontal="left" vertical="center"/>
    </xf>
    <xf numFmtId="0" fontId="6" fillId="0" borderId="0" xfId="0" applyFont="1" applyAlignment="1">
      <alignment vertical="center"/>
    </xf>
    <xf numFmtId="0" fontId="5" fillId="3" borderId="1" xfId="0" applyFont="1" applyFill="1" applyBorder="1" applyAlignment="1">
      <alignment vertical="center"/>
    </xf>
    <xf numFmtId="0" fontId="5" fillId="0" borderId="0" xfId="0" applyFont="1" applyAlignment="1">
      <alignment horizontal="left" vertical="center"/>
    </xf>
    <xf numFmtId="0" fontId="5" fillId="4" borderId="1" xfId="0" applyFont="1" applyFill="1" applyBorder="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5" fillId="2" borderId="2" xfId="0" applyFont="1" applyFill="1" applyBorder="1" applyAlignment="1">
      <alignment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distributed" vertical="center"/>
    </xf>
    <xf numFmtId="178" fontId="5" fillId="0" borderId="1" xfId="0" applyNumberFormat="1" applyFont="1" applyBorder="1" applyAlignment="1">
      <alignment horizontal="right" vertical="center"/>
    </xf>
    <xf numFmtId="38" fontId="5" fillId="0" borderId="1" xfId="1" applyFont="1" applyFill="1" applyBorder="1" applyAlignment="1">
      <alignment vertical="center"/>
    </xf>
    <xf numFmtId="0" fontId="5" fillId="0" borderId="0" xfId="0" applyFont="1" applyFill="1" applyAlignment="1">
      <alignment vertical="center"/>
    </xf>
    <xf numFmtId="56" fontId="5" fillId="0" borderId="0" xfId="0" applyNumberFormat="1" applyFont="1" applyFill="1" applyAlignment="1">
      <alignment vertical="center"/>
    </xf>
    <xf numFmtId="38" fontId="5" fillId="0" borderId="2" xfId="1" applyFont="1" applyFill="1" applyBorder="1" applyAlignment="1">
      <alignment horizontal="centerContinuous" vertical="center"/>
    </xf>
    <xf numFmtId="9" fontId="5" fillId="0" borderId="3" xfId="2" applyFont="1" applyFill="1" applyBorder="1" applyAlignment="1">
      <alignment horizontal="centerContinuous" vertical="center"/>
    </xf>
    <xf numFmtId="38" fontId="5" fillId="0" borderId="4" xfId="1" applyFont="1" applyFill="1" applyBorder="1" applyAlignment="1">
      <alignment horizontal="centerContinuous" vertical="center"/>
    </xf>
    <xf numFmtId="0" fontId="5" fillId="0" borderId="0" xfId="0" applyFont="1" applyFill="1" applyAlignment="1">
      <alignment horizontal="center" vertical="center"/>
    </xf>
    <xf numFmtId="0" fontId="5" fillId="2" borderId="5" xfId="0" applyFont="1" applyFill="1" applyBorder="1" applyAlignment="1">
      <alignment horizontal="distributed" vertical="center" justifyLastLine="1"/>
    </xf>
    <xf numFmtId="0" fontId="5" fillId="0" borderId="6" xfId="0" applyFont="1" applyBorder="1" applyAlignment="1">
      <alignment horizontal="center" vertical="center"/>
    </xf>
    <xf numFmtId="177" fontId="5" fillId="2" borderId="2" xfId="0" applyNumberFormat="1" applyFont="1" applyFill="1" applyBorder="1" applyAlignment="1">
      <alignment horizontal="center" vertical="center"/>
    </xf>
    <xf numFmtId="38" fontId="5" fillId="2" borderId="1" xfId="1" applyFont="1" applyFill="1" applyBorder="1" applyAlignment="1">
      <alignment vertical="center"/>
    </xf>
    <xf numFmtId="176" fontId="5" fillId="0" borderId="0" xfId="1" applyNumberFormat="1" applyFont="1" applyFill="1" applyAlignment="1">
      <alignment vertical="center"/>
    </xf>
    <xf numFmtId="9" fontId="5" fillId="0" borderId="1" xfId="2" applyFont="1" applyFill="1" applyBorder="1" applyAlignment="1">
      <alignment horizontal="center" vertical="center"/>
    </xf>
    <xf numFmtId="0" fontId="5" fillId="0" borderId="1" xfId="0" applyFont="1" applyFill="1" applyBorder="1" applyAlignment="1">
      <alignment horizontal="distributed" vertical="center"/>
    </xf>
    <xf numFmtId="0" fontId="5" fillId="2" borderId="1" xfId="0" applyFont="1" applyFill="1" applyBorder="1" applyAlignment="1">
      <alignment vertical="center"/>
    </xf>
    <xf numFmtId="57" fontId="5" fillId="2" borderId="1" xfId="0" applyNumberFormat="1" applyFont="1" applyFill="1" applyBorder="1" applyAlignment="1">
      <alignment horizontal="center" vertical="center"/>
    </xf>
    <xf numFmtId="57" fontId="5" fillId="0" borderId="0" xfId="0" applyNumberFormat="1" applyFont="1" applyFill="1" applyAlignment="1">
      <alignment vertical="center"/>
    </xf>
    <xf numFmtId="0" fontId="5" fillId="0" borderId="2" xfId="0" applyFont="1" applyFill="1" applyBorder="1" applyAlignment="1">
      <alignment horizontal="distributed" vertical="center"/>
    </xf>
    <xf numFmtId="0" fontId="5" fillId="0" borderId="1" xfId="0" applyFont="1" applyBorder="1" applyAlignment="1">
      <alignment horizontal="distributed" vertical="center"/>
    </xf>
    <xf numFmtId="9" fontId="5" fillId="0" borderId="0" xfId="2" applyFont="1" applyFill="1" applyBorder="1" applyAlignment="1">
      <alignment horizontal="center" vertical="center"/>
    </xf>
    <xf numFmtId="38" fontId="5" fillId="0" borderId="0" xfId="1" applyFont="1" applyFill="1" applyBorder="1" applyAlignment="1">
      <alignment horizontal="center" vertical="center"/>
    </xf>
    <xf numFmtId="0" fontId="5" fillId="0" borderId="0" xfId="0" applyFont="1" applyFill="1" applyBorder="1" applyAlignment="1">
      <alignment horizontal="center" vertical="center"/>
    </xf>
    <xf numFmtId="38" fontId="5" fillId="5" borderId="6" xfId="1" applyFont="1" applyFill="1" applyBorder="1" applyAlignment="1">
      <alignment vertical="center"/>
    </xf>
    <xf numFmtId="0" fontId="5" fillId="3"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0" borderId="1" xfId="0" applyFont="1" applyBorder="1" applyAlignment="1">
      <alignment horizontal="center" vertical="center" shrinkToFit="1"/>
    </xf>
    <xf numFmtId="0" fontId="5" fillId="0" borderId="6" xfId="0" applyFont="1" applyBorder="1" applyAlignment="1">
      <alignment horizontal="center" vertical="center" shrinkToFit="1"/>
    </xf>
    <xf numFmtId="38" fontId="5" fillId="0" borderId="0" xfId="0" applyNumberFormat="1" applyFont="1" applyFill="1" applyAlignment="1">
      <alignment vertical="center"/>
    </xf>
    <xf numFmtId="0" fontId="5" fillId="2" borderId="2" xfId="0" applyFont="1" applyFill="1" applyBorder="1" applyAlignment="1">
      <alignment horizontal="distributed" vertical="center" justifyLastLine="1"/>
    </xf>
    <xf numFmtId="0" fontId="5" fillId="3" borderId="7" xfId="0" applyFont="1" applyFill="1" applyBorder="1" applyAlignment="1">
      <alignment horizontal="center" vertical="center" shrinkToFit="1"/>
    </xf>
    <xf numFmtId="0" fontId="5" fillId="5" borderId="3" xfId="0" applyFont="1" applyFill="1" applyBorder="1" applyAlignment="1">
      <alignment horizontal="center" vertical="center" shrinkToFit="1"/>
    </xf>
    <xf numFmtId="38" fontId="5" fillId="5" borderId="7" xfId="1" applyFont="1" applyFill="1" applyBorder="1" applyAlignment="1">
      <alignment vertical="center"/>
    </xf>
    <xf numFmtId="178" fontId="5" fillId="0" borderId="1" xfId="0" applyNumberFormat="1" applyFont="1" applyFill="1" applyBorder="1" applyAlignment="1">
      <alignment horizontal="right" vertical="center"/>
    </xf>
    <xf numFmtId="0" fontId="5" fillId="0" borderId="3" xfId="0" applyFont="1" applyFill="1" applyBorder="1" applyAlignment="1">
      <alignment horizontal="centerContinuous" vertical="center"/>
    </xf>
    <xf numFmtId="57" fontId="5" fillId="2" borderId="1" xfId="0" applyNumberFormat="1" applyFont="1" applyFill="1" applyBorder="1" applyAlignment="1" applyProtection="1">
      <alignment horizontal="center" vertical="center"/>
    </xf>
    <xf numFmtId="0" fontId="5" fillId="0" borderId="2" xfId="0" applyFont="1" applyFill="1" applyBorder="1" applyAlignment="1">
      <alignment horizontal="centerContinuous" vertical="center"/>
    </xf>
    <xf numFmtId="9" fontId="5" fillId="0" borderId="0" xfId="2" applyFont="1" applyFill="1" applyAlignment="1">
      <alignment vertical="center"/>
    </xf>
    <xf numFmtId="9" fontId="5" fillId="0" borderId="1" xfId="2" applyFont="1" applyFill="1" applyBorder="1" applyAlignment="1">
      <alignment vertical="center"/>
    </xf>
    <xf numFmtId="0" fontId="5" fillId="0" borderId="0" xfId="0" applyFont="1" applyBorder="1" applyAlignment="1">
      <alignment vertical="center"/>
    </xf>
    <xf numFmtId="0" fontId="5" fillId="0" borderId="8" xfId="0" applyFont="1" applyBorder="1" applyAlignme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38" fontId="5" fillId="5" borderId="1" xfId="1" applyFont="1" applyFill="1" applyBorder="1" applyAlignment="1">
      <alignment vertical="center"/>
    </xf>
    <xf numFmtId="178" fontId="5" fillId="3"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1" xfId="0" applyFont="1" applyBorder="1" applyAlignment="1">
      <alignment vertical="center"/>
    </xf>
    <xf numFmtId="0" fontId="5" fillId="0" borderId="7" xfId="0" applyFont="1" applyBorder="1" applyAlignment="1">
      <alignment horizontal="distributed" vertical="center"/>
    </xf>
    <xf numFmtId="9" fontId="5" fillId="0" borderId="1" xfId="2" applyFont="1" applyBorder="1" applyAlignment="1">
      <alignment horizontal="distributed" vertical="center"/>
    </xf>
    <xf numFmtId="0" fontId="9" fillId="0" borderId="1" xfId="0" applyFont="1" applyFill="1" applyBorder="1" applyAlignment="1">
      <alignment horizontal="center" vertical="center"/>
    </xf>
    <xf numFmtId="0" fontId="5" fillId="0" borderId="9" xfId="0" applyFont="1" applyFill="1" applyBorder="1" applyAlignment="1">
      <alignment vertical="center"/>
    </xf>
    <xf numFmtId="9" fontId="5" fillId="0" borderId="4" xfId="2" applyFont="1" applyBorder="1" applyAlignment="1">
      <alignment horizontal="distributed" vertical="center"/>
    </xf>
    <xf numFmtId="0" fontId="3" fillId="0" borderId="0" xfId="1" applyNumberFormat="1" applyFont="1" applyAlignment="1">
      <alignment vertical="center"/>
    </xf>
    <xf numFmtId="38" fontId="5" fillId="7" borderId="4" xfId="1" applyFont="1" applyFill="1" applyBorder="1" applyAlignment="1">
      <alignment vertical="center"/>
    </xf>
    <xf numFmtId="38" fontId="5" fillId="5" borderId="4" xfId="1" applyFont="1" applyFill="1" applyBorder="1" applyAlignment="1">
      <alignment vertical="center"/>
    </xf>
    <xf numFmtId="38" fontId="5" fillId="0" borderId="1" xfId="0" applyNumberFormat="1" applyFont="1" applyFill="1" applyBorder="1" applyAlignment="1">
      <alignment vertical="center"/>
    </xf>
    <xf numFmtId="38" fontId="5" fillId="4" borderId="4" xfId="1" applyFont="1" applyFill="1" applyBorder="1" applyAlignment="1">
      <alignment vertical="center"/>
    </xf>
    <xf numFmtId="38" fontId="9" fillId="0" borderId="1" xfId="1" applyFont="1" applyFill="1" applyBorder="1" applyAlignment="1">
      <alignment vertical="center"/>
    </xf>
    <xf numFmtId="38" fontId="5" fillId="0" borderId="1" xfId="1" applyFont="1" applyBorder="1" applyAlignment="1">
      <alignment vertical="center"/>
    </xf>
    <xf numFmtId="38" fontId="5" fillId="0" borderId="0" xfId="0" applyNumberFormat="1" applyFont="1" applyFill="1" applyBorder="1" applyAlignment="1">
      <alignment vertical="center"/>
    </xf>
    <xf numFmtId="57" fontId="5" fillId="0" borderId="1" xfId="0" applyNumberFormat="1" applyFont="1" applyBorder="1" applyAlignment="1">
      <alignment vertical="center"/>
    </xf>
    <xf numFmtId="0" fontId="5" fillId="0" borderId="1" xfId="1" applyNumberFormat="1" applyFont="1" applyBorder="1" applyAlignment="1">
      <alignment vertical="center"/>
    </xf>
    <xf numFmtId="0" fontId="5" fillId="0" borderId="0" xfId="0" applyFont="1" applyFill="1" applyBorder="1" applyAlignment="1">
      <alignment vertical="center"/>
    </xf>
    <xf numFmtId="0" fontId="5" fillId="0" borderId="1" xfId="0" applyFont="1" applyFill="1" applyBorder="1" applyAlignment="1">
      <alignment vertical="center"/>
    </xf>
    <xf numFmtId="57" fontId="5" fillId="0" borderId="0" xfId="0" applyNumberFormat="1" applyFont="1" applyAlignment="1">
      <alignment vertical="center"/>
    </xf>
    <xf numFmtId="0" fontId="5" fillId="0" borderId="0" xfId="1" applyNumberFormat="1" applyFont="1" applyAlignment="1">
      <alignment vertical="center"/>
    </xf>
    <xf numFmtId="0" fontId="5" fillId="0" borderId="2" xfId="0" applyFont="1" applyBorder="1" applyAlignment="1">
      <alignment horizontal="center" vertical="center" shrinkToFit="1"/>
    </xf>
    <xf numFmtId="38" fontId="5" fillId="5" borderId="10" xfId="1" applyFont="1" applyFill="1" applyBorder="1" applyAlignment="1">
      <alignment vertical="center"/>
    </xf>
    <xf numFmtId="38" fontId="10" fillId="0" borderId="1" xfId="1" applyFont="1" applyFill="1" applyBorder="1" applyAlignment="1">
      <alignment vertical="center"/>
    </xf>
    <xf numFmtId="0" fontId="10" fillId="0" borderId="0" xfId="0" applyFont="1" applyAlignment="1">
      <alignment vertical="center"/>
    </xf>
    <xf numFmtId="9" fontId="10" fillId="0" borderId="1" xfId="2" applyFont="1" applyFill="1" applyBorder="1" applyAlignment="1">
      <alignment vertical="center"/>
    </xf>
    <xf numFmtId="38" fontId="10" fillId="0" borderId="1" xfId="1" applyFont="1" applyBorder="1" applyAlignment="1">
      <alignment vertical="center"/>
    </xf>
    <xf numFmtId="0" fontId="10" fillId="0" borderId="0" xfId="0" applyFont="1" applyFill="1" applyAlignment="1">
      <alignment vertical="center"/>
    </xf>
    <xf numFmtId="38" fontId="10" fillId="0" borderId="0" xfId="1" applyFont="1" applyFill="1" applyBorder="1" applyAlignment="1">
      <alignment vertical="center"/>
    </xf>
    <xf numFmtId="9" fontId="10" fillId="0" borderId="0" xfId="2" applyFont="1" applyFill="1" applyAlignment="1">
      <alignment vertical="center"/>
    </xf>
    <xf numFmtId="38" fontId="10" fillId="0" borderId="0" xfId="1" applyFont="1" applyFill="1" applyAlignment="1">
      <alignment vertical="center"/>
    </xf>
    <xf numFmtId="38" fontId="5" fillId="0" borderId="1" xfId="1" applyFont="1" applyFill="1" applyBorder="1" applyAlignment="1">
      <alignment horizontal="centerContinuous" vertical="center"/>
    </xf>
    <xf numFmtId="0" fontId="5" fillId="0" borderId="4" xfId="0" applyFont="1" applyFill="1" applyBorder="1" applyAlignment="1">
      <alignment horizontal="centerContinuous" vertical="center"/>
    </xf>
    <xf numFmtId="0" fontId="5" fillId="0" borderId="0" xfId="0" applyFont="1" applyFill="1" applyAlignment="1">
      <alignment horizontal="right" vertical="center"/>
    </xf>
    <xf numFmtId="38" fontId="5" fillId="0" borderId="1" xfId="1" applyFont="1" applyFill="1" applyBorder="1" applyAlignment="1">
      <alignment horizontal="right" vertical="center"/>
    </xf>
    <xf numFmtId="0" fontId="5" fillId="0" borderId="0" xfId="0" applyFont="1" applyAlignment="1">
      <alignment horizontal="center" vertical="center"/>
    </xf>
    <xf numFmtId="38" fontId="5" fillId="0" borderId="9" xfId="1" applyFont="1" applyFill="1" applyBorder="1" applyAlignment="1">
      <alignment vertical="center"/>
    </xf>
    <xf numFmtId="38" fontId="5" fillId="5" borderId="4" xfId="1" applyFont="1" applyFill="1" applyBorder="1" applyAlignment="1">
      <alignment horizontal="right" vertical="center"/>
    </xf>
    <xf numFmtId="0" fontId="10" fillId="0" borderId="0" xfId="0" applyFont="1" applyFill="1" applyBorder="1" applyAlignment="1">
      <alignment vertical="center"/>
    </xf>
    <xf numFmtId="0" fontId="3" fillId="0" borderId="0" xfId="0" applyFont="1" applyBorder="1" applyAlignment="1">
      <alignment vertical="center"/>
    </xf>
    <xf numFmtId="0" fontId="5" fillId="2" borderId="3" xfId="0" applyFont="1" applyFill="1" applyBorder="1" applyAlignment="1" applyProtection="1">
      <alignment horizontal="distributed" vertical="center" justifyLastLine="1"/>
    </xf>
    <xf numFmtId="0" fontId="5" fillId="2" borderId="5" xfId="0" applyFont="1" applyFill="1" applyBorder="1" applyAlignment="1" applyProtection="1">
      <alignment horizontal="distributed" vertical="center" justifyLastLine="1"/>
    </xf>
    <xf numFmtId="0" fontId="11" fillId="0" borderId="0" xfId="0" applyFont="1" applyAlignment="1">
      <alignment vertical="center"/>
    </xf>
    <xf numFmtId="0" fontId="12" fillId="0" borderId="0" xfId="0" applyFont="1" applyAlignment="1">
      <alignment vertical="center"/>
    </xf>
    <xf numFmtId="0" fontId="5" fillId="0" borderId="0" xfId="0" applyFont="1" applyFill="1" applyBorder="1" applyAlignment="1">
      <alignment horizontal="distributed" vertical="center"/>
    </xf>
    <xf numFmtId="38" fontId="5" fillId="0" borderId="4" xfId="1" applyFont="1" applyFill="1" applyBorder="1" applyAlignment="1">
      <alignment vertical="center"/>
    </xf>
    <xf numFmtId="0" fontId="5" fillId="0" borderId="0" xfId="0" applyFont="1" applyAlignment="1">
      <alignment horizontal="right" vertical="center"/>
    </xf>
    <xf numFmtId="56" fontId="5" fillId="0" borderId="0" xfId="0" applyNumberFormat="1" applyFont="1" applyAlignment="1">
      <alignment horizontal="right" vertical="center"/>
    </xf>
    <xf numFmtId="0" fontId="5" fillId="0" borderId="0" xfId="0" applyFont="1" applyBorder="1" applyAlignment="1">
      <alignment horizontal="distributed" vertical="center"/>
    </xf>
    <xf numFmtId="0" fontId="5" fillId="0" borderId="0" xfId="0" applyFont="1" applyBorder="1" applyAlignment="1">
      <alignment horizontal="left" vertical="center"/>
    </xf>
    <xf numFmtId="56" fontId="5" fillId="0" borderId="0" xfId="0" applyNumberFormat="1" applyFont="1" applyAlignment="1">
      <alignment horizontal="center" vertical="center"/>
    </xf>
    <xf numFmtId="57" fontId="5" fillId="8" borderId="0" xfId="0" applyNumberFormat="1" applyFont="1" applyFill="1" applyAlignment="1">
      <alignment vertical="center"/>
    </xf>
    <xf numFmtId="38" fontId="5" fillId="2" borderId="7" xfId="1" applyFont="1" applyFill="1" applyBorder="1" applyAlignment="1">
      <alignment vertical="center"/>
    </xf>
    <xf numFmtId="38" fontId="5" fillId="2" borderId="11" xfId="1" applyFont="1" applyFill="1" applyBorder="1" applyAlignment="1">
      <alignment vertical="center"/>
    </xf>
    <xf numFmtId="0" fontId="5" fillId="0" borderId="11" xfId="0" applyFont="1" applyFill="1" applyBorder="1" applyAlignment="1">
      <alignment horizontal="center" vertical="center"/>
    </xf>
    <xf numFmtId="38" fontId="5" fillId="6" borderId="12" xfId="1" applyFont="1" applyFill="1" applyBorder="1" applyAlignment="1">
      <alignment horizontal="distributed" vertical="center"/>
    </xf>
    <xf numFmtId="38" fontId="5" fillId="9" borderId="1" xfId="1" applyFont="1" applyFill="1" applyBorder="1" applyAlignment="1">
      <alignment vertical="center"/>
    </xf>
    <xf numFmtId="38" fontId="5" fillId="5" borderId="13" xfId="1" applyFont="1" applyFill="1" applyBorder="1" applyAlignment="1">
      <alignment vertical="center"/>
    </xf>
    <xf numFmtId="38" fontId="5" fillId="5" borderId="6" xfId="0" applyNumberFormat="1" applyFont="1" applyFill="1" applyBorder="1" applyAlignment="1">
      <alignment vertical="center"/>
    </xf>
    <xf numFmtId="38" fontId="16" fillId="0" borderId="14" xfId="1" applyFont="1" applyBorder="1" applyAlignment="1">
      <alignment horizontal="distributed" vertical="center"/>
    </xf>
    <xf numFmtId="38" fontId="15" fillId="5" borderId="15" xfId="1" applyFont="1" applyFill="1" applyBorder="1" applyAlignment="1">
      <alignment vertical="center"/>
    </xf>
    <xf numFmtId="38" fontId="15" fillId="0" borderId="4" xfId="1" applyFont="1" applyFill="1" applyBorder="1" applyAlignment="1">
      <alignment horizontal="distributed" vertical="center"/>
    </xf>
    <xf numFmtId="57" fontId="3" fillId="8" borderId="0" xfId="0" applyNumberFormat="1" applyFont="1" applyFill="1" applyBorder="1" applyAlignment="1">
      <alignment vertical="center"/>
    </xf>
    <xf numFmtId="57" fontId="3" fillId="0" borderId="0" xfId="0" applyNumberFormat="1" applyFont="1" applyFill="1" applyBorder="1" applyAlignment="1">
      <alignment vertical="center"/>
    </xf>
    <xf numFmtId="178" fontId="9" fillId="0" borderId="1" xfId="0" applyNumberFormat="1" applyFont="1" applyFill="1" applyBorder="1" applyAlignment="1">
      <alignment horizontal="center" vertical="center"/>
    </xf>
    <xf numFmtId="0" fontId="5" fillId="0" borderId="9" xfId="0" applyFont="1" applyFill="1" applyBorder="1" applyAlignment="1">
      <alignment horizontal="center" vertical="center"/>
    </xf>
    <xf numFmtId="0" fontId="5" fillId="0" borderId="2" xfId="0" applyFont="1" applyBorder="1" applyAlignment="1">
      <alignment vertical="center"/>
    </xf>
    <xf numFmtId="0" fontId="5" fillId="0" borderId="10" xfId="0" applyFont="1" applyBorder="1" applyAlignment="1">
      <alignment vertical="center"/>
    </xf>
    <xf numFmtId="38" fontId="5" fillId="2" borderId="4" xfId="1" applyFont="1" applyFill="1" applyBorder="1" applyAlignment="1">
      <alignment vertical="center"/>
    </xf>
    <xf numFmtId="181" fontId="5" fillId="2" borderId="1" xfId="0" applyNumberFormat="1" applyFont="1" applyFill="1" applyBorder="1" applyAlignment="1">
      <alignment horizontal="center" vertical="center"/>
    </xf>
    <xf numFmtId="38" fontId="5" fillId="6" borderId="1" xfId="1" applyFont="1" applyFill="1" applyBorder="1" applyAlignment="1">
      <alignment horizontal="distributed" vertical="center"/>
    </xf>
    <xf numFmtId="0" fontId="16" fillId="0" borderId="1" xfId="0" applyFont="1" applyFill="1" applyBorder="1" applyAlignment="1">
      <alignment horizontal="distributed" vertical="center"/>
    </xf>
    <xf numFmtId="0" fontId="5" fillId="0" borderId="4" xfId="0" applyFont="1" applyBorder="1" applyAlignment="1">
      <alignment vertical="center"/>
    </xf>
    <xf numFmtId="38" fontId="5" fillId="0" borderId="9" xfId="1" applyFont="1" applyBorder="1" applyAlignment="1">
      <alignment vertical="center"/>
    </xf>
    <xf numFmtId="38" fontId="5" fillId="0" borderId="16" xfId="1" applyFont="1" applyBorder="1" applyAlignment="1">
      <alignment vertical="center"/>
    </xf>
    <xf numFmtId="0" fontId="5" fillId="0" borderId="0" xfId="0" applyFont="1" applyAlignment="1">
      <alignment vertical="center" wrapText="1"/>
    </xf>
    <xf numFmtId="0" fontId="17" fillId="0" borderId="0" xfId="0" applyFont="1" applyBorder="1" applyAlignment="1">
      <alignment horizontal="right" vertical="center"/>
    </xf>
    <xf numFmtId="0" fontId="13" fillId="5" borderId="4" xfId="0" applyFont="1" applyFill="1" applyBorder="1" applyAlignment="1">
      <alignment horizontal="left" vertical="center"/>
    </xf>
    <xf numFmtId="0" fontId="5" fillId="0" borderId="3" xfId="0" applyFont="1" applyBorder="1" applyAlignment="1">
      <alignment vertical="center"/>
    </xf>
    <xf numFmtId="0" fontId="13" fillId="0" borderId="1" xfId="0" applyFont="1" applyFill="1" applyBorder="1" applyAlignment="1">
      <alignment horizontal="distributed" vertical="center" wrapText="1"/>
    </xf>
    <xf numFmtId="0" fontId="5" fillId="0" borderId="1" xfId="0" applyFont="1" applyFill="1" applyBorder="1" applyAlignment="1">
      <alignment horizontal="center" vertical="center" shrinkToFit="1"/>
    </xf>
    <xf numFmtId="0" fontId="6" fillId="0" borderId="7" xfId="0" applyFont="1" applyBorder="1" applyAlignment="1">
      <alignment horizontal="center" vertical="center" shrinkToFit="1"/>
    </xf>
    <xf numFmtId="0" fontId="13" fillId="5" borderId="4" xfId="0" applyFont="1" applyFill="1" applyBorder="1" applyAlignment="1">
      <alignment vertical="center"/>
    </xf>
    <xf numFmtId="0" fontId="18" fillId="0" borderId="0" xfId="0" applyFont="1" applyAlignment="1">
      <alignment vertical="center"/>
    </xf>
    <xf numFmtId="0" fontId="5" fillId="4" borderId="0" xfId="0" applyFont="1" applyFill="1" applyAlignment="1">
      <alignment vertical="center"/>
    </xf>
    <xf numFmtId="0" fontId="5" fillId="3" borderId="1" xfId="0" applyFont="1" applyFill="1" applyBorder="1" applyAlignment="1">
      <alignment horizontal="center" vertical="center" shrinkToFit="1"/>
    </xf>
    <xf numFmtId="0" fontId="13" fillId="0" borderId="0" xfId="0" applyFont="1" applyBorder="1" applyAlignment="1">
      <alignment horizontal="left" vertical="center"/>
    </xf>
    <xf numFmtId="178" fontId="5" fillId="10" borderId="1" xfId="0" applyNumberFormat="1" applyFont="1" applyFill="1" applyBorder="1" applyAlignment="1">
      <alignment horizontal="right" vertical="center"/>
    </xf>
    <xf numFmtId="38" fontId="5" fillId="10" borderId="1" xfId="1" applyFont="1" applyFill="1" applyBorder="1" applyAlignment="1">
      <alignment vertical="center"/>
    </xf>
    <xf numFmtId="9" fontId="5" fillId="10" borderId="1" xfId="2" applyFont="1" applyFill="1" applyBorder="1" applyAlignment="1">
      <alignment vertical="center"/>
    </xf>
    <xf numFmtId="0" fontId="19" fillId="0" borderId="1" xfId="0" applyFont="1" applyBorder="1" applyAlignment="1">
      <alignment horizontal="left" vertical="center"/>
    </xf>
    <xf numFmtId="38" fontId="5" fillId="0" borderId="17" xfId="1" applyFont="1" applyFill="1" applyBorder="1" applyAlignment="1">
      <alignment vertical="center"/>
    </xf>
    <xf numFmtId="0" fontId="5" fillId="0" borderId="18" xfId="0" applyFont="1" applyFill="1" applyBorder="1" applyAlignment="1">
      <alignment vertical="center"/>
    </xf>
    <xf numFmtId="0" fontId="5" fillId="0" borderId="10" xfId="0" applyFont="1" applyFill="1" applyBorder="1" applyAlignment="1">
      <alignment vertical="center"/>
    </xf>
    <xf numFmtId="0" fontId="5" fillId="0" borderId="8" xfId="0" applyFont="1" applyFill="1" applyBorder="1" applyAlignment="1">
      <alignment vertical="center"/>
    </xf>
    <xf numFmtId="38" fontId="5" fillId="0" borderId="19" xfId="1" applyFont="1" applyBorder="1" applyAlignment="1">
      <alignment horizontal="right" vertical="center"/>
    </xf>
    <xf numFmtId="38" fontId="5" fillId="0" borderId="12" xfId="1" applyFont="1" applyBorder="1" applyAlignment="1">
      <alignment horizontal="right" vertical="center"/>
    </xf>
    <xf numFmtId="0" fontId="5" fillId="0" borderId="20" xfId="0" applyFont="1" applyBorder="1" applyAlignment="1">
      <alignment vertical="center"/>
    </xf>
    <xf numFmtId="0" fontId="5" fillId="0" borderId="13" xfId="0" applyFont="1" applyFill="1" applyBorder="1" applyAlignment="1">
      <alignment vertical="center"/>
    </xf>
    <xf numFmtId="0" fontId="5" fillId="0" borderId="2" xfId="0" applyFont="1" applyBorder="1" applyAlignment="1">
      <alignment horizontal="distributed" vertical="center" justifyLastLine="1"/>
    </xf>
    <xf numFmtId="38" fontId="5" fillId="10" borderId="1" xfId="1" applyFont="1" applyFill="1" applyBorder="1" applyAlignment="1">
      <alignment horizontal="right" vertical="center"/>
    </xf>
    <xf numFmtId="38" fontId="5" fillId="0" borderId="0" xfId="1" applyFont="1" applyFill="1" applyAlignment="1">
      <alignment horizontal="center" vertical="center"/>
    </xf>
    <xf numFmtId="0" fontId="5" fillId="9" borderId="2" xfId="0" applyFont="1" applyFill="1" applyBorder="1" applyAlignment="1">
      <alignment horizontal="distributed" vertical="center"/>
    </xf>
    <xf numFmtId="178" fontId="5" fillId="9" borderId="1" xfId="0" applyNumberFormat="1" applyFont="1" applyFill="1" applyBorder="1" applyAlignment="1">
      <alignment horizontal="right" vertical="center"/>
    </xf>
    <xf numFmtId="38" fontId="5" fillId="9" borderId="4" xfId="1" applyFont="1" applyFill="1" applyBorder="1" applyAlignment="1">
      <alignment vertical="center"/>
    </xf>
    <xf numFmtId="38" fontId="5" fillId="0" borderId="20" xfId="1" applyFont="1" applyBorder="1" applyAlignment="1">
      <alignment vertical="center"/>
    </xf>
    <xf numFmtId="38" fontId="5" fillId="9" borderId="15" xfId="1" applyFont="1" applyFill="1" applyBorder="1" applyAlignment="1">
      <alignment vertical="center"/>
    </xf>
    <xf numFmtId="0" fontId="5" fillId="5" borderId="1" xfId="0" applyFont="1" applyFill="1" applyBorder="1" applyAlignment="1">
      <alignment horizontal="center" vertical="center"/>
    </xf>
    <xf numFmtId="38" fontId="5" fillId="0" borderId="0" xfId="1" applyFont="1" applyBorder="1" applyAlignment="1">
      <alignment vertical="center"/>
    </xf>
    <xf numFmtId="38" fontId="5" fillId="0" borderId="20" xfId="1" applyFont="1" applyFill="1" applyBorder="1" applyAlignment="1">
      <alignment horizontal="right" vertical="center"/>
    </xf>
    <xf numFmtId="0" fontId="5" fillId="5" borderId="1" xfId="0" applyFont="1" applyFill="1" applyBorder="1" applyAlignment="1">
      <alignment vertical="center"/>
    </xf>
    <xf numFmtId="38" fontId="5" fillId="5" borderId="1" xfId="1" applyFont="1" applyFill="1" applyBorder="1" applyAlignment="1">
      <alignment horizontal="center" vertical="center"/>
    </xf>
    <xf numFmtId="0" fontId="5" fillId="5" borderId="6" xfId="0" applyFont="1" applyFill="1" applyBorder="1" applyAlignment="1">
      <alignment vertical="center"/>
    </xf>
    <xf numFmtId="38" fontId="5" fillId="5" borderId="9" xfId="1" applyFont="1" applyFill="1" applyBorder="1" applyAlignment="1">
      <alignment vertical="center"/>
    </xf>
    <xf numFmtId="0" fontId="9" fillId="9" borderId="1" xfId="0" applyFont="1" applyFill="1" applyBorder="1" applyAlignment="1">
      <alignment horizontal="center" vertical="center"/>
    </xf>
    <xf numFmtId="0" fontId="9" fillId="11" borderId="1" xfId="0" applyFont="1" applyFill="1" applyBorder="1" applyAlignment="1">
      <alignment horizontal="center" vertical="center"/>
    </xf>
    <xf numFmtId="0" fontId="11" fillId="0" borderId="0" xfId="0" applyFont="1" applyAlignment="1">
      <alignment horizontal="right" vertical="center"/>
    </xf>
    <xf numFmtId="0" fontId="5" fillId="0" borderId="12" xfId="0" applyFont="1" applyBorder="1" applyAlignment="1">
      <alignment horizontal="center" vertical="center" shrinkToFit="1"/>
    </xf>
    <xf numFmtId="0" fontId="5" fillId="0" borderId="2" xfId="0" applyFont="1" applyBorder="1" applyAlignment="1">
      <alignment horizontal="distributed" vertical="center" shrinkToFit="1"/>
    </xf>
    <xf numFmtId="0" fontId="5" fillId="0" borderId="2" xfId="0" applyFont="1" applyFill="1" applyBorder="1" applyAlignment="1">
      <alignment horizontal="distributed" vertical="center" shrinkToFit="1"/>
    </xf>
    <xf numFmtId="0" fontId="5" fillId="12" borderId="1" xfId="0" applyFont="1" applyFill="1" applyBorder="1" applyAlignment="1">
      <alignment horizontal="distributed" vertical="center"/>
    </xf>
    <xf numFmtId="178" fontId="5" fillId="12" borderId="1" xfId="0" applyNumberFormat="1" applyFont="1" applyFill="1" applyBorder="1" applyAlignment="1">
      <alignment horizontal="right"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vertical="center"/>
    </xf>
    <xf numFmtId="0" fontId="5" fillId="0" borderId="4" xfId="0" applyFont="1" applyBorder="1" applyAlignment="1">
      <alignment vertical="center"/>
    </xf>
    <xf numFmtId="0" fontId="5" fillId="0" borderId="3" xfId="0" applyFont="1" applyBorder="1" applyAlignment="1">
      <alignment horizontal="distributed" vertical="center" justifyLastLine="1"/>
    </xf>
    <xf numFmtId="0" fontId="5" fillId="0" borderId="4" xfId="0" applyFont="1" applyBorder="1" applyAlignment="1">
      <alignment horizontal="distributed" vertical="center" justifyLastLine="1"/>
    </xf>
    <xf numFmtId="38" fontId="5" fillId="2" borderId="1" xfId="1" applyFont="1" applyFill="1" applyBorder="1" applyAlignment="1">
      <alignment vertical="center"/>
    </xf>
    <xf numFmtId="57" fontId="5" fillId="2" borderId="1" xfId="0" applyNumberFormat="1" applyFont="1" applyFill="1" applyBorder="1" applyAlignment="1">
      <alignment horizontal="center" vertical="center"/>
    </xf>
    <xf numFmtId="0" fontId="5" fillId="0" borderId="2" xfId="0" applyFont="1" applyFill="1" applyBorder="1" applyAlignment="1">
      <alignment horizontal="center" vertical="center" shrinkToFit="1"/>
    </xf>
    <xf numFmtId="0" fontId="5" fillId="0" borderId="4" xfId="0" applyFont="1" applyFill="1" applyBorder="1" applyAlignment="1">
      <alignment horizontal="center" vertical="center" shrinkToFit="1"/>
    </xf>
    <xf numFmtId="0" fontId="5" fillId="0" borderId="2" xfId="0" applyFont="1" applyFill="1" applyBorder="1" applyAlignment="1">
      <alignment horizontal="center" vertical="distributed"/>
    </xf>
    <xf numFmtId="0" fontId="5" fillId="0" borderId="3" xfId="0" applyFont="1" applyFill="1" applyBorder="1" applyAlignment="1">
      <alignment horizontal="center" vertical="distributed"/>
    </xf>
    <xf numFmtId="0" fontId="5" fillId="0" borderId="4" xfId="0" applyFont="1" applyFill="1" applyBorder="1" applyAlignment="1">
      <alignment horizontal="center" vertical="distributed"/>
    </xf>
    <xf numFmtId="38" fontId="5" fillId="5" borderId="1" xfId="1" applyFont="1" applyFill="1" applyBorder="1" applyAlignment="1">
      <alignment vertical="center"/>
    </xf>
    <xf numFmtId="0" fontId="5" fillId="0" borderId="1" xfId="0" applyFont="1" applyFill="1" applyBorder="1" applyAlignment="1">
      <alignment horizontal="center" vertical="center" shrinkToFit="1"/>
    </xf>
    <xf numFmtId="0" fontId="6" fillId="0" borderId="6" xfId="0" applyFont="1" applyBorder="1" applyAlignment="1">
      <alignment horizontal="distributed" vertical="center" wrapText="1"/>
    </xf>
    <xf numFmtId="0" fontId="6" fillId="0" borderId="11" xfId="0" applyFont="1" applyBorder="1" applyAlignment="1">
      <alignment horizontal="distributed" vertical="center" wrapText="1"/>
    </xf>
    <xf numFmtId="0" fontId="5" fillId="3" borderId="1" xfId="0" applyFont="1" applyFill="1" applyBorder="1" applyAlignment="1">
      <alignment horizontal="center" vertical="center"/>
    </xf>
    <xf numFmtId="0" fontId="5" fillId="0" borderId="2" xfId="0" applyFont="1" applyFill="1" applyBorder="1" applyAlignment="1">
      <alignment horizontal="distributed" vertical="center" wrapText="1"/>
    </xf>
    <xf numFmtId="0" fontId="5" fillId="0" borderId="4" xfId="0" applyFont="1" applyFill="1" applyBorder="1" applyAlignment="1">
      <alignment horizontal="distributed" vertical="center" wrapText="1"/>
    </xf>
    <xf numFmtId="9" fontId="5" fillId="0" borderId="2" xfId="2" applyFont="1" applyBorder="1" applyAlignment="1">
      <alignment horizontal="distributed" vertical="center"/>
    </xf>
    <xf numFmtId="9" fontId="5" fillId="0" borderId="4" xfId="2" applyFont="1" applyBorder="1" applyAlignment="1">
      <alignment horizontal="distributed" vertical="center"/>
    </xf>
    <xf numFmtId="0" fontId="5" fillId="0" borderId="2" xfId="0" applyFont="1" applyBorder="1" applyAlignment="1">
      <alignment horizontal="distributed" vertical="center"/>
    </xf>
    <xf numFmtId="0" fontId="5" fillId="0" borderId="4" xfId="0" applyFont="1" applyBorder="1" applyAlignment="1">
      <alignment horizontal="distributed" vertical="center"/>
    </xf>
    <xf numFmtId="0" fontId="6" fillId="0" borderId="6" xfId="0" applyFont="1" applyBorder="1" applyAlignment="1">
      <alignment horizontal="center" vertical="center" shrinkToFit="1"/>
    </xf>
    <xf numFmtId="0" fontId="6" fillId="0" borderId="11" xfId="0" applyFont="1" applyBorder="1" applyAlignment="1">
      <alignment horizontal="center" vertical="center" shrinkToFit="1"/>
    </xf>
    <xf numFmtId="0" fontId="6" fillId="0" borderId="7" xfId="0" applyFont="1" applyBorder="1" applyAlignment="1">
      <alignment horizontal="center" vertical="center" shrinkToFit="1"/>
    </xf>
    <xf numFmtId="0" fontId="13" fillId="0" borderId="2" xfId="0" applyFont="1" applyBorder="1" applyAlignment="1">
      <alignment horizontal="left" vertical="center"/>
    </xf>
    <xf numFmtId="0" fontId="13" fillId="0" borderId="4" xfId="0" applyFont="1" applyBorder="1" applyAlignment="1">
      <alignment horizontal="left" vertical="center"/>
    </xf>
    <xf numFmtId="0" fontId="5" fillId="3" borderId="1" xfId="0" applyNumberFormat="1" applyFont="1" applyFill="1" applyBorder="1" applyAlignment="1">
      <alignment horizontal="center" vertical="center"/>
    </xf>
    <xf numFmtId="0" fontId="5" fillId="0" borderId="3" xfId="0" applyFont="1" applyFill="1" applyBorder="1" applyAlignment="1">
      <alignment horizontal="distributed" vertical="center" wrapText="1"/>
    </xf>
    <xf numFmtId="0" fontId="13" fillId="0" borderId="2" xfId="0" applyFont="1" applyBorder="1" applyAlignment="1">
      <alignment vertical="center"/>
    </xf>
    <xf numFmtId="0" fontId="13" fillId="0" borderId="4" xfId="0" applyFont="1" applyBorder="1" applyAlignment="1">
      <alignment vertical="center"/>
    </xf>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2" borderId="1" xfId="0" applyFont="1" applyFill="1" applyBorder="1" applyAlignment="1" applyProtection="1">
      <alignment vertical="center"/>
    </xf>
    <xf numFmtId="179" fontId="5" fillId="2" borderId="1" xfId="0" applyNumberFormat="1" applyFont="1" applyFill="1" applyBorder="1" applyAlignment="1">
      <alignment horizontal="center" vertical="center"/>
    </xf>
    <xf numFmtId="0" fontId="5" fillId="0" borderId="1" xfId="0" applyFont="1" applyBorder="1" applyAlignment="1" applyProtection="1">
      <alignment vertical="center" textRotation="255"/>
      <protection hidden="1"/>
    </xf>
    <xf numFmtId="0" fontId="5" fillId="0" borderId="1" xfId="0" applyFont="1" applyFill="1" applyBorder="1" applyAlignment="1">
      <alignment horizontal="distributed" vertical="center"/>
    </xf>
    <xf numFmtId="0" fontId="5" fillId="0" borderId="3" xfId="0" applyFont="1" applyBorder="1" applyAlignment="1">
      <alignment horizontal="distributed" vertical="center"/>
    </xf>
    <xf numFmtId="0" fontId="5" fillId="0" borderId="1" xfId="0" applyFont="1" applyBorder="1" applyAlignment="1" applyProtection="1">
      <alignment horizontal="distributed" vertical="center"/>
      <protection hidden="1"/>
    </xf>
    <xf numFmtId="0" fontId="5" fillId="0" borderId="1" xfId="0" applyFont="1" applyBorder="1" applyAlignment="1">
      <alignment horizontal="distributed" vertical="center"/>
    </xf>
    <xf numFmtId="0" fontId="5" fillId="2" borderId="2" xfId="0" applyFont="1" applyFill="1" applyBorder="1" applyAlignment="1">
      <alignment vertical="center"/>
    </xf>
    <xf numFmtId="0" fontId="5" fillId="2" borderId="4" xfId="0" applyFont="1" applyFill="1" applyBorder="1" applyAlignment="1">
      <alignment vertical="center"/>
    </xf>
    <xf numFmtId="0" fontId="5" fillId="0" borderId="6" xfId="0" applyFont="1" applyBorder="1" applyAlignment="1">
      <alignment horizontal="distributed" vertical="center"/>
    </xf>
    <xf numFmtId="0" fontId="5" fillId="0" borderId="7" xfId="0" applyFont="1" applyBorder="1" applyAlignment="1">
      <alignment horizontal="distributed" vertical="center"/>
    </xf>
    <xf numFmtId="38" fontId="5" fillId="6" borderId="1" xfId="1" applyFont="1" applyFill="1" applyBorder="1" applyAlignment="1">
      <alignment horizontal="distributed" vertical="center"/>
    </xf>
    <xf numFmtId="38" fontId="5" fillId="6" borderId="2" xfId="1" applyFont="1" applyFill="1" applyBorder="1" applyAlignment="1">
      <alignment horizontal="center" vertical="center" shrinkToFit="1"/>
    </xf>
    <xf numFmtId="38" fontId="5" fillId="6" borderId="4" xfId="1" applyFont="1" applyFill="1" applyBorder="1" applyAlignment="1">
      <alignment horizontal="center" vertical="center" shrinkToFit="1"/>
    </xf>
    <xf numFmtId="9" fontId="5" fillId="0" borderId="1" xfId="2" applyFont="1" applyBorder="1" applyAlignment="1">
      <alignment horizontal="distributed" vertical="center"/>
    </xf>
    <xf numFmtId="0" fontId="5" fillId="2" borderId="3" xfId="0" applyFont="1" applyFill="1" applyBorder="1" applyAlignment="1" applyProtection="1">
      <alignment vertical="center"/>
    </xf>
    <xf numFmtId="0" fontId="5" fillId="2" borderId="4" xfId="0" applyFont="1" applyFill="1" applyBorder="1" applyAlignment="1" applyProtection="1">
      <alignment vertical="center"/>
    </xf>
    <xf numFmtId="0" fontId="5" fillId="2" borderId="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38" fontId="5" fillId="6" borderId="17" xfId="1" applyFont="1" applyFill="1" applyBorder="1" applyAlignment="1">
      <alignment horizontal="distributed" vertical="center"/>
    </xf>
    <xf numFmtId="38" fontId="5" fillId="6" borderId="18" xfId="1" applyFont="1" applyFill="1" applyBorder="1" applyAlignment="1">
      <alignment horizontal="distributed" vertical="center"/>
    </xf>
    <xf numFmtId="38" fontId="5" fillId="6" borderId="10" xfId="1" applyFont="1" applyFill="1" applyBorder="1" applyAlignment="1">
      <alignment horizontal="distributed" vertical="center"/>
    </xf>
    <xf numFmtId="38" fontId="5" fillId="6" borderId="19" xfId="1" applyFont="1" applyFill="1" applyBorder="1" applyAlignment="1">
      <alignment horizontal="distributed" vertical="center"/>
    </xf>
    <xf numFmtId="38" fontId="5" fillId="6" borderId="0" xfId="1" applyFont="1" applyFill="1" applyBorder="1" applyAlignment="1">
      <alignment horizontal="distributed" vertical="center"/>
    </xf>
    <xf numFmtId="38" fontId="5" fillId="6" borderId="8" xfId="1" applyFont="1" applyFill="1" applyBorder="1" applyAlignment="1">
      <alignment horizontal="distributed" vertical="center"/>
    </xf>
    <xf numFmtId="9" fontId="5" fillId="0" borderId="3" xfId="2" applyFont="1" applyBorder="1" applyAlignment="1">
      <alignment horizontal="distributed" vertical="center"/>
    </xf>
    <xf numFmtId="49" fontId="5" fillId="2" borderId="1" xfId="0" applyNumberFormat="1" applyFont="1" applyFill="1" applyBorder="1" applyAlignment="1">
      <alignment horizontal="center" vertical="center"/>
    </xf>
    <xf numFmtId="181" fontId="5" fillId="2" borderId="1" xfId="0" applyNumberFormat="1" applyFont="1" applyFill="1" applyBorder="1" applyAlignment="1">
      <alignment horizontal="center" vertical="center"/>
    </xf>
    <xf numFmtId="0" fontId="5" fillId="0" borderId="2" xfId="0" applyFont="1" applyFill="1" applyBorder="1" applyAlignment="1">
      <alignment horizontal="distributed" vertical="center"/>
    </xf>
    <xf numFmtId="0" fontId="5" fillId="0" borderId="3" xfId="0" applyFont="1" applyFill="1" applyBorder="1" applyAlignment="1">
      <alignment horizontal="distributed" vertical="center"/>
    </xf>
    <xf numFmtId="0" fontId="5" fillId="0" borderId="2" xfId="0" applyFont="1" applyBorder="1" applyAlignment="1" applyProtection="1">
      <alignment horizontal="distributed" vertical="center"/>
      <protection hidden="1"/>
    </xf>
    <xf numFmtId="0" fontId="5" fillId="0" borderId="4" xfId="0" applyFont="1" applyBorder="1" applyAlignment="1" applyProtection="1">
      <alignment horizontal="distributed" vertical="center"/>
      <protection hidden="1"/>
    </xf>
    <xf numFmtId="182" fontId="5" fillId="2" borderId="1" xfId="0" applyNumberFormat="1" applyFont="1" applyFill="1" applyBorder="1" applyAlignment="1">
      <alignment horizontal="center" vertical="center"/>
    </xf>
    <xf numFmtId="180" fontId="5" fillId="2" borderId="1" xfId="0" applyNumberFormat="1" applyFont="1" applyFill="1" applyBorder="1" applyAlignment="1">
      <alignment horizontal="center" vertical="center"/>
    </xf>
    <xf numFmtId="0" fontId="5" fillId="2" borderId="3" xfId="0" applyFont="1" applyFill="1" applyBorder="1" applyAlignment="1" applyProtection="1">
      <alignment horizontal="center" vertical="center"/>
    </xf>
    <xf numFmtId="0" fontId="5" fillId="0" borderId="2" xfId="0" applyFont="1" applyBorder="1" applyAlignment="1" applyProtection="1">
      <alignment horizontal="distributed" vertical="center" shrinkToFit="1"/>
      <protection hidden="1"/>
    </xf>
    <xf numFmtId="0" fontId="5" fillId="0" borderId="3" xfId="0" applyFont="1" applyBorder="1" applyAlignment="1" applyProtection="1">
      <alignment horizontal="distributed" vertical="center" shrinkToFit="1"/>
      <protection hidden="1"/>
    </xf>
    <xf numFmtId="0" fontId="5" fillId="0" borderId="2" xfId="0" applyFont="1" applyBorder="1" applyAlignment="1">
      <alignment horizontal="distributed" vertical="center" justifyLastLine="1"/>
    </xf>
    <xf numFmtId="38" fontId="5" fillId="5" borderId="1" xfId="0" applyNumberFormat="1" applyFont="1" applyFill="1" applyBorder="1" applyAlignment="1">
      <alignment vertical="center"/>
    </xf>
    <xf numFmtId="38" fontId="5" fillId="0" borderId="1" xfId="1" applyFont="1" applyBorder="1" applyAlignment="1">
      <alignment horizontal="distributed" vertical="center" wrapText="1"/>
    </xf>
    <xf numFmtId="38" fontId="5" fillId="0" borderId="1" xfId="1" applyFont="1" applyBorder="1" applyAlignment="1">
      <alignment horizontal="distributed" vertical="center"/>
    </xf>
    <xf numFmtId="38" fontId="5" fillId="0" borderId="2" xfId="1" applyFont="1" applyBorder="1" applyAlignment="1">
      <alignment horizontal="distributed" vertical="center"/>
    </xf>
    <xf numFmtId="38" fontId="5" fillId="0" borderId="19" xfId="1" applyFont="1" applyBorder="1" applyAlignment="1">
      <alignment horizontal="distributed" vertical="center" wrapText="1"/>
    </xf>
    <xf numFmtId="38" fontId="5" fillId="0" borderId="0" xfId="1" applyFont="1" applyBorder="1" applyAlignment="1">
      <alignment horizontal="distributed" vertical="center" wrapText="1"/>
    </xf>
    <xf numFmtId="38" fontId="5" fillId="0" borderId="12" xfId="1" applyFont="1" applyBorder="1" applyAlignment="1">
      <alignment horizontal="distributed" vertical="center" wrapText="1"/>
    </xf>
    <xf numFmtId="38" fontId="5" fillId="0" borderId="20" xfId="1" applyFont="1" applyBorder="1" applyAlignment="1">
      <alignment horizontal="distributed" vertical="center" wrapText="1"/>
    </xf>
    <xf numFmtId="38" fontId="5" fillId="0" borderId="7" xfId="1" applyFont="1" applyBorder="1" applyAlignment="1">
      <alignment horizontal="distributed" vertical="center"/>
    </xf>
    <xf numFmtId="38" fontId="5" fillId="0" borderId="17" xfId="1" applyFont="1" applyFill="1" applyBorder="1" applyAlignment="1">
      <alignment horizontal="distributed" vertical="center"/>
    </xf>
    <xf numFmtId="38" fontId="5" fillId="0" borderId="18" xfId="1" applyFont="1" applyFill="1" applyBorder="1" applyAlignment="1">
      <alignment horizontal="distributed" vertical="center"/>
    </xf>
    <xf numFmtId="38" fontId="5" fillId="0" borderId="10" xfId="1" applyFont="1" applyFill="1" applyBorder="1" applyAlignment="1">
      <alignment horizontal="distributed" vertical="center"/>
    </xf>
    <xf numFmtId="38" fontId="5" fillId="0" borderId="12" xfId="1" applyFont="1" applyFill="1" applyBorder="1" applyAlignment="1">
      <alignment horizontal="distributed" vertical="center"/>
    </xf>
    <xf numFmtId="38" fontId="5" fillId="0" borderId="20" xfId="1" applyFont="1" applyFill="1" applyBorder="1" applyAlignment="1">
      <alignment horizontal="distributed" vertical="center"/>
    </xf>
    <xf numFmtId="38" fontId="5" fillId="0" borderId="13" xfId="1" applyFont="1" applyFill="1" applyBorder="1" applyAlignment="1">
      <alignment horizontal="distributed" vertical="center"/>
    </xf>
    <xf numFmtId="38" fontId="5" fillId="0" borderId="1" xfId="1" applyFont="1" applyFill="1" applyBorder="1" applyAlignment="1">
      <alignment horizontal="distributed"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5" fillId="0" borderId="2"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38" fontId="5" fillId="0" borderId="3" xfId="1" applyFont="1" applyBorder="1" applyAlignment="1">
      <alignment horizontal="distributed" vertical="center"/>
    </xf>
    <xf numFmtId="38" fontId="6" fillId="0" borderId="6" xfId="1" applyFont="1" applyFill="1" applyBorder="1" applyAlignment="1">
      <alignment vertical="center" textRotation="255" shrinkToFit="1"/>
    </xf>
    <xf numFmtId="38" fontId="6" fillId="0" borderId="11" xfId="1" applyFont="1" applyFill="1" applyBorder="1" applyAlignment="1">
      <alignment vertical="center" textRotation="255" shrinkToFit="1"/>
    </xf>
    <xf numFmtId="38" fontId="6" fillId="0" borderId="7" xfId="1" applyFont="1" applyFill="1" applyBorder="1" applyAlignment="1">
      <alignment vertical="center" textRotation="255" shrinkToFit="1"/>
    </xf>
    <xf numFmtId="0" fontId="5" fillId="0" borderId="1" xfId="0" applyFont="1" applyBorder="1" applyAlignment="1">
      <alignment vertical="center"/>
    </xf>
    <xf numFmtId="38" fontId="5" fillId="0" borderId="2" xfId="1" applyFont="1" applyFill="1" applyBorder="1" applyAlignment="1">
      <alignment horizontal="distributed" vertical="center"/>
    </xf>
    <xf numFmtId="38" fontId="5" fillId="0" borderId="21" xfId="1" applyFont="1" applyFill="1" applyBorder="1" applyAlignment="1">
      <alignment horizontal="distributed" vertical="center"/>
    </xf>
    <xf numFmtId="0" fontId="5" fillId="0" borderId="6" xfId="0" applyFont="1" applyFill="1" applyBorder="1" applyAlignment="1">
      <alignment vertical="center" textRotation="255"/>
    </xf>
    <xf numFmtId="0" fontId="5" fillId="0" borderId="11" xfId="0" applyFont="1" applyFill="1" applyBorder="1" applyAlignment="1">
      <alignment vertical="center" textRotation="255"/>
    </xf>
    <xf numFmtId="0" fontId="5" fillId="0" borderId="7" xfId="0" applyFont="1" applyFill="1" applyBorder="1" applyAlignment="1">
      <alignment vertical="center" textRotation="255"/>
    </xf>
    <xf numFmtId="38" fontId="5" fillId="6" borderId="12" xfId="1" applyFont="1" applyFill="1" applyBorder="1" applyAlignment="1">
      <alignment vertical="center" shrinkToFit="1"/>
    </xf>
    <xf numFmtId="38" fontId="5" fillId="6" borderId="13" xfId="1" applyFont="1" applyFill="1" applyBorder="1" applyAlignment="1">
      <alignment vertical="center" shrinkToFit="1"/>
    </xf>
    <xf numFmtId="0" fontId="5" fillId="0" borderId="6" xfId="0" applyFont="1" applyBorder="1" applyAlignment="1">
      <alignment horizontal="distributed" vertical="center" shrinkToFit="1"/>
    </xf>
    <xf numFmtId="0" fontId="5" fillId="0" borderId="7" xfId="0" applyFont="1" applyBorder="1" applyAlignment="1">
      <alignment horizontal="distributed" vertical="center" shrinkToFit="1"/>
    </xf>
    <xf numFmtId="38" fontId="5" fillId="5" borderId="2" xfId="0" applyNumberFormat="1" applyFont="1" applyFill="1" applyBorder="1" applyAlignment="1">
      <alignment vertical="center"/>
    </xf>
    <xf numFmtId="38" fontId="5" fillId="5" borderId="4" xfId="0" applyNumberFormat="1"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distributed" vertical="center" wrapText="1"/>
    </xf>
    <xf numFmtId="0" fontId="5" fillId="0" borderId="1" xfId="0" applyFont="1" applyFill="1" applyBorder="1" applyAlignment="1">
      <alignment horizontal="distributed" vertical="center" shrinkToFit="1"/>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38" fontId="5" fillId="0" borderId="6" xfId="1" applyFont="1" applyFill="1" applyBorder="1" applyAlignment="1">
      <alignment horizontal="center" vertical="center"/>
    </xf>
    <xf numFmtId="38" fontId="5" fillId="0" borderId="7" xfId="1" applyFont="1" applyFill="1" applyBorder="1" applyAlignment="1">
      <alignment horizontal="center" vertical="center"/>
    </xf>
    <xf numFmtId="38" fontId="3" fillId="5" borderId="6" xfId="0" applyNumberFormat="1" applyFont="1" applyFill="1" applyBorder="1" applyAlignment="1">
      <alignment horizontal="center" vertical="center"/>
    </xf>
    <xf numFmtId="0" fontId="20" fillId="0" borderId="2" xfId="0" applyFont="1" applyFill="1" applyBorder="1" applyAlignment="1">
      <alignment horizontal="distributed" vertical="center"/>
    </xf>
    <xf numFmtId="0" fontId="20" fillId="0" borderId="4" xfId="0" applyFont="1" applyFill="1" applyBorder="1" applyAlignment="1">
      <alignment horizontal="distributed" vertical="center"/>
    </xf>
    <xf numFmtId="0" fontId="20" fillId="0" borderId="2" xfId="0" applyFont="1" applyBorder="1" applyAlignment="1">
      <alignment horizontal="distributed" vertical="center"/>
    </xf>
    <xf numFmtId="0" fontId="15" fillId="0" borderId="4" xfId="0" applyFont="1" applyBorder="1" applyAlignment="1">
      <alignment horizontal="distributed" vertical="center"/>
    </xf>
  </cellXfs>
  <cellStyles count="5">
    <cellStyle name="Comma [0]" xfId="1" builtinId="6"/>
    <cellStyle name="Normal" xfId="0" builtinId="0"/>
    <cellStyle name="Percent" xfId="2" builtinId="5"/>
    <cellStyle name="標準 2" xfId="3"/>
    <cellStyle name="標準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68580</xdr:colOff>
      <xdr:row>7</xdr:row>
      <xdr:rowOff>1905</xdr:rowOff>
    </xdr:from>
    <xdr:to>
      <xdr:col>16</xdr:col>
      <xdr:colOff>266904</xdr:colOff>
      <xdr:row>8</xdr:row>
      <xdr:rowOff>40005</xdr:rowOff>
    </xdr:to>
    <xdr:sp macro="" textlink="">
      <xdr:nvSpPr>
        <xdr:cNvPr id="7183" name="Oval 1"/>
        <xdr:cNvSpPr>
          <a:spLocks noChangeArrowheads="1"/>
        </xdr:cNvSpPr>
      </xdr:nvSpPr>
      <xdr:spPr bwMode="auto">
        <a:xfrm>
          <a:off x="8231505" y="1167765"/>
          <a:ext cx="209550" cy="198120"/>
        </a:xfrm>
        <a:prstGeom prst="ellipse">
          <a:avLst/>
        </a:prstGeom>
        <a:solidFill>
          <a:srgbClr val="FFFFFF"/>
        </a:solidFill>
        <a:ln w="9525">
          <a:solidFill>
            <a:srgbClr val="0000FF"/>
          </a:solidFill>
          <a:round/>
          <a:headEnd/>
          <a:tailEnd/>
        </a:ln>
      </xdr:spPr>
      <xdr:txBody>
        <a:bodyPr vertOverflow="clip" wrap="square" lIns="0" tIns="0" rIns="0" bIns="0" anchor="ctr" upright="1"/>
        <a:lstStyle/>
        <a:p>
          <a:pPr algn="ctr" rtl="0">
            <a:defRPr sz="1000"/>
          </a:pPr>
          <a:r>
            <a:rPr lang="ja-JP" altLang="en-US" sz="800" b="0" i="0" strike="noStrike">
              <a:solidFill>
                <a:srgbClr val="0000FF"/>
              </a:solidFill>
              <a:latin typeface="MS UI Gothic"/>
              <a:ea typeface="MS UI Gothic"/>
            </a:rPr>
            <a:t>扶</a:t>
          </a:r>
        </a:p>
      </xdr:txBody>
    </xdr:sp>
    <xdr:clientData/>
  </xdr:twoCellAnchor>
  <xdr:twoCellAnchor editAs="oneCell">
    <xdr:from>
      <xdr:col>16</xdr:col>
      <xdr:colOff>0</xdr:colOff>
      <xdr:row>41</xdr:row>
      <xdr:rowOff>97155</xdr:rowOff>
    </xdr:from>
    <xdr:to>
      <xdr:col>16</xdr:col>
      <xdr:colOff>205987</xdr:colOff>
      <xdr:row>42</xdr:row>
      <xdr:rowOff>135254</xdr:rowOff>
    </xdr:to>
    <xdr:sp macro="" textlink="">
      <xdr:nvSpPr>
        <xdr:cNvPr id="7184" name="Oval 2"/>
        <xdr:cNvSpPr>
          <a:spLocks noChangeArrowheads="1"/>
        </xdr:cNvSpPr>
      </xdr:nvSpPr>
      <xdr:spPr bwMode="auto">
        <a:xfrm>
          <a:off x="7772400" y="4463415"/>
          <a:ext cx="207718" cy="198119"/>
        </a:xfrm>
        <a:prstGeom prst="ellipse">
          <a:avLst/>
        </a:prstGeom>
        <a:solidFill>
          <a:srgbClr val="FFFFFF"/>
        </a:solidFill>
        <a:ln w="9525">
          <a:solidFill>
            <a:srgbClr val="0000FF"/>
          </a:solidFill>
          <a:round/>
          <a:headEnd/>
          <a:tailEnd/>
        </a:ln>
      </xdr:spPr>
      <xdr:txBody>
        <a:bodyPr vertOverflow="clip" wrap="square" lIns="0" tIns="0" rIns="0" bIns="0" anchor="ctr" upright="1"/>
        <a:lstStyle/>
        <a:p>
          <a:pPr algn="ctr" rtl="0">
            <a:defRPr sz="1000"/>
          </a:pPr>
          <a:r>
            <a:rPr lang="ja-JP" altLang="en-US" sz="800" b="0" i="0" strike="noStrike">
              <a:solidFill>
                <a:srgbClr val="0000FF"/>
              </a:solidFill>
              <a:latin typeface="MS UI Gothic"/>
              <a:ea typeface="MS UI Gothic"/>
            </a:rPr>
            <a:t>保</a:t>
          </a:r>
        </a:p>
      </xdr:txBody>
    </xdr:sp>
    <xdr:clientData/>
  </xdr:twoCellAnchor>
  <xdr:twoCellAnchor>
    <xdr:from>
      <xdr:col>17</xdr:col>
      <xdr:colOff>133350</xdr:colOff>
      <xdr:row>5</xdr:row>
      <xdr:rowOff>57150</xdr:rowOff>
    </xdr:from>
    <xdr:to>
      <xdr:col>17</xdr:col>
      <xdr:colOff>142875</xdr:colOff>
      <xdr:row>52</xdr:row>
      <xdr:rowOff>9525</xdr:rowOff>
    </xdr:to>
    <xdr:sp macro="" textlink="">
      <xdr:nvSpPr>
        <xdr:cNvPr id="1045" name="Line 7"/>
        <xdr:cNvSpPr>
          <a:spLocks noChangeShapeType="1"/>
        </xdr:cNvSpPr>
      </xdr:nvSpPr>
      <xdr:spPr bwMode="auto">
        <a:xfrm>
          <a:off x="8420100" y="866775"/>
          <a:ext cx="9525" cy="7600950"/>
        </a:xfrm>
        <a:prstGeom prst="line">
          <a:avLst/>
        </a:prstGeom>
        <a:noFill/>
        <a:ln w="9525">
          <a:solidFill>
            <a:srgbClr val="000000"/>
          </a:solidFill>
          <a:prstDash val="dash"/>
          <a:round/>
          <a:headEnd/>
          <a:tailEnd/>
        </a:ln>
      </xdr:spPr>
    </xdr:sp>
    <xdr:clientData/>
  </xdr:twoCellAnchor>
  <xdr:twoCellAnchor>
    <xdr:from>
      <xdr:col>5</xdr:col>
      <xdr:colOff>247650</xdr:colOff>
      <xdr:row>26</xdr:row>
      <xdr:rowOff>85725</xdr:rowOff>
    </xdr:from>
    <xdr:to>
      <xdr:col>17</xdr:col>
      <xdr:colOff>161925</xdr:colOff>
      <xdr:row>26</xdr:row>
      <xdr:rowOff>85725</xdr:rowOff>
    </xdr:to>
    <xdr:sp macro="" textlink="">
      <xdr:nvSpPr>
        <xdr:cNvPr id="1046" name="Line 8"/>
        <xdr:cNvSpPr>
          <a:spLocks noChangeShapeType="1"/>
        </xdr:cNvSpPr>
      </xdr:nvSpPr>
      <xdr:spPr bwMode="auto">
        <a:xfrm flipH="1">
          <a:off x="2362200" y="4333875"/>
          <a:ext cx="6086475" cy="0"/>
        </a:xfrm>
        <a:prstGeom prst="line">
          <a:avLst/>
        </a:prstGeom>
        <a:noFill/>
        <a:ln w="9525">
          <a:solidFill>
            <a:srgbClr val="000000"/>
          </a:solidFill>
          <a:prstDash val="dash"/>
          <a:round/>
          <a:headEnd/>
          <a:tailEnd/>
        </a:ln>
      </xdr:spPr>
    </xdr:sp>
    <xdr:clientData/>
  </xdr:twoCellAnchor>
  <xdr:twoCellAnchor>
    <xdr:from>
      <xdr:col>9</xdr:col>
      <xdr:colOff>304800</xdr:colOff>
      <xdr:row>38</xdr:row>
      <xdr:rowOff>9525</xdr:rowOff>
    </xdr:from>
    <xdr:to>
      <xdr:col>9</xdr:col>
      <xdr:colOff>304800</xdr:colOff>
      <xdr:row>52</xdr:row>
      <xdr:rowOff>9525</xdr:rowOff>
    </xdr:to>
    <xdr:sp macro="" textlink="">
      <xdr:nvSpPr>
        <xdr:cNvPr id="1047" name="Line 9"/>
        <xdr:cNvSpPr>
          <a:spLocks noChangeShapeType="1"/>
        </xdr:cNvSpPr>
      </xdr:nvSpPr>
      <xdr:spPr bwMode="auto">
        <a:xfrm flipH="1">
          <a:off x="4467225" y="6200775"/>
          <a:ext cx="0" cy="2266950"/>
        </a:xfrm>
        <a:prstGeom prst="line">
          <a:avLst/>
        </a:prstGeom>
        <a:noFill/>
        <a:ln w="9525">
          <a:solidFill>
            <a:srgbClr val="000000"/>
          </a:solidFill>
          <a:prstDash val="dash"/>
          <a:round/>
          <a:headEnd/>
          <a:tailEnd/>
        </a:ln>
      </xdr:spPr>
    </xdr:sp>
    <xdr:clientData/>
  </xdr:twoCellAnchor>
  <xdr:twoCellAnchor editAs="oneCell">
    <xdr:from>
      <xdr:col>16</xdr:col>
      <xdr:colOff>51435</xdr:colOff>
      <xdr:row>26</xdr:row>
      <xdr:rowOff>112395</xdr:rowOff>
    </xdr:from>
    <xdr:to>
      <xdr:col>16</xdr:col>
      <xdr:colOff>247613</xdr:colOff>
      <xdr:row>27</xdr:row>
      <xdr:rowOff>150494</xdr:rowOff>
    </xdr:to>
    <xdr:sp macro="" textlink="">
      <xdr:nvSpPr>
        <xdr:cNvPr id="8" name="Oval 2"/>
        <xdr:cNvSpPr>
          <a:spLocks noChangeArrowheads="1"/>
        </xdr:cNvSpPr>
      </xdr:nvSpPr>
      <xdr:spPr bwMode="auto">
        <a:xfrm>
          <a:off x="8199120" y="4443095"/>
          <a:ext cx="207718" cy="203199"/>
        </a:xfrm>
        <a:prstGeom prst="ellipse">
          <a:avLst/>
        </a:prstGeom>
        <a:solidFill>
          <a:srgbClr val="FFFFFF"/>
        </a:solidFill>
        <a:ln w="9525">
          <a:solidFill>
            <a:srgbClr val="0000FF"/>
          </a:solidFill>
          <a:round/>
          <a:headEnd/>
          <a:tailEnd/>
        </a:ln>
      </xdr:spPr>
      <xdr:txBody>
        <a:bodyPr vertOverflow="clip" wrap="square" lIns="0" tIns="0" rIns="0" bIns="0" anchor="ctr" upright="1"/>
        <a:lstStyle/>
        <a:p>
          <a:pPr algn="ctr" rtl="0">
            <a:defRPr sz="1000"/>
          </a:pPr>
          <a:r>
            <a:rPr lang="ja-JP" altLang="en-US" sz="800" b="0" i="0" strike="noStrike">
              <a:solidFill>
                <a:srgbClr val="0000FF"/>
              </a:solidFill>
              <a:latin typeface="MS UI Gothic"/>
              <a:ea typeface="MS UI Gothic"/>
            </a:rPr>
            <a:t>配</a:t>
          </a:r>
        </a:p>
      </xdr:txBody>
    </xdr:sp>
    <xdr:clientData/>
  </xdr:twoCellAnchor>
  <xdr:twoCellAnchor>
    <xdr:from>
      <xdr:col>5</xdr:col>
      <xdr:colOff>228600</xdr:colOff>
      <xdr:row>26</xdr:row>
      <xdr:rowOff>95250</xdr:rowOff>
    </xdr:from>
    <xdr:to>
      <xdr:col>5</xdr:col>
      <xdr:colOff>228600</xdr:colOff>
      <xdr:row>38</xdr:row>
      <xdr:rowOff>0</xdr:rowOff>
    </xdr:to>
    <xdr:sp macro="" textlink="">
      <xdr:nvSpPr>
        <xdr:cNvPr id="1049" name="Line 9"/>
        <xdr:cNvSpPr>
          <a:spLocks noChangeShapeType="1"/>
        </xdr:cNvSpPr>
      </xdr:nvSpPr>
      <xdr:spPr bwMode="auto">
        <a:xfrm>
          <a:off x="2343150" y="4343400"/>
          <a:ext cx="0" cy="1847850"/>
        </a:xfrm>
        <a:prstGeom prst="line">
          <a:avLst/>
        </a:prstGeom>
        <a:noFill/>
        <a:ln w="9525">
          <a:solidFill>
            <a:srgbClr val="000000"/>
          </a:solidFill>
          <a:prstDash val="dash"/>
          <a:round/>
          <a:headEnd/>
          <a:tailEnd/>
        </a:ln>
      </xdr:spPr>
    </xdr:sp>
    <xdr:clientData/>
  </xdr:twoCellAnchor>
  <xdr:twoCellAnchor>
    <xdr:from>
      <xdr:col>9</xdr:col>
      <xdr:colOff>285750</xdr:colOff>
      <xdr:row>40</xdr:row>
      <xdr:rowOff>152400</xdr:rowOff>
    </xdr:from>
    <xdr:to>
      <xdr:col>17</xdr:col>
      <xdr:colOff>104775</xdr:colOff>
      <xdr:row>40</xdr:row>
      <xdr:rowOff>161925</xdr:rowOff>
    </xdr:to>
    <xdr:sp macro="" textlink="">
      <xdr:nvSpPr>
        <xdr:cNvPr id="1050" name="Line 8"/>
        <xdr:cNvSpPr>
          <a:spLocks noChangeShapeType="1"/>
        </xdr:cNvSpPr>
      </xdr:nvSpPr>
      <xdr:spPr bwMode="auto">
        <a:xfrm flipH="1" flipV="1">
          <a:off x="4448175" y="6667500"/>
          <a:ext cx="3943350" cy="9525"/>
        </a:xfrm>
        <a:prstGeom prst="line">
          <a:avLst/>
        </a:prstGeom>
        <a:noFill/>
        <a:ln w="9525">
          <a:solidFill>
            <a:srgbClr val="000000"/>
          </a:solidFill>
          <a:prstDash val="dash"/>
          <a:round/>
          <a:headEnd/>
          <a:tailEnd/>
        </a:ln>
      </xdr:spPr>
    </xdr:sp>
    <xdr:clientData/>
  </xdr:twoCellAnchor>
  <xdr:twoCellAnchor>
    <xdr:from>
      <xdr:col>5</xdr:col>
      <xdr:colOff>219075</xdr:colOff>
      <xdr:row>38</xdr:row>
      <xdr:rowOff>0</xdr:rowOff>
    </xdr:from>
    <xdr:to>
      <xdr:col>9</xdr:col>
      <xdr:colOff>304800</xdr:colOff>
      <xdr:row>38</xdr:row>
      <xdr:rowOff>9525</xdr:rowOff>
    </xdr:to>
    <xdr:sp macro="" textlink="">
      <xdr:nvSpPr>
        <xdr:cNvPr id="1051" name="Line 8"/>
        <xdr:cNvSpPr>
          <a:spLocks noChangeShapeType="1"/>
        </xdr:cNvSpPr>
      </xdr:nvSpPr>
      <xdr:spPr bwMode="auto">
        <a:xfrm flipH="1" flipV="1">
          <a:off x="2333625" y="6191250"/>
          <a:ext cx="2133600" cy="9525"/>
        </a:xfrm>
        <a:prstGeom prst="line">
          <a:avLst/>
        </a:prstGeom>
        <a:noFill/>
        <a:ln w="9525">
          <a:solidFill>
            <a:srgbClr val="000000"/>
          </a:solidFill>
          <a:prstDash val="dash"/>
          <a:round/>
          <a:headEnd/>
          <a:tailEnd/>
        </a:ln>
      </xdr:spPr>
    </xdr:sp>
    <xdr:clientData/>
  </xdr:twoCellAnchor>
</xdr:wsDr>
</file>

<file path=xl/theme/theme1.xml><?xml version="1.0" encoding="utf-8"?>
<a:theme xmlns:a="http://schemas.openxmlformats.org/drawingml/2006/main" name="Office テーマ">
  <a:themeElements>
    <a:clrScheme name="OLD">
      <a:dk1>
        <a:sysClr val="windowText" lastClr="000000"/>
      </a:dk1>
      <a:lt1>
        <a:sysClr val="window" lastClr="FFFFFF"/>
      </a:lt1>
      <a:dk2>
        <a:srgbClr val="575F6D"/>
      </a:dk2>
      <a:lt2>
        <a:srgbClr val="FFF39D"/>
      </a:lt2>
      <a:accent1>
        <a:srgbClr val="FF99CC"/>
      </a:accent1>
      <a:accent2>
        <a:srgbClr val="FFCC99"/>
      </a:accent2>
      <a:accent3>
        <a:srgbClr val="FFFF99"/>
      </a:accent3>
      <a:accent4>
        <a:srgbClr val="CCFFCC"/>
      </a:accent4>
      <a:accent5>
        <a:srgbClr val="CCFFFF"/>
      </a:accent5>
      <a:accent6>
        <a:srgbClr val="CC99FF"/>
      </a:accent6>
      <a:hlink>
        <a:srgbClr val="D2611C"/>
      </a:hlink>
      <a:folHlink>
        <a:srgbClr val="3B435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25400">
          <a:solidFill>
            <a:srgbClr val="FF6600"/>
          </a:solidFill>
          <a:round/>
          <a:headEnd/>
          <a:tailEnd/>
        </a:ln>
        <a:extLst>
          <a:ext uri="{909E8E84-426E-40DD-AFC4-6F175D3DCCD1}">
            <a14:hiddenFill xmlns:a14="http://schemas.microsoft.com/office/drawing/2010/main" xmlns="">
              <a:solidFill>
                <a:srgbClr val="FFFFFF"/>
              </a:solidFill>
            </a14:hiddenFill>
          </a:ext>
        </a:extLst>
      </a:spPr>
      <a:body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pageSetUpPr fitToPage="1"/>
  </sheetPr>
  <dimension ref="A1:AS96"/>
  <sheetViews>
    <sheetView tabSelected="1" workbookViewId="0"/>
  </sheetViews>
  <sheetFormatPr defaultRowHeight="12.75" customHeight="1" outlineLevelCol="1"/>
  <cols>
    <col min="1" max="1" width="2.28515625" style="6" customWidth="1"/>
    <col min="2" max="2" width="10.5703125" style="6" customWidth="1"/>
    <col min="3" max="7" width="6.28515625" style="6" customWidth="1"/>
    <col min="8" max="8" width="12.5703125" style="6" customWidth="1"/>
    <col min="9" max="9" width="5.5703125" style="6" customWidth="1"/>
    <col min="10" max="10" width="8.5703125" style="6" customWidth="1"/>
    <col min="11" max="11" width="5.7109375" style="6" customWidth="1"/>
    <col min="12" max="12" width="5.5703125" style="6" customWidth="1"/>
    <col min="13" max="14" width="10.5703125" style="6" customWidth="1"/>
    <col min="15" max="15" width="9.85546875" style="6" customWidth="1"/>
    <col min="16" max="16" width="5.5703125" style="6" customWidth="1"/>
    <col min="17" max="17" width="5.42578125" style="6" customWidth="1"/>
    <col min="18" max="20" width="4.28515625" style="6" customWidth="1"/>
    <col min="21" max="21" width="6.28515625" style="6" customWidth="1"/>
    <col min="22" max="24" width="10.7109375" style="6" customWidth="1"/>
    <col min="25" max="25" width="7.28515625" style="6" customWidth="1"/>
    <col min="26" max="26" width="4.7109375" style="6" hidden="1" customWidth="1" outlineLevel="1"/>
    <col min="27" max="27" width="17" style="6" hidden="1" customWidth="1" outlineLevel="1"/>
    <col min="28" max="28" width="8.5703125" style="6" hidden="1" customWidth="1" outlineLevel="1"/>
    <col min="29" max="30" width="8.5703125" style="1" hidden="1" customWidth="1" outlineLevel="1"/>
    <col min="31" max="32" width="8.140625" style="6" hidden="1" customWidth="1" outlineLevel="1"/>
    <col min="33" max="33" width="7.28515625" style="6" hidden="1" customWidth="1" outlineLevel="1"/>
    <col min="34" max="34" width="10.5703125" style="6" hidden="1" customWidth="1" outlineLevel="1"/>
    <col min="35" max="35" width="5.42578125" style="6" hidden="1" customWidth="1" outlineLevel="1"/>
    <col min="36" max="36" width="9.140625" style="6" hidden="1" customWidth="1" outlineLevel="1"/>
    <col min="37" max="37" width="6.5703125" style="6" hidden="1" customWidth="1" outlineLevel="1"/>
    <col min="38" max="38" width="10" style="6" hidden="1" customWidth="1" outlineLevel="1"/>
    <col min="39" max="39" width="9.28515625" style="6" hidden="1" customWidth="1" outlineLevel="1"/>
    <col min="40" max="40" width="10" style="6" hidden="1" customWidth="1" outlineLevel="1"/>
    <col min="41" max="41" width="9.28515625" style="6" hidden="1" customWidth="1" outlineLevel="1"/>
    <col min="42" max="43" width="9.140625" style="6" hidden="1" customWidth="1" outlineLevel="1"/>
    <col min="44" max="44" width="9.140625" style="6" collapsed="1"/>
    <col min="45" max="16384" width="9.140625" style="6"/>
  </cols>
  <sheetData>
    <row r="1" spans="1:42" ht="12.75" customHeight="1">
      <c r="A1"/>
      <c r="B1" s="106" t="s">
        <v>279</v>
      </c>
      <c r="K1" s="8" t="s">
        <v>111</v>
      </c>
      <c r="X1" s="109" t="s">
        <v>274</v>
      </c>
      <c r="AC1" s="6"/>
      <c r="AE1" s="1"/>
    </row>
    <row r="2" spans="1:42" ht="12.75" customHeight="1">
      <c r="B2" s="7"/>
      <c r="C2" s="6" t="s">
        <v>48</v>
      </c>
      <c r="AC2" s="6"/>
      <c r="AE2" s="1"/>
    </row>
    <row r="3" spans="1:42" ht="12.75" customHeight="1">
      <c r="B3" s="9"/>
      <c r="C3" s="10" t="s">
        <v>189</v>
      </c>
      <c r="K3" s="146" t="s">
        <v>207</v>
      </c>
      <c r="AC3" s="6"/>
      <c r="AE3" s="1"/>
    </row>
    <row r="4" spans="1:42" ht="12.75" customHeight="1">
      <c r="B4" s="11"/>
      <c r="C4" s="6" t="s">
        <v>49</v>
      </c>
      <c r="K4" s="146" t="s">
        <v>208</v>
      </c>
    </row>
    <row r="6" spans="1:42" ht="16.149999999999999" customHeight="1">
      <c r="B6" s="98" t="s">
        <v>50</v>
      </c>
      <c r="C6" s="12" t="str">
        <f>M12&amp;" "&amp;N12</f>
        <v xml:space="preserve"> </v>
      </c>
    </row>
    <row r="7" spans="1:42" ht="12.75" customHeight="1">
      <c r="B7" s="12"/>
      <c r="S7" s="105" t="s">
        <v>272</v>
      </c>
    </row>
    <row r="8" spans="1:42" ht="12.75" customHeight="1">
      <c r="B8" s="105" t="s">
        <v>269</v>
      </c>
      <c r="K8" s="226" t="s">
        <v>53</v>
      </c>
      <c r="L8" s="226"/>
      <c r="M8" s="247"/>
      <c r="N8" s="247"/>
      <c r="O8" s="202" t="s">
        <v>128</v>
      </c>
      <c r="X8" s="179" t="s">
        <v>273</v>
      </c>
      <c r="Z8" s="6" t="s">
        <v>275</v>
      </c>
    </row>
    <row r="9" spans="1:42" ht="12.75" customHeight="1">
      <c r="B9" s="223" t="s">
        <v>51</v>
      </c>
      <c r="C9" s="256" t="s">
        <v>52</v>
      </c>
      <c r="D9" s="257"/>
      <c r="E9" s="221" t="s">
        <v>286</v>
      </c>
      <c r="F9" s="221"/>
      <c r="G9" s="221"/>
      <c r="H9" s="221"/>
      <c r="I9" s="221"/>
      <c r="J9" s="221"/>
      <c r="K9" s="227" t="s">
        <v>183</v>
      </c>
      <c r="L9" s="227"/>
      <c r="M9" s="248"/>
      <c r="N9" s="248"/>
      <c r="O9" s="202"/>
      <c r="S9" s="185" t="s">
        <v>54</v>
      </c>
      <c r="T9" s="186"/>
      <c r="U9" s="15" t="s">
        <v>55</v>
      </c>
      <c r="V9" s="16" t="s">
        <v>56</v>
      </c>
      <c r="W9" s="16" t="s">
        <v>57</v>
      </c>
      <c r="X9" s="16" t="s">
        <v>58</v>
      </c>
      <c r="Z9" s="98" t="s">
        <v>66</v>
      </c>
      <c r="AA9" s="17" t="s">
        <v>2</v>
      </c>
      <c r="AB9" s="18">
        <f>COUNTA(E17:E20)+COUNTA(E59:E61)-AB10</f>
        <v>0</v>
      </c>
      <c r="AC9" s="108">
        <v>380000</v>
      </c>
      <c r="AD9" s="19">
        <f>AC9*AB9</f>
        <v>0</v>
      </c>
      <c r="AF9" s="21"/>
      <c r="AH9" s="22" t="s">
        <v>3</v>
      </c>
      <c r="AI9" s="23"/>
      <c r="AJ9" s="24"/>
      <c r="AK9" s="2"/>
      <c r="AL9" s="19">
        <f>$W$33</f>
        <v>0</v>
      </c>
      <c r="AM9" s="20" t="s">
        <v>267</v>
      </c>
      <c r="AN9" s="20"/>
      <c r="AO9" s="20"/>
      <c r="AP9" s="25"/>
    </row>
    <row r="10" spans="1:42" ht="12.75" customHeight="1">
      <c r="B10" s="223"/>
      <c r="C10" s="251" t="s">
        <v>59</v>
      </c>
      <c r="D10" s="252"/>
      <c r="E10" s="221" t="s">
        <v>281</v>
      </c>
      <c r="F10" s="221"/>
      <c r="G10" s="221"/>
      <c r="H10" s="221"/>
      <c r="I10" s="221"/>
      <c r="J10" s="221"/>
      <c r="K10" s="224" t="s">
        <v>68</v>
      </c>
      <c r="L10" s="224"/>
      <c r="M10" s="238"/>
      <c r="N10" s="239"/>
      <c r="O10" s="202"/>
      <c r="S10" s="287" t="s">
        <v>61</v>
      </c>
      <c r="T10" s="16">
        <v>1</v>
      </c>
      <c r="U10" s="28"/>
      <c r="V10" s="29"/>
      <c r="W10" s="29"/>
      <c r="X10" s="29"/>
      <c r="Z10" s="98"/>
      <c r="AA10" s="17" t="s">
        <v>5</v>
      </c>
      <c r="AB10" s="18">
        <f>COUNTIF(Q17:Q20,"対象外")+COUNTIF(Q59:Q61,"対象外")</f>
        <v>0</v>
      </c>
      <c r="AC10" s="20"/>
      <c r="AD10" s="20"/>
      <c r="AF10" s="30"/>
      <c r="AH10" s="3" t="s">
        <v>62</v>
      </c>
      <c r="AI10" s="31" t="s">
        <v>6</v>
      </c>
      <c r="AJ10" s="3" t="s">
        <v>63</v>
      </c>
      <c r="AK10" s="2"/>
      <c r="AL10" s="38" t="s">
        <v>6</v>
      </c>
      <c r="AM10" s="39" t="s">
        <v>9</v>
      </c>
      <c r="AN10" s="40" t="s">
        <v>10</v>
      </c>
      <c r="AO10" s="25" t="s">
        <v>11</v>
      </c>
      <c r="AP10" s="25"/>
    </row>
    <row r="11" spans="1:42" ht="12.75" customHeight="1">
      <c r="B11" s="223"/>
      <c r="C11" s="207" t="s">
        <v>184</v>
      </c>
      <c r="D11" s="225"/>
      <c r="E11" s="253">
        <v>6120002067788</v>
      </c>
      <c r="F11" s="253"/>
      <c r="G11" s="253"/>
      <c r="H11" s="109"/>
      <c r="I11" s="57"/>
      <c r="K11" s="226" t="s">
        <v>60</v>
      </c>
      <c r="L11" s="226"/>
      <c r="M11" s="103"/>
      <c r="N11" s="104"/>
      <c r="O11" s="27" t="s">
        <v>4</v>
      </c>
      <c r="S11" s="288"/>
      <c r="T11" s="16">
        <v>2</v>
      </c>
      <c r="U11" s="28"/>
      <c r="V11" s="29"/>
      <c r="W11" s="29"/>
      <c r="X11" s="29"/>
      <c r="Y11" s="109"/>
      <c r="Z11" s="98" t="s">
        <v>151</v>
      </c>
      <c r="AA11" s="36" t="s">
        <v>132</v>
      </c>
      <c r="AB11" s="51">
        <f>SUM(AC30:AD30)</f>
        <v>0</v>
      </c>
      <c r="AC11" s="108">
        <v>750000</v>
      </c>
      <c r="AD11" s="19">
        <f>AB11*AC11</f>
        <v>0</v>
      </c>
      <c r="AH11" s="19">
        <v>1</v>
      </c>
      <c r="AI11" s="19">
        <v>1</v>
      </c>
      <c r="AJ11" s="19">
        <v>0</v>
      </c>
      <c r="AK11" s="2"/>
      <c r="AL11" s="2" t="e">
        <f>LOOKUP($AL$9,$AH$11:$AH$15,$AI$11:$AI$15)</f>
        <v>#N/A</v>
      </c>
      <c r="AM11" s="2" t="e">
        <f>LOOKUP($AL$9,$AH$11:$AH$15,$AJ$11:$AJ$15)</f>
        <v>#N/A</v>
      </c>
      <c r="AN11" s="2" t="e">
        <f>ROUNDDOWN(($AL$9-$AM$11)/$AL$11,0)</f>
        <v>#N/A</v>
      </c>
      <c r="AO11" s="2" t="e">
        <f>$AN$11*$AL$11-$AL$9+$AM$11</f>
        <v>#N/A</v>
      </c>
      <c r="AP11" s="25"/>
    </row>
    <row r="12" spans="1:42" ht="12.75" customHeight="1">
      <c r="B12" s="223"/>
      <c r="C12" s="224" t="s">
        <v>64</v>
      </c>
      <c r="D12" s="224"/>
      <c r="E12" s="238" t="s">
        <v>282</v>
      </c>
      <c r="F12" s="255"/>
      <c r="G12" s="239"/>
      <c r="H12" s="57"/>
      <c r="I12" s="57"/>
      <c r="K12" s="224" t="s">
        <v>50</v>
      </c>
      <c r="L12" s="224"/>
      <c r="M12" s="103"/>
      <c r="N12" s="104"/>
      <c r="O12" s="53"/>
      <c r="S12" s="288"/>
      <c r="T12" s="16">
        <v>3</v>
      </c>
      <c r="U12" s="28"/>
      <c r="V12" s="29"/>
      <c r="W12" s="29"/>
      <c r="X12" s="29"/>
      <c r="Y12" s="109"/>
      <c r="Z12" s="98" t="s">
        <v>152</v>
      </c>
      <c r="AA12" s="36" t="s">
        <v>133</v>
      </c>
      <c r="AB12" s="51">
        <f>SUM(AB29:AD29)</f>
        <v>0</v>
      </c>
      <c r="AC12" s="108">
        <v>400000</v>
      </c>
      <c r="AD12" s="19">
        <f>AB12*AC12</f>
        <v>0</v>
      </c>
      <c r="AH12" s="19">
        <v>1619000</v>
      </c>
      <c r="AI12" s="19">
        <v>1000</v>
      </c>
      <c r="AJ12" s="19">
        <v>1619000</v>
      </c>
      <c r="AK12" s="2"/>
      <c r="AL12" s="20" t="s">
        <v>14</v>
      </c>
      <c r="AM12" s="46" t="e">
        <f>$AL$9+$AO$11</f>
        <v>#N/A</v>
      </c>
      <c r="AP12" s="25"/>
    </row>
    <row r="13" spans="1:42" ht="12.75" customHeight="1">
      <c r="B13" s="223"/>
      <c r="C13" s="249" t="s">
        <v>65</v>
      </c>
      <c r="D13" s="250"/>
      <c r="E13" s="254"/>
      <c r="F13" s="254"/>
      <c r="G13" s="254"/>
      <c r="H13" s="63" t="s">
        <v>67</v>
      </c>
      <c r="I13" s="222">
        <v>600338</v>
      </c>
      <c r="J13" s="222"/>
      <c r="K13" s="227" t="s">
        <v>7</v>
      </c>
      <c r="L13" s="227"/>
      <c r="M13" s="236"/>
      <c r="N13" s="236"/>
      <c r="O13" s="237"/>
      <c r="S13" s="288"/>
      <c r="T13" s="16">
        <v>4</v>
      </c>
      <c r="U13" s="28"/>
      <c r="V13" s="29"/>
      <c r="W13" s="29"/>
      <c r="X13" s="29"/>
      <c r="Y13" s="110"/>
      <c r="Z13" s="113" t="s">
        <v>153</v>
      </c>
      <c r="AA13" s="36" t="s">
        <v>17</v>
      </c>
      <c r="AB13" s="51">
        <f>SUM(AB28:AD28)</f>
        <v>0</v>
      </c>
      <c r="AC13" s="108">
        <v>270000</v>
      </c>
      <c r="AD13" s="19">
        <f>AB13*AC13</f>
        <v>0</v>
      </c>
      <c r="AH13" s="19">
        <v>1620000</v>
      </c>
      <c r="AI13" s="19">
        <v>2000</v>
      </c>
      <c r="AJ13" s="19">
        <v>1620000</v>
      </c>
      <c r="AK13" s="2"/>
      <c r="AL13" s="25" t="s">
        <v>19</v>
      </c>
      <c r="AM13" s="20" t="s">
        <v>20</v>
      </c>
      <c r="AN13" s="20" t="s">
        <v>21</v>
      </c>
      <c r="AO13" s="20"/>
      <c r="AP13" s="25"/>
    </row>
    <row r="14" spans="1:42" ht="12.75" customHeight="1">
      <c r="P14" s="109"/>
      <c r="Q14" s="138"/>
      <c r="S14" s="288"/>
      <c r="T14" s="16">
        <v>5</v>
      </c>
      <c r="U14" s="28"/>
      <c r="V14" s="29"/>
      <c r="W14" s="29"/>
      <c r="X14" s="29"/>
      <c r="Y14" s="109"/>
      <c r="Z14" s="113" t="s">
        <v>157</v>
      </c>
      <c r="AA14" s="36" t="s">
        <v>24</v>
      </c>
      <c r="AB14" s="51">
        <f>SUM(AB31)</f>
        <v>0</v>
      </c>
      <c r="AC14" s="108">
        <v>270000</v>
      </c>
      <c r="AD14" s="19">
        <f>AB14*AC14</f>
        <v>0</v>
      </c>
      <c r="AE14" s="20"/>
      <c r="AH14" s="19">
        <v>1624000</v>
      </c>
      <c r="AI14" s="19">
        <v>4000</v>
      </c>
      <c r="AJ14" s="19">
        <v>1624000</v>
      </c>
      <c r="AK14" s="2"/>
      <c r="AL14" s="55" t="e">
        <f>LOOKUP($AM$12,$AH$19:$AH$29,$AI$19:$AI$29)</f>
        <v>#N/A</v>
      </c>
      <c r="AM14" s="2" t="e">
        <f>IF($AM$12&lt;651000,-$AM$12,LOOKUP($AM$12,$AH$19:$AH$29,$AJ$19:$AJ$29))</f>
        <v>#N/A</v>
      </c>
      <c r="AN14" s="19" t="e">
        <f>ROUNDDOWN($AM$12*$AL$14+$AM$14,0)</f>
        <v>#N/A</v>
      </c>
      <c r="AO14" s="20"/>
      <c r="AP14" s="25"/>
    </row>
    <row r="15" spans="1:42" ht="12.75" customHeight="1">
      <c r="B15" s="187"/>
      <c r="C15" s="188"/>
      <c r="D15" s="189" t="s">
        <v>147</v>
      </c>
      <c r="E15" s="190"/>
      <c r="F15" s="185" t="s">
        <v>185</v>
      </c>
      <c r="G15" s="186"/>
      <c r="H15" s="16" t="s">
        <v>183</v>
      </c>
      <c r="I15" s="16" t="s">
        <v>69</v>
      </c>
      <c r="J15" s="27" t="s">
        <v>4</v>
      </c>
      <c r="K15" s="43" t="s">
        <v>149</v>
      </c>
      <c r="L15" s="162" t="s">
        <v>223</v>
      </c>
      <c r="M15" s="258" t="s">
        <v>7</v>
      </c>
      <c r="N15" s="190"/>
      <c r="O15" s="44" t="s">
        <v>117</v>
      </c>
      <c r="P15" s="44" t="s">
        <v>188</v>
      </c>
      <c r="Q15" s="45" t="s">
        <v>70</v>
      </c>
      <c r="S15" s="288"/>
      <c r="T15" s="16">
        <v>6</v>
      </c>
      <c r="U15" s="28"/>
      <c r="V15" s="29"/>
      <c r="W15" s="29"/>
      <c r="X15" s="29"/>
      <c r="Y15" s="109"/>
      <c r="Z15" s="113" t="s">
        <v>157</v>
      </c>
      <c r="AA15" s="36" t="s">
        <v>26</v>
      </c>
      <c r="AB15" s="51">
        <f>SUM(AD31)</f>
        <v>0</v>
      </c>
      <c r="AC15" s="108">
        <v>270000</v>
      </c>
      <c r="AD15" s="19">
        <f>IF(6888889&gt;=W33,AB15*AC15,0)</f>
        <v>0</v>
      </c>
      <c r="AE15" s="20"/>
      <c r="AH15" s="19">
        <v>6600000</v>
      </c>
      <c r="AI15" s="19">
        <v>1</v>
      </c>
      <c r="AJ15" s="19">
        <v>0</v>
      </c>
      <c r="AK15" s="2"/>
      <c r="AP15" s="25"/>
    </row>
    <row r="16" spans="1:42" ht="12.75" customHeight="1">
      <c r="B16" s="207" t="s">
        <v>234</v>
      </c>
      <c r="C16" s="208"/>
      <c r="D16" s="47"/>
      <c r="E16" s="26"/>
      <c r="F16" s="47"/>
      <c r="G16" s="26"/>
      <c r="H16" s="132"/>
      <c r="I16" s="48" t="s">
        <v>16</v>
      </c>
      <c r="J16" s="53"/>
      <c r="K16" s="49" t="str">
        <f>IF(J16&gt;=$AE$21,"対象外",IF(J16="","",IF(J16&lt;=$AE$25,"老",IF(J16&gt;=$AE$19,"",""))))</f>
        <v/>
      </c>
      <c r="L16" s="48" t="s">
        <v>16</v>
      </c>
      <c r="M16" s="228"/>
      <c r="N16" s="229"/>
      <c r="O16" s="50">
        <f>+P40</f>
        <v>0</v>
      </c>
      <c r="P16" s="48" t="s">
        <v>16</v>
      </c>
      <c r="Q16" s="140" t="str">
        <f>IF(J16="","",IF(I35&gt;0,"対象",IF(H34="A",IF(P40&lt;380000,"対象","対象外"),"対象外")))</f>
        <v/>
      </c>
      <c r="S16" s="288"/>
      <c r="T16" s="16">
        <v>7</v>
      </c>
      <c r="U16" s="28"/>
      <c r="V16" s="29"/>
      <c r="W16" s="29"/>
      <c r="X16" s="29"/>
      <c r="Y16" s="109"/>
      <c r="Z16" s="113" t="s">
        <v>157</v>
      </c>
      <c r="AA16" s="36" t="s">
        <v>27</v>
      </c>
      <c r="AB16" s="51">
        <f>SUM(AD32)</f>
        <v>0</v>
      </c>
      <c r="AC16" s="108">
        <v>270000</v>
      </c>
      <c r="AD16" s="19">
        <f>IF(1300000&gt;=W34,AB16*AC16,0)</f>
        <v>0</v>
      </c>
      <c r="AE16" s="20"/>
      <c r="AL16" s="19">
        <f>$N$30</f>
        <v>0</v>
      </c>
      <c r="AM16" s="20" t="s">
        <v>268</v>
      </c>
      <c r="AN16" s="20"/>
      <c r="AO16" s="20"/>
      <c r="AP16" s="25"/>
    </row>
    <row r="17" spans="2:43" ht="12.75" customHeight="1">
      <c r="B17" s="200" t="s">
        <v>235</v>
      </c>
      <c r="C17" s="37" t="s">
        <v>144</v>
      </c>
      <c r="D17" s="47"/>
      <c r="E17" s="26"/>
      <c r="F17" s="47"/>
      <c r="G17" s="26"/>
      <c r="H17" s="132"/>
      <c r="I17" s="48" t="s">
        <v>283</v>
      </c>
      <c r="J17" s="53"/>
      <c r="K17" s="49" t="str">
        <f>IF(J17&gt;=$AE$21,"対象外",IF(J17="","",IF(AND(J17&lt;=$AE$18,$L$17="同居"),"同居老",IF(J17&lt;=$AE$18,"老",IF(J17&gt;=$AE$19,IF(J17&lt;=$AF$19,"特",""),"")))))</f>
        <v/>
      </c>
      <c r="L17" s="48" t="s">
        <v>16</v>
      </c>
      <c r="M17" s="228"/>
      <c r="N17" s="229"/>
      <c r="O17" s="29"/>
      <c r="P17" s="48" t="s">
        <v>285</v>
      </c>
      <c r="Q17" s="140" t="str">
        <f>IF(J17="","",IF(J17&gt;=$AE$21,"住民税事項へ",IF(O17&gt;380000,"対象外","対象")))</f>
        <v/>
      </c>
      <c r="S17" s="288"/>
      <c r="T17" s="16">
        <v>8</v>
      </c>
      <c r="U17" s="28"/>
      <c r="V17" s="29"/>
      <c r="W17" s="29"/>
      <c r="X17" s="29"/>
      <c r="Y17" s="109"/>
      <c r="Z17" s="98" t="s">
        <v>158</v>
      </c>
      <c r="AA17" s="36" t="s">
        <v>25</v>
      </c>
      <c r="AB17" s="51">
        <f>SUM(AB32)</f>
        <v>0</v>
      </c>
      <c r="AC17" s="108">
        <v>350000</v>
      </c>
      <c r="AD17" s="19">
        <f>IF(6888889&gt;=W33,AB17*AC17,0)</f>
        <v>0</v>
      </c>
      <c r="AE17" s="20"/>
      <c r="AH17" s="22" t="s">
        <v>71</v>
      </c>
      <c r="AI17" s="52"/>
      <c r="AJ17" s="24"/>
      <c r="AK17" s="2"/>
      <c r="AL17" s="38" t="s">
        <v>6</v>
      </c>
      <c r="AM17" s="39" t="s">
        <v>9</v>
      </c>
      <c r="AN17" s="40" t="s">
        <v>10</v>
      </c>
      <c r="AO17" s="25" t="s">
        <v>11</v>
      </c>
      <c r="AP17" s="25"/>
    </row>
    <row r="18" spans="2:43" ht="12.75" customHeight="1">
      <c r="B18" s="201"/>
      <c r="C18" s="37" t="s">
        <v>145</v>
      </c>
      <c r="D18" s="47"/>
      <c r="E18" s="26"/>
      <c r="F18" s="47"/>
      <c r="G18" s="26"/>
      <c r="H18" s="132"/>
      <c r="I18" s="48" t="s">
        <v>284</v>
      </c>
      <c r="J18" s="53"/>
      <c r="K18" s="49" t="str">
        <f>IF(J18&gt;=$AE$21,"対象外",IF(J18="","",IF(AND(J18&lt;=$AE$18,$L$18="同居"),"同居老",IF(J18&lt;=$AE$18,"老",IF(J18&gt;=$AE$19,IF(J18&lt;=$AF$19,"特",""),"")))))</f>
        <v/>
      </c>
      <c r="L18" s="48" t="s">
        <v>16</v>
      </c>
      <c r="M18" s="228"/>
      <c r="N18" s="229"/>
      <c r="O18" s="29"/>
      <c r="P18" s="48" t="s">
        <v>285</v>
      </c>
      <c r="Q18" s="140" t="str">
        <f>IF(J18="","",IF(J18&gt;=$AE$21,"住民税事項へ",IF(O18&gt;380000,"対象外","対象")))</f>
        <v/>
      </c>
      <c r="S18" s="288"/>
      <c r="T18" s="16">
        <v>9</v>
      </c>
      <c r="U18" s="28"/>
      <c r="V18" s="29"/>
      <c r="W18" s="29"/>
      <c r="X18" s="29"/>
      <c r="Y18" s="109"/>
      <c r="Z18" s="98" t="s">
        <v>154</v>
      </c>
      <c r="AA18" s="17" t="s">
        <v>12</v>
      </c>
      <c r="AB18" s="18">
        <f>IF($Q$17="対象",COUNTIF($K$17,"同居老"),0)+IF($Q$18="対象",COUNTIF($K$18,"同居老"),0)+IF($Q$19="対象",COUNTIF($K$19,"同居老"),0)+IF($Q$20="対象",COUNTIF($K$20,"同居老"),0)+IF($Q$59="対象",COUNTIF($K$59,"同居老"),0)+IF($Q$60="対象",COUNTIF($K$60,"同居老"),0)+IF($Q$61="対象",COUNTIF($K$61,"同居老"),0)</f>
        <v>0</v>
      </c>
      <c r="AC18" s="108">
        <v>200000</v>
      </c>
      <c r="AD18" s="19">
        <f>AC18*AB18</f>
        <v>0</v>
      </c>
      <c r="AE18" s="114">
        <v>18264</v>
      </c>
      <c r="AF18" s="35"/>
      <c r="AG18" s="6" t="s">
        <v>276</v>
      </c>
      <c r="AH18" s="3" t="s">
        <v>72</v>
      </c>
      <c r="AI18" s="54" t="s">
        <v>23</v>
      </c>
      <c r="AJ18" s="24"/>
      <c r="AK18" s="2"/>
      <c r="AL18" s="2" t="e">
        <f>LOOKUP($AL$16,$AH$11:$AH$15,$AI$11:$AI$15)</f>
        <v>#N/A</v>
      </c>
      <c r="AM18" s="2" t="e">
        <f>LOOKUP($AL$16,$AH$11:$AH$15,$AJ$11:$AJ$15)</f>
        <v>#N/A</v>
      </c>
      <c r="AN18" s="2" t="e">
        <f>ROUNDDOWN(($AL$16-$AM$18)/$AL$18,0)</f>
        <v>#N/A</v>
      </c>
      <c r="AO18" s="2" t="e">
        <f>$AN$18*$AL$18-$AL$16+$AM$18</f>
        <v>#N/A</v>
      </c>
      <c r="AP18" s="25"/>
    </row>
    <row r="19" spans="2:43" ht="12.75" customHeight="1">
      <c r="B19" s="201"/>
      <c r="C19" s="37" t="s">
        <v>146</v>
      </c>
      <c r="D19" s="47"/>
      <c r="E19" s="26"/>
      <c r="F19" s="47"/>
      <c r="G19" s="26"/>
      <c r="H19" s="132"/>
      <c r="I19" s="48" t="s">
        <v>16</v>
      </c>
      <c r="J19" s="53"/>
      <c r="K19" s="49" t="str">
        <f>IF(J19&gt;=$AE$21,"対象外",IF(J19="","",IF(AND(J19&lt;=$AE$18,$L$19="同居"),"同居老",IF(J19&lt;=$AE$18,"老",IF(J19&gt;=$AE$19,IF(J19&lt;=$AF$19,"特",""),"")))))</f>
        <v/>
      </c>
      <c r="L19" s="48" t="s">
        <v>16</v>
      </c>
      <c r="M19" s="228"/>
      <c r="N19" s="229"/>
      <c r="O19" s="29"/>
      <c r="P19" s="48" t="s">
        <v>16</v>
      </c>
      <c r="Q19" s="140" t="str">
        <f>IF(J19="","",IF(J19&gt;=$AE$21,"住民税事項へ",IF(O19&gt;380000,"対象外","対象")))</f>
        <v/>
      </c>
      <c r="S19" s="288"/>
      <c r="T19" s="16">
        <v>10</v>
      </c>
      <c r="U19" s="28"/>
      <c r="V19" s="29"/>
      <c r="W19" s="29"/>
      <c r="X19" s="29"/>
      <c r="Y19" s="109"/>
      <c r="Z19" s="98" t="s">
        <v>155</v>
      </c>
      <c r="AA19" s="17" t="s">
        <v>15</v>
      </c>
      <c r="AB19" s="150">
        <f>IF($Q$17="対象",COUNTIF($K$17,"特"),0)+IF($Q$18="対象",COUNTIF($K$18,"特"),0)+IF($Q$19="対象",COUNTIF($K$19,"特"),0)+IF($Q$20="対象",COUNTIF($K$20,"特"),0)+IF($Q$59="対象",COUNTIF($K$59,"特"),0)+IF($Q$60="対象",COUNTIF($K$60,"特"),0)+IF($Q$61="対象",COUNTIF($K$61,"特"),0)</f>
        <v>0</v>
      </c>
      <c r="AC19" s="108">
        <v>250000</v>
      </c>
      <c r="AD19" s="19">
        <f>AC19*AB19</f>
        <v>0</v>
      </c>
      <c r="AE19" s="114">
        <v>35432</v>
      </c>
      <c r="AF19" s="114">
        <v>36892</v>
      </c>
      <c r="AG19" s="6" t="s">
        <v>276</v>
      </c>
      <c r="AH19" s="19">
        <v>1</v>
      </c>
      <c r="AI19" s="56">
        <v>1</v>
      </c>
      <c r="AJ19" s="19">
        <v>0</v>
      </c>
      <c r="AK19" s="2"/>
      <c r="AL19" s="20" t="s">
        <v>14</v>
      </c>
      <c r="AM19" s="46" t="e">
        <f>$AL$16+$AO$18</f>
        <v>#N/A</v>
      </c>
      <c r="AP19" s="25"/>
    </row>
    <row r="20" spans="2:43" ht="12.75" customHeight="1">
      <c r="B20" s="144" t="s">
        <v>277</v>
      </c>
      <c r="C20" s="37" t="s">
        <v>211</v>
      </c>
      <c r="D20" s="47"/>
      <c r="E20" s="26"/>
      <c r="F20" s="47"/>
      <c r="G20" s="26"/>
      <c r="H20" s="132"/>
      <c r="I20" s="48" t="s">
        <v>16</v>
      </c>
      <c r="J20" s="53"/>
      <c r="K20" s="49" t="str">
        <f>IF(J20&gt;=$AE$21,"対象外",IF(J20="","",IF(AND(J20&lt;=$AE$18,$L$20="同居"),"同居老",IF(J20&lt;=$AE$18,"老",IF(J20&gt;=$AE$19,IF(J20&lt;=$AF$19,"特",""),"")))))</f>
        <v/>
      </c>
      <c r="L20" s="48" t="s">
        <v>16</v>
      </c>
      <c r="M20" s="228"/>
      <c r="N20" s="229"/>
      <c r="O20" s="29"/>
      <c r="P20" s="48" t="s">
        <v>16</v>
      </c>
      <c r="Q20" s="140" t="str">
        <f>IF(J20="","",IF(J20&gt;=$AE$21,"住民税事項へ",IF(O20&gt;380000,"対象外","対象")))</f>
        <v/>
      </c>
      <c r="S20" s="288"/>
      <c r="T20" s="16">
        <v>11</v>
      </c>
      <c r="U20" s="28"/>
      <c r="V20" s="29"/>
      <c r="W20" s="29"/>
      <c r="X20" s="29"/>
      <c r="Y20" s="109"/>
      <c r="Z20" s="98" t="s">
        <v>156</v>
      </c>
      <c r="AA20" s="17" t="s">
        <v>13</v>
      </c>
      <c r="AB20" s="150">
        <f>IF($Q$17="対象",COUNTIF($K$17,"老"),0)+IF($Q$18="対象",COUNTIF($K$18,"老"),0)+IF($Q$19="対象",COUNTIF($K$19,"老"),0)+IF($Q$20="対象",COUNTIF($K$20,"老"),0)+IF($Q$59="対象",COUNTIF($K$59,"老"),0)+IF($Q$60="対象",COUNTIF($K$60,"老"),0)+IF($Q$61="対象",COUNTIF($K$61,"老"),0)</f>
        <v>0</v>
      </c>
      <c r="AC20" s="108">
        <v>100000</v>
      </c>
      <c r="AD20" s="19">
        <f>AC20*AB20</f>
        <v>0</v>
      </c>
      <c r="AE20" s="114">
        <f>+AE18</f>
        <v>18264</v>
      </c>
      <c r="AF20" s="20"/>
      <c r="AG20" s="6" t="s">
        <v>276</v>
      </c>
      <c r="AH20" s="19">
        <v>651000</v>
      </c>
      <c r="AI20" s="56">
        <v>1</v>
      </c>
      <c r="AJ20" s="19">
        <v>-650000</v>
      </c>
      <c r="AK20" s="2"/>
      <c r="AL20" s="25" t="s">
        <v>19</v>
      </c>
      <c r="AM20" s="20" t="s">
        <v>20</v>
      </c>
      <c r="AN20" s="20" t="s">
        <v>21</v>
      </c>
      <c r="AO20" s="20"/>
      <c r="AP20" s="25"/>
    </row>
    <row r="21" spans="2:43" ht="12.75" customHeight="1">
      <c r="B21" s="149"/>
      <c r="C21" s="111"/>
      <c r="D21" s="111"/>
      <c r="E21" s="111"/>
      <c r="F21" s="111"/>
      <c r="G21" s="111"/>
      <c r="H21" s="111"/>
      <c r="I21" s="112"/>
      <c r="J21" s="111"/>
      <c r="K21" s="111"/>
      <c r="L21" s="111"/>
      <c r="M21" s="111"/>
      <c r="N21" s="111"/>
      <c r="O21" s="111"/>
      <c r="P21" s="111"/>
      <c r="Q21" s="139"/>
      <c r="S21" s="288"/>
      <c r="T21" s="16">
        <v>12</v>
      </c>
      <c r="U21" s="28"/>
      <c r="V21" s="29"/>
      <c r="W21" s="29"/>
      <c r="X21" s="29"/>
      <c r="Y21" s="109"/>
      <c r="Z21" s="109"/>
      <c r="AA21" s="36" t="s">
        <v>148</v>
      </c>
      <c r="AB21" s="51">
        <f>COUNTIF(K23:K26,"年少")+COUNTIF(K65:K67,"年少")</f>
        <v>0</v>
      </c>
      <c r="AC21" s="68"/>
      <c r="AD21" s="68"/>
      <c r="AE21" s="114">
        <v>37988</v>
      </c>
      <c r="AG21" s="6" t="s">
        <v>276</v>
      </c>
      <c r="AH21" s="19">
        <v>1619000</v>
      </c>
      <c r="AI21" s="56">
        <v>0.6</v>
      </c>
      <c r="AJ21" s="19">
        <v>-2400</v>
      </c>
      <c r="AK21" s="2"/>
      <c r="AL21" s="55" t="e">
        <f>LOOKUP($AM$19,$AH$19:$AH$29,$AI$19:$AI$29)</f>
        <v>#N/A</v>
      </c>
      <c r="AM21" s="2" t="e">
        <f>IF($AM$19&lt;651000,-$AM$19,LOOKUP($AM$19,$AH$19:$AH$29,$AJ$19:$AJ$29))</f>
        <v>#N/A</v>
      </c>
      <c r="AN21" s="19" t="e">
        <f>ROUNDDOWN($AM$19*$AL$21+$AM$21,0)</f>
        <v>#N/A</v>
      </c>
      <c r="AO21" s="20"/>
      <c r="AP21" s="25"/>
      <c r="AQ21" s="109"/>
    </row>
    <row r="22" spans="2:43" ht="12.75" customHeight="1" thickBot="1">
      <c r="B22" s="212" t="s">
        <v>241</v>
      </c>
      <c r="C22" s="213"/>
      <c r="D22" s="189" t="s">
        <v>147</v>
      </c>
      <c r="E22" s="190"/>
      <c r="F22" s="185" t="s">
        <v>185</v>
      </c>
      <c r="G22" s="186"/>
      <c r="H22" s="16" t="s">
        <v>183</v>
      </c>
      <c r="I22" s="16" t="s">
        <v>69</v>
      </c>
      <c r="J22" s="27" t="s">
        <v>4</v>
      </c>
      <c r="K22" s="43" t="s">
        <v>148</v>
      </c>
      <c r="L22" s="162" t="s">
        <v>244</v>
      </c>
      <c r="M22" s="258" t="s">
        <v>7</v>
      </c>
      <c r="N22" s="190"/>
      <c r="O22" s="44" t="s">
        <v>117</v>
      </c>
      <c r="P22" s="44" t="s">
        <v>188</v>
      </c>
      <c r="Q22" s="45" t="s">
        <v>70</v>
      </c>
      <c r="S22" s="288"/>
      <c r="T22" s="59"/>
      <c r="U22" s="60"/>
      <c r="V22" s="29"/>
      <c r="W22" s="29"/>
      <c r="X22" s="29"/>
      <c r="Y22" s="109"/>
      <c r="Z22" s="109"/>
      <c r="AA22" s="183" t="s">
        <v>280</v>
      </c>
      <c r="AB22" s="184">
        <f>IF(AM34+AM36&gt;1,IF(P16="○",1,0),0)+IF(P17="○",IF(Q17="対象",1,0),0)+IF(P18="○",IF(Q18="対象",1,0),0)+IF(P19="○",IF(Q19="対象",1,0),0)+IF(P20="○",IF(Q20="対象",1,0),0)+IF(P23="○",IF(Q23="対象",1,0),0)+IF(P24="○",IF(Q24="対象",1,0),0)+IF(P25="○",IF(Q25="対象",1,0),0)+IF(P26="○",IF(Q26="対象",1,0),0)+IF(P59="○",IF(Q59="対象",1,0),0)+IF(P60="○",IF(Q60="対象",1,0),0)+IF(P61="○",IF(Q61="対象",1,0),0)+IF(P65="○",IF(Q65="対象",1,0),0)+IF(P66="○",IF(Q66="対象",1,0),0)+IF(P67="○",IF(Q67="対象",1,0),0)</f>
        <v>0</v>
      </c>
      <c r="AC22" s="136"/>
      <c r="AD22" s="137"/>
      <c r="AH22" s="19">
        <v>1620000</v>
      </c>
      <c r="AI22" s="56">
        <v>0.6</v>
      </c>
      <c r="AJ22" s="19">
        <v>-2000</v>
      </c>
      <c r="AK22" s="2"/>
    </row>
    <row r="23" spans="2:43" ht="12.75" customHeight="1" thickBot="1">
      <c r="B23" s="200" t="s">
        <v>201</v>
      </c>
      <c r="C23" s="65" t="s">
        <v>144</v>
      </c>
      <c r="D23" s="47"/>
      <c r="E23" s="26"/>
      <c r="F23" s="47"/>
      <c r="G23" s="26"/>
      <c r="H23" s="132"/>
      <c r="I23" s="48" t="s">
        <v>16</v>
      </c>
      <c r="J23" s="53"/>
      <c r="K23" s="49" t="str">
        <f>IF(J23="","",IF(J23&lt;$AE$21,"16歳以上",IF(J23&gt;=$AE$21,"年少","")))</f>
        <v/>
      </c>
      <c r="L23" s="48" t="s">
        <v>16</v>
      </c>
      <c r="M23" s="228"/>
      <c r="N23" s="229"/>
      <c r="O23" s="29"/>
      <c r="P23" s="48" t="s">
        <v>16</v>
      </c>
      <c r="Q23" s="145" t="str">
        <f>IF(J23="","",IF(J23&lt;$AE$21,"控除対象欄へ",IF(O23&gt;380000,"対象外","対象")))</f>
        <v/>
      </c>
      <c r="S23" s="289"/>
      <c r="T23" s="277" t="s">
        <v>1</v>
      </c>
      <c r="U23" s="278"/>
      <c r="V23" s="61">
        <f>SUM(V10:V22)</f>
        <v>0</v>
      </c>
      <c r="W23" s="61">
        <f>SUM(W10:W22)</f>
        <v>0</v>
      </c>
      <c r="X23" s="61">
        <f>SUM(X10:X22)</f>
        <v>0</v>
      </c>
      <c r="Y23" s="109"/>
      <c r="Z23" s="109"/>
      <c r="AA23" s="285" t="s">
        <v>28</v>
      </c>
      <c r="AB23" s="272"/>
      <c r="AC23" s="286"/>
      <c r="AD23" s="169">
        <f>SUM(AD11:AD20)</f>
        <v>0</v>
      </c>
      <c r="AH23" s="19">
        <v>1622000</v>
      </c>
      <c r="AI23" s="56">
        <v>0.6</v>
      </c>
      <c r="AJ23" s="19">
        <v>-1200</v>
      </c>
      <c r="AK23" s="2"/>
      <c r="AL23" s="63" t="s">
        <v>249</v>
      </c>
      <c r="AM23" s="81" t="s">
        <v>261</v>
      </c>
      <c r="AO23" s="63" t="s">
        <v>250</v>
      </c>
      <c r="AP23" s="81">
        <v>0</v>
      </c>
    </row>
    <row r="24" spans="2:43" ht="12.75" customHeight="1">
      <c r="B24" s="201"/>
      <c r="C24" s="37" t="s">
        <v>145</v>
      </c>
      <c r="D24" s="47"/>
      <c r="E24" s="26"/>
      <c r="F24" s="47"/>
      <c r="G24" s="26"/>
      <c r="H24" s="132"/>
      <c r="I24" s="48" t="s">
        <v>16</v>
      </c>
      <c r="J24" s="53"/>
      <c r="K24" s="49" t="str">
        <f>IF(J24="","",IF(J24&lt;$AE$21,"16歳以上",IF(J24&gt;=$AE$21,"年少","")))</f>
        <v/>
      </c>
      <c r="L24" s="48" t="s">
        <v>16</v>
      </c>
      <c r="M24" s="228"/>
      <c r="N24" s="229"/>
      <c r="O24" s="29"/>
      <c r="P24" s="48" t="s">
        <v>16</v>
      </c>
      <c r="Q24" s="145" t="str">
        <f>IF(J24="","",IF(J24&lt;$AE$21,"控除対象欄へ",IF(O24&gt;380000,"対象外","対象")))</f>
        <v/>
      </c>
      <c r="S24" s="287" t="s">
        <v>76</v>
      </c>
      <c r="T24" s="63" t="s">
        <v>77</v>
      </c>
      <c r="U24" s="28"/>
      <c r="V24" s="29"/>
      <c r="W24" s="29"/>
      <c r="X24" s="29"/>
      <c r="Y24" s="109"/>
      <c r="AH24" s="19">
        <v>1624000</v>
      </c>
      <c r="AI24" s="56">
        <v>0.6</v>
      </c>
      <c r="AJ24" s="19">
        <v>-400</v>
      </c>
      <c r="AK24" s="2"/>
      <c r="AL24" s="16" t="s">
        <v>66</v>
      </c>
      <c r="AM24" s="173">
        <f>IF($H$34="A",AO33,(IF($H$34="B",AP33,AQ33)))</f>
        <v>160000</v>
      </c>
      <c r="AO24" s="63" t="s">
        <v>251</v>
      </c>
      <c r="AP24" s="19">
        <v>9000001</v>
      </c>
    </row>
    <row r="25" spans="2:43" ht="12.75" customHeight="1">
      <c r="B25" s="201"/>
      <c r="C25" s="37" t="s">
        <v>181</v>
      </c>
      <c r="D25" s="47"/>
      <c r="E25" s="26"/>
      <c r="F25" s="47"/>
      <c r="G25" s="26"/>
      <c r="H25" s="132"/>
      <c r="I25" s="48" t="s">
        <v>16</v>
      </c>
      <c r="J25" s="53"/>
      <c r="K25" s="49" t="str">
        <f>IF(J25="","",IF(J25&lt;$AE$21,"16歳以上",IF(J25&gt;=$AE$21,"年少","")))</f>
        <v/>
      </c>
      <c r="L25" s="48" t="s">
        <v>16</v>
      </c>
      <c r="M25" s="228"/>
      <c r="N25" s="229"/>
      <c r="O25" s="29"/>
      <c r="P25" s="48" t="s">
        <v>16</v>
      </c>
      <c r="Q25" s="145" t="str">
        <f>IF(J25="","",IF(J25&lt;$AE$21,"控除対象欄へ",IF(O25&gt;380000,"対象外","対象")))</f>
        <v/>
      </c>
      <c r="S25" s="288"/>
      <c r="T25" s="63" t="s">
        <v>78</v>
      </c>
      <c r="U25" s="28"/>
      <c r="V25" s="29"/>
      <c r="W25" s="29"/>
      <c r="X25" s="29"/>
      <c r="Y25" s="109"/>
      <c r="AA25" s="165" t="s">
        <v>8</v>
      </c>
      <c r="AB25" s="166">
        <f>IF(Q16="対象",COUNTIF(K16,"老"),0)</f>
        <v>0</v>
      </c>
      <c r="AC25" s="167">
        <v>100000</v>
      </c>
      <c r="AD25" s="119">
        <f>AC25*AB25</f>
        <v>0</v>
      </c>
      <c r="AE25" s="114">
        <f>+AE18</f>
        <v>18264</v>
      </c>
      <c r="AG25" s="6" t="s">
        <v>276</v>
      </c>
      <c r="AH25" s="19">
        <v>1628000</v>
      </c>
      <c r="AI25" s="56">
        <v>0.6</v>
      </c>
      <c r="AJ25" s="19">
        <v>0</v>
      </c>
      <c r="AK25" s="2"/>
      <c r="AL25" s="16" t="s">
        <v>145</v>
      </c>
      <c r="AM25" s="173">
        <f>IF($H$34="A",AO34,(IF($H$34="B",AP34,AQ34)))</f>
        <v>130000</v>
      </c>
      <c r="AO25" s="63" t="s">
        <v>252</v>
      </c>
      <c r="AP25" s="19">
        <v>9500001</v>
      </c>
    </row>
    <row r="26" spans="2:43" ht="12.75" customHeight="1">
      <c r="B26" s="144" t="s">
        <v>278</v>
      </c>
      <c r="C26" s="37" t="s">
        <v>215</v>
      </c>
      <c r="D26" s="47"/>
      <c r="E26" s="26"/>
      <c r="F26" s="47"/>
      <c r="G26" s="26"/>
      <c r="H26" s="132"/>
      <c r="I26" s="148" t="s">
        <v>16</v>
      </c>
      <c r="J26" s="53"/>
      <c r="K26" s="49" t="str">
        <f>IF(J26="","",IF(J26&lt;$AE$21,"16歳以上",IF(J26&gt;=$AE$21,"年少","")))</f>
        <v/>
      </c>
      <c r="L26" s="148" t="s">
        <v>16</v>
      </c>
      <c r="M26" s="228"/>
      <c r="N26" s="229"/>
      <c r="O26" s="29"/>
      <c r="P26" s="148" t="s">
        <v>16</v>
      </c>
      <c r="Q26" s="145" t="str">
        <f>IF(J26="","",IF(J26&lt;$AE$21,"控除対象欄へ",IF(O26&gt;380000,"対象外","対象")))</f>
        <v/>
      </c>
      <c r="S26" s="288"/>
      <c r="T26" s="33"/>
      <c r="U26" s="28"/>
      <c r="V26" s="29"/>
      <c r="W26" s="29"/>
      <c r="X26" s="29"/>
      <c r="Y26" s="109"/>
      <c r="AH26" s="19">
        <v>1800000</v>
      </c>
      <c r="AI26" s="56">
        <v>0.7</v>
      </c>
      <c r="AJ26" s="19">
        <v>-180000</v>
      </c>
      <c r="AK26" s="2"/>
      <c r="AL26" s="63" t="s">
        <v>264</v>
      </c>
      <c r="AM26" s="170" t="str">
        <f>IF($K$16="老","①","②")</f>
        <v>②</v>
      </c>
      <c r="AO26" s="63" t="s">
        <v>253</v>
      </c>
      <c r="AP26" s="19">
        <v>10000001</v>
      </c>
    </row>
    <row r="27" spans="2:43" ht="12.75" customHeight="1">
      <c r="Q27" s="139"/>
      <c r="S27" s="288"/>
      <c r="T27" s="33"/>
      <c r="U27" s="14"/>
      <c r="V27" s="29"/>
      <c r="W27" s="29"/>
      <c r="X27" s="29"/>
      <c r="Y27" s="109"/>
      <c r="Z27" s="109"/>
      <c r="AA27" s="64"/>
      <c r="AB27" s="37" t="s">
        <v>73</v>
      </c>
      <c r="AC27" s="37" t="s">
        <v>74</v>
      </c>
      <c r="AD27" s="37" t="s">
        <v>75</v>
      </c>
      <c r="AH27" s="19">
        <v>3600000</v>
      </c>
      <c r="AI27" s="56">
        <v>0.8</v>
      </c>
      <c r="AJ27" s="19">
        <v>-540000</v>
      </c>
      <c r="AK27" s="2"/>
      <c r="AO27" s="170" t="str">
        <f>+AM26</f>
        <v>②</v>
      </c>
      <c r="AP27" s="19">
        <v>0</v>
      </c>
      <c r="AQ27" s="25"/>
    </row>
    <row r="28" spans="2:43" ht="12.75" customHeight="1">
      <c r="B28" s="153" t="s">
        <v>236</v>
      </c>
      <c r="C28" s="16" t="s">
        <v>73</v>
      </c>
      <c r="D28" s="16" t="s">
        <v>74</v>
      </c>
      <c r="E28" s="44" t="s">
        <v>159</v>
      </c>
      <c r="G28" s="105" t="s">
        <v>270</v>
      </c>
      <c r="J28" s="57"/>
      <c r="L28" s="20"/>
      <c r="M28" s="13"/>
      <c r="Q28" s="20"/>
      <c r="R28" s="58"/>
      <c r="S28" s="289"/>
      <c r="T28" s="277" t="s">
        <v>1</v>
      </c>
      <c r="U28" s="278"/>
      <c r="V28" s="41">
        <f>SUM(V24:V27)</f>
        <v>0</v>
      </c>
      <c r="W28" s="41">
        <f>SUM(W24:W27)</f>
        <v>0</v>
      </c>
      <c r="X28" s="41">
        <f>SUM(X24:X27)</f>
        <v>0</v>
      </c>
      <c r="Y28" s="109"/>
      <c r="Z28" s="109"/>
      <c r="AA28" s="17" t="s">
        <v>17</v>
      </c>
      <c r="AB28" s="67">
        <f>IF(C29="○",1,0)</f>
        <v>0</v>
      </c>
      <c r="AC28" s="178">
        <f>IF($O$16&gt;380000,0,IF($E$16="",0,IF(D29="○",1,0)))</f>
        <v>0</v>
      </c>
      <c r="AD28" s="67" t="str">
        <f>+E29</f>
        <v>－</v>
      </c>
      <c r="AH28" s="19">
        <v>6600000</v>
      </c>
      <c r="AI28" s="56">
        <v>0.9</v>
      </c>
      <c r="AJ28" s="19">
        <v>-1200000</v>
      </c>
      <c r="AK28" s="2"/>
      <c r="AO28" s="63" t="s">
        <v>146</v>
      </c>
      <c r="AP28" s="19">
        <v>380001</v>
      </c>
      <c r="AQ28" s="25"/>
    </row>
    <row r="29" spans="2:43" ht="12.75" customHeight="1">
      <c r="B29" s="180" t="s">
        <v>17</v>
      </c>
      <c r="C29" s="42" t="s">
        <v>16</v>
      </c>
      <c r="D29" s="42" t="s">
        <v>16</v>
      </c>
      <c r="E29" s="62" t="s">
        <v>16</v>
      </c>
      <c r="G29" s="306" t="s">
        <v>265</v>
      </c>
      <c r="H29" s="307"/>
      <c r="I29" s="235" t="s">
        <v>88</v>
      </c>
      <c r="J29" s="235"/>
      <c r="L29" s="306" t="s">
        <v>266</v>
      </c>
      <c r="M29" s="307"/>
      <c r="N29" s="69" t="s">
        <v>86</v>
      </c>
      <c r="O29" s="66" t="s">
        <v>87</v>
      </c>
      <c r="P29" s="235" t="s">
        <v>88</v>
      </c>
      <c r="Q29" s="235"/>
      <c r="S29" s="277" t="s">
        <v>79</v>
      </c>
      <c r="T29" s="279"/>
      <c r="U29" s="278"/>
      <c r="V29" s="61">
        <f>+V23+V28</f>
        <v>0</v>
      </c>
      <c r="W29" s="61">
        <f>+W23+W28</f>
        <v>0</v>
      </c>
      <c r="X29" s="61">
        <f>+X23+X28</f>
        <v>0</v>
      </c>
      <c r="Y29" s="109"/>
      <c r="Z29" s="109"/>
      <c r="AA29" s="17" t="s">
        <v>110</v>
      </c>
      <c r="AB29" s="67">
        <f>IF(C30="○",1,0)</f>
        <v>0</v>
      </c>
      <c r="AC29" s="178">
        <f>IF($O$16&gt;380000,0,IF($E$16="",0,IF(D30="○",1,0)))</f>
        <v>0</v>
      </c>
      <c r="AD29" s="67" t="str">
        <f>+E30</f>
        <v>－</v>
      </c>
      <c r="AH29" s="19">
        <v>10000001</v>
      </c>
      <c r="AI29" s="56">
        <v>1</v>
      </c>
      <c r="AJ29" s="19">
        <v>-2200000</v>
      </c>
      <c r="AK29" s="2"/>
      <c r="AO29" s="63" t="s">
        <v>211</v>
      </c>
      <c r="AP29" s="19">
        <v>850001</v>
      </c>
      <c r="AQ29" s="25"/>
    </row>
    <row r="30" spans="2:43" ht="12.75" customHeight="1">
      <c r="B30" s="181" t="s">
        <v>18</v>
      </c>
      <c r="C30" s="42" t="s">
        <v>16</v>
      </c>
      <c r="D30" s="42" t="s">
        <v>16</v>
      </c>
      <c r="E30" s="62" t="s">
        <v>16</v>
      </c>
      <c r="G30" s="207" t="s">
        <v>89</v>
      </c>
      <c r="H30" s="208"/>
      <c r="I30" s="198">
        <f>+W34</f>
        <v>0</v>
      </c>
      <c r="J30" s="198"/>
      <c r="L30" s="207" t="s">
        <v>89</v>
      </c>
      <c r="M30" s="208"/>
      <c r="N30" s="131"/>
      <c r="O30" s="176"/>
      <c r="P30" s="198">
        <f>+IF($N$30="",0,$AN$21)</f>
        <v>0</v>
      </c>
      <c r="Q30" s="198"/>
      <c r="S30" s="277" t="s">
        <v>112</v>
      </c>
      <c r="T30" s="279"/>
      <c r="U30" s="278"/>
      <c r="V30" s="29"/>
      <c r="W30" s="99"/>
      <c r="X30" s="29"/>
      <c r="Y30" s="109"/>
      <c r="Z30" s="109"/>
      <c r="AA30" s="17" t="s">
        <v>220</v>
      </c>
      <c r="AB30" s="68"/>
      <c r="AC30" s="177">
        <f>IF($O$16&gt;380000,0,IF($E$16="",0,IF(D31="○",1,0)))</f>
        <v>0</v>
      </c>
      <c r="AD30" s="127" t="str">
        <f>+E31</f>
        <v>－</v>
      </c>
      <c r="AO30" s="63" t="s">
        <v>253</v>
      </c>
      <c r="AP30" s="19">
        <v>1230001</v>
      </c>
    </row>
    <row r="31" spans="2:43" ht="12.75" customHeight="1">
      <c r="B31" s="84" t="s">
        <v>22</v>
      </c>
      <c r="C31" s="128"/>
      <c r="D31" s="42" t="s">
        <v>16</v>
      </c>
      <c r="E31" s="62" t="s">
        <v>16</v>
      </c>
      <c r="F31" s="20"/>
      <c r="G31" s="308" t="s">
        <v>258</v>
      </c>
      <c r="H31" s="309"/>
      <c r="I31" s="228"/>
      <c r="J31" s="229"/>
      <c r="L31" s="207" t="s">
        <v>91</v>
      </c>
      <c r="M31" s="208"/>
      <c r="N31" s="131"/>
      <c r="O31" s="29"/>
      <c r="P31" s="198">
        <f>(N31-O31)</f>
        <v>0</v>
      </c>
      <c r="Q31" s="198"/>
      <c r="Z31" s="109"/>
      <c r="AA31" s="37" t="s">
        <v>24</v>
      </c>
      <c r="AB31" s="67">
        <f>IF(C32="○",1,0)</f>
        <v>0</v>
      </c>
      <c r="AC31" s="32" t="s">
        <v>26</v>
      </c>
      <c r="AD31" s="67">
        <f>IF(C34="○",1,0)</f>
        <v>0</v>
      </c>
      <c r="AH31" s="2"/>
      <c r="AI31" s="55"/>
      <c r="AJ31" s="2"/>
      <c r="AK31" s="2"/>
      <c r="AL31" s="20"/>
      <c r="AM31" s="20"/>
      <c r="AN31" s="164"/>
    </row>
    <row r="32" spans="2:43" ht="12.75" customHeight="1">
      <c r="B32" s="181" t="s">
        <v>24</v>
      </c>
      <c r="C32" s="42" t="s">
        <v>16</v>
      </c>
      <c r="D32" s="220"/>
      <c r="E32" s="220"/>
      <c r="F32" s="20"/>
      <c r="G32" s="205" t="s">
        <v>257</v>
      </c>
      <c r="H32" s="206"/>
      <c r="I32" s="259">
        <f>IF(SUM(I30:J31)&lt;0,0,SUM(I30:J31))</f>
        <v>0</v>
      </c>
      <c r="J32" s="259"/>
      <c r="L32" s="292" t="s">
        <v>92</v>
      </c>
      <c r="M32" s="44" t="s">
        <v>93</v>
      </c>
      <c r="N32" s="131"/>
      <c r="O32" s="61">
        <f>+MAX(AN49,AN55)</f>
        <v>0</v>
      </c>
      <c r="P32" s="198">
        <f>+(MAX(N32-O32,0))</f>
        <v>0</v>
      </c>
      <c r="Q32" s="198"/>
      <c r="S32" s="284"/>
      <c r="T32" s="284"/>
      <c r="U32" s="284"/>
      <c r="V32" s="284"/>
      <c r="W32" s="69" t="s">
        <v>29</v>
      </c>
      <c r="X32" s="4" t="s">
        <v>30</v>
      </c>
      <c r="Z32" s="109"/>
      <c r="AA32" s="37" t="s">
        <v>25</v>
      </c>
      <c r="AB32" s="67">
        <f>IF(C33="○",1,0)</f>
        <v>0</v>
      </c>
      <c r="AC32" s="32" t="s">
        <v>27</v>
      </c>
      <c r="AD32" s="67">
        <f>IF(C35="○",1,0)</f>
        <v>0</v>
      </c>
      <c r="AH32" s="22" t="s">
        <v>33</v>
      </c>
      <c r="AI32" s="23"/>
      <c r="AJ32" s="24"/>
      <c r="AK32" s="2"/>
      <c r="AL32" s="20" t="s">
        <v>34</v>
      </c>
      <c r="AM32" s="73">
        <f>P40</f>
        <v>0</v>
      </c>
      <c r="AO32" s="98" t="s">
        <v>245</v>
      </c>
      <c r="AP32" s="98" t="s">
        <v>246</v>
      </c>
      <c r="AQ32" s="98" t="s">
        <v>247</v>
      </c>
    </row>
    <row r="33" spans="1:45" ht="12.75" customHeight="1">
      <c r="B33" s="181" t="s">
        <v>25</v>
      </c>
      <c r="C33" s="42" t="s">
        <v>16</v>
      </c>
      <c r="D33" s="220"/>
      <c r="E33" s="220"/>
      <c r="F33" s="20"/>
      <c r="L33" s="293"/>
      <c r="M33" s="37" t="s">
        <v>94</v>
      </c>
      <c r="N33" s="131"/>
      <c r="O33" s="29"/>
      <c r="P33" s="198">
        <f>+(N33-O33)</f>
        <v>0</v>
      </c>
      <c r="Q33" s="198"/>
      <c r="S33" s="261" t="s">
        <v>118</v>
      </c>
      <c r="T33" s="261"/>
      <c r="U33" s="261"/>
      <c r="V33" s="261"/>
      <c r="W33" s="71">
        <f>+V29</f>
        <v>0</v>
      </c>
      <c r="X33" s="71">
        <f>+X29</f>
        <v>0</v>
      </c>
      <c r="AA33" s="82" t="s">
        <v>233</v>
      </c>
      <c r="AB33" s="70"/>
      <c r="AC33" s="6"/>
      <c r="AE33" s="6" t="str">
        <f>+AH52</f>
        <v>公的年金65歳以上</v>
      </c>
      <c r="AH33" s="63" t="s">
        <v>260</v>
      </c>
      <c r="AI33" s="31"/>
      <c r="AJ33" s="3" t="s">
        <v>20</v>
      </c>
      <c r="AK33" s="2"/>
      <c r="AL33" s="20"/>
      <c r="AM33" s="77"/>
      <c r="AN33" s="109" t="s">
        <v>262</v>
      </c>
      <c r="AO33" s="171">
        <v>480000</v>
      </c>
      <c r="AP33" s="171">
        <v>320000</v>
      </c>
      <c r="AQ33" s="171">
        <v>160000</v>
      </c>
    </row>
    <row r="34" spans="1:45" ht="12.75" customHeight="1">
      <c r="B34" s="181" t="s">
        <v>26</v>
      </c>
      <c r="C34" s="42" t="s">
        <v>16</v>
      </c>
      <c r="D34" s="220"/>
      <c r="E34" s="220"/>
      <c r="F34" s="20"/>
      <c r="G34" s="299" t="s">
        <v>248</v>
      </c>
      <c r="H34" s="301" t="str">
        <f>IF(AM39=0,"",AM39)</f>
        <v/>
      </c>
      <c r="I34" s="277" t="s">
        <v>38</v>
      </c>
      <c r="J34" s="278"/>
      <c r="L34" s="207" t="s">
        <v>95</v>
      </c>
      <c r="M34" s="208"/>
      <c r="N34" s="131"/>
      <c r="O34" s="29"/>
      <c r="P34" s="198">
        <f>+(N34-O34)</f>
        <v>0</v>
      </c>
      <c r="Q34" s="198"/>
      <c r="S34" s="260" t="s">
        <v>21</v>
      </c>
      <c r="T34" s="260"/>
      <c r="U34" s="260"/>
      <c r="V34" s="260"/>
      <c r="W34" s="72">
        <f>IF(W33=0,0,IF(O8="甲欄",AN14,0))</f>
        <v>0</v>
      </c>
      <c r="X34" s="281" t="str">
        <f>IF(OR(O8="乙欄",O8="丙欄",O8="年調対象外"),"年調できません",IF(W33&gt;20000000,"年調できません"," "))</f>
        <v xml:space="preserve"> </v>
      </c>
      <c r="AB34" s="70"/>
      <c r="AC34" s="6"/>
      <c r="AE34" s="125">
        <v>20090</v>
      </c>
      <c r="AH34" s="19">
        <v>0</v>
      </c>
      <c r="AI34" s="56"/>
      <c r="AJ34" s="61">
        <f>+AJ35</f>
        <v>0</v>
      </c>
      <c r="AK34" s="2"/>
      <c r="AL34" s="2" t="s">
        <v>33</v>
      </c>
      <c r="AM34" s="19">
        <f>IF(E16="",0,IF(AM36&gt;0,0,LOOKUP(AM32,AH34:AH44,AJ34:AJ44)))</f>
        <v>0</v>
      </c>
      <c r="AN34" s="172" t="s">
        <v>263</v>
      </c>
      <c r="AO34" s="168">
        <v>380000</v>
      </c>
      <c r="AP34" s="168">
        <v>260000</v>
      </c>
      <c r="AQ34" s="168">
        <v>130000</v>
      </c>
    </row>
    <row r="35" spans="1:45" ht="12.75" customHeight="1">
      <c r="B35" s="181" t="s">
        <v>178</v>
      </c>
      <c r="C35" s="42" t="s">
        <v>16</v>
      </c>
      <c r="D35" s="220"/>
      <c r="E35" s="220"/>
      <c r="F35" s="20"/>
      <c r="G35" s="300"/>
      <c r="H35" s="302"/>
      <c r="I35" s="294">
        <f>+AM36</f>
        <v>0</v>
      </c>
      <c r="J35" s="295"/>
      <c r="L35" s="207" t="s">
        <v>96</v>
      </c>
      <c r="M35" s="208"/>
      <c r="N35" s="131"/>
      <c r="O35" s="29"/>
      <c r="P35" s="198">
        <f>+(N35-O35)</f>
        <v>0</v>
      </c>
      <c r="Q35" s="198"/>
      <c r="S35" s="263" t="s">
        <v>83</v>
      </c>
      <c r="T35" s="264"/>
      <c r="U35" s="267" t="s">
        <v>84</v>
      </c>
      <c r="V35" s="267"/>
      <c r="W35" s="74">
        <f>+W29</f>
        <v>0</v>
      </c>
      <c r="X35" s="282"/>
      <c r="AB35" s="75" t="e">
        <f>LOOKUP(O12,AC35:AC38,AD35:AD38)</f>
        <v>#N/A</v>
      </c>
      <c r="AC35" s="64">
        <v>1</v>
      </c>
      <c r="AD35" s="76">
        <v>1</v>
      </c>
      <c r="AE35" s="6" t="s">
        <v>119</v>
      </c>
      <c r="AH35" s="19">
        <v>380001</v>
      </c>
      <c r="AI35" s="56"/>
      <c r="AJ35" s="61">
        <f t="shared" ref="AJ35:AJ44" si="0">IF($AM$39="A",AO35,(IF($AM$39="B",AP35,IF($AM$39="C",AQ35,0))))</f>
        <v>0</v>
      </c>
      <c r="AK35" s="2"/>
      <c r="AL35" s="20"/>
      <c r="AM35" s="20"/>
      <c r="AN35" s="2">
        <v>380001</v>
      </c>
      <c r="AO35" s="2">
        <v>380000</v>
      </c>
      <c r="AP35" s="2">
        <v>260000</v>
      </c>
      <c r="AQ35" s="2">
        <v>130000</v>
      </c>
    </row>
    <row r="36" spans="1:45" s="20" customFormat="1" ht="12.75" customHeight="1">
      <c r="A36" s="6"/>
      <c r="B36" s="182" t="s">
        <v>31</v>
      </c>
      <c r="C36" s="42" t="s">
        <v>16</v>
      </c>
      <c r="D36" s="32" t="s">
        <v>35</v>
      </c>
      <c r="E36" s="42" t="s">
        <v>16</v>
      </c>
      <c r="G36" s="303" t="s">
        <v>249</v>
      </c>
      <c r="H36" s="305" t="str">
        <f>IF(AM40=0,"",AM40)</f>
        <v/>
      </c>
      <c r="I36" s="277" t="s">
        <v>33</v>
      </c>
      <c r="J36" s="278"/>
      <c r="K36" s="6"/>
      <c r="L36" s="207" t="s">
        <v>97</v>
      </c>
      <c r="M36" s="208"/>
      <c r="N36" s="131"/>
      <c r="O36" s="29"/>
      <c r="P36" s="198">
        <f>MAX(0,INT((N36-O36)/2))</f>
        <v>0</v>
      </c>
      <c r="Q36" s="198"/>
      <c r="R36" s="6"/>
      <c r="S36" s="263"/>
      <c r="T36" s="264"/>
      <c r="U36" s="261" t="s">
        <v>85</v>
      </c>
      <c r="V36" s="261"/>
      <c r="W36" s="72">
        <f>+P49+P50</f>
        <v>0</v>
      </c>
      <c r="X36" s="282"/>
      <c r="Y36" s="6"/>
      <c r="Z36" s="6"/>
      <c r="AA36" s="6"/>
      <c r="AB36" s="78">
        <v>4595</v>
      </c>
      <c r="AC36" s="79">
        <v>4595</v>
      </c>
      <c r="AD36" s="76">
        <v>2</v>
      </c>
      <c r="AE36" s="6" t="s">
        <v>113</v>
      </c>
      <c r="AF36" s="6"/>
      <c r="AG36" s="6"/>
      <c r="AH36" s="19">
        <v>850001</v>
      </c>
      <c r="AI36" s="56"/>
      <c r="AJ36" s="61">
        <f t="shared" si="0"/>
        <v>0</v>
      </c>
      <c r="AK36" s="2"/>
      <c r="AL36" s="2" t="s">
        <v>38</v>
      </c>
      <c r="AM36" s="19">
        <f>IF(E16="",0,IF(AM39="対象外",0,IF(AM40="①",AM24,IF(AM40="②",AM25,0))))</f>
        <v>0</v>
      </c>
      <c r="AN36" s="2">
        <v>850001</v>
      </c>
      <c r="AO36" s="2">
        <v>360000</v>
      </c>
      <c r="AP36" s="2">
        <v>240000</v>
      </c>
      <c r="AQ36" s="2">
        <v>120000</v>
      </c>
      <c r="AR36" s="6"/>
      <c r="AS36" s="6"/>
    </row>
    <row r="37" spans="1:45" s="20" customFormat="1" ht="12.75" customHeight="1">
      <c r="A37" s="6"/>
      <c r="B37" s="182" t="s">
        <v>32</v>
      </c>
      <c r="C37" s="42" t="s">
        <v>16</v>
      </c>
      <c r="D37" s="32" t="s">
        <v>36</v>
      </c>
      <c r="E37" s="42" t="s">
        <v>16</v>
      </c>
      <c r="G37" s="304"/>
      <c r="H37" s="302"/>
      <c r="I37" s="294">
        <f>+AM34</f>
        <v>0</v>
      </c>
      <c r="J37" s="295"/>
      <c r="K37" s="6"/>
      <c r="L37" s="230" t="s">
        <v>98</v>
      </c>
      <c r="M37" s="37" t="s">
        <v>99</v>
      </c>
      <c r="N37" s="131"/>
      <c r="O37" s="29"/>
      <c r="P37" s="198">
        <f>+(N37-O37)</f>
        <v>0</v>
      </c>
      <c r="Q37" s="198"/>
      <c r="R37" s="6"/>
      <c r="S37" s="265"/>
      <c r="T37" s="266"/>
      <c r="U37" s="261" t="s">
        <v>150</v>
      </c>
      <c r="V37" s="261"/>
      <c r="W37" s="72">
        <f>P51</f>
        <v>0</v>
      </c>
      <c r="X37" s="282"/>
      <c r="Y37" s="6"/>
      <c r="Z37" s="6"/>
      <c r="AA37" s="6"/>
      <c r="AB37" s="78">
        <v>9856</v>
      </c>
      <c r="AC37" s="79">
        <v>9856</v>
      </c>
      <c r="AD37" s="76">
        <v>3</v>
      </c>
      <c r="AE37" s="2" t="s">
        <v>120</v>
      </c>
      <c r="AF37" s="6"/>
      <c r="AG37" s="6"/>
      <c r="AH37" s="19">
        <v>900001</v>
      </c>
      <c r="AI37" s="56"/>
      <c r="AJ37" s="61">
        <f t="shared" si="0"/>
        <v>0</v>
      </c>
      <c r="AK37" s="2"/>
      <c r="AN37" s="2">
        <v>900001</v>
      </c>
      <c r="AO37" s="2">
        <v>310000</v>
      </c>
      <c r="AP37" s="2">
        <v>210000</v>
      </c>
      <c r="AQ37" s="2">
        <v>110000</v>
      </c>
    </row>
    <row r="38" spans="1:45" s="20" customFormat="1" ht="12.75" customHeight="1">
      <c r="A38" s="6"/>
      <c r="K38" s="6"/>
      <c r="L38" s="231"/>
      <c r="M38" s="37" t="s">
        <v>101</v>
      </c>
      <c r="N38" s="131"/>
      <c r="O38" s="29"/>
      <c r="P38" s="198">
        <f>INT((((N38-O38)+(N39-O39))/2))</f>
        <v>0</v>
      </c>
      <c r="Q38" s="198"/>
      <c r="R38" s="6"/>
      <c r="S38" s="261" t="s">
        <v>37</v>
      </c>
      <c r="T38" s="261"/>
      <c r="U38" s="261"/>
      <c r="V38" s="261"/>
      <c r="W38" s="72">
        <f>AO68</f>
        <v>0</v>
      </c>
      <c r="X38" s="282"/>
      <c r="Y38" s="6"/>
      <c r="Z38" s="6"/>
      <c r="AB38" s="78">
        <v>32516</v>
      </c>
      <c r="AC38" s="79">
        <v>32516</v>
      </c>
      <c r="AD38" s="81">
        <v>4</v>
      </c>
      <c r="AE38" s="20" t="s">
        <v>90</v>
      </c>
      <c r="AG38" s="6"/>
      <c r="AH38" s="19">
        <v>950001</v>
      </c>
      <c r="AI38" s="56"/>
      <c r="AJ38" s="61">
        <f t="shared" si="0"/>
        <v>0</v>
      </c>
      <c r="AK38" s="2"/>
      <c r="AN38" s="2">
        <v>950001</v>
      </c>
      <c r="AO38" s="2">
        <v>260000</v>
      </c>
      <c r="AP38" s="2">
        <v>180000</v>
      </c>
      <c r="AQ38" s="2">
        <v>90000</v>
      </c>
    </row>
    <row r="39" spans="1:45" s="20" customFormat="1" ht="12.75" customHeight="1">
      <c r="B39" s="20" t="s">
        <v>192</v>
      </c>
      <c r="K39" s="6"/>
      <c r="L39" s="207" t="s">
        <v>102</v>
      </c>
      <c r="M39" s="208"/>
      <c r="N39" s="131"/>
      <c r="O39" s="29"/>
      <c r="P39" s="198"/>
      <c r="Q39" s="198"/>
      <c r="R39" s="6"/>
      <c r="S39" s="261" t="s">
        <v>123</v>
      </c>
      <c r="T39" s="261"/>
      <c r="U39" s="261"/>
      <c r="V39" s="261"/>
      <c r="W39" s="72">
        <f>AO75</f>
        <v>0</v>
      </c>
      <c r="X39" s="282"/>
      <c r="Y39" s="6"/>
      <c r="Z39" s="6"/>
      <c r="AB39" s="82"/>
      <c r="AC39" s="83"/>
      <c r="AH39" s="19">
        <v>1000001</v>
      </c>
      <c r="AI39" s="56"/>
      <c r="AJ39" s="61">
        <f t="shared" si="0"/>
        <v>0</v>
      </c>
      <c r="AK39" s="2"/>
      <c r="AL39" s="63" t="s">
        <v>248</v>
      </c>
      <c r="AM39" s="170">
        <f>IF($E$16="",0,LOOKUP($W$34,$AP$23:$AP$26,$AO$23:$AO$26))</f>
        <v>0</v>
      </c>
      <c r="AN39" s="2">
        <v>1000001</v>
      </c>
      <c r="AO39" s="2">
        <v>210000</v>
      </c>
      <c r="AP39" s="2">
        <v>140000</v>
      </c>
      <c r="AQ39" s="2">
        <v>70000</v>
      </c>
    </row>
    <row r="40" spans="1:45" s="20" customFormat="1" ht="12.75" customHeight="1">
      <c r="B40" s="218" t="s">
        <v>195</v>
      </c>
      <c r="C40" s="296"/>
      <c r="D40" s="296"/>
      <c r="E40" s="296"/>
      <c r="F40" s="296"/>
      <c r="G40" s="296"/>
      <c r="H40" s="296"/>
      <c r="K40" s="6"/>
      <c r="L40" s="187"/>
      <c r="M40" s="188"/>
      <c r="N40" s="246" t="s">
        <v>256</v>
      </c>
      <c r="O40" s="206"/>
      <c r="P40" s="259">
        <f>IF(SUM(P30:Q39)&lt;0,0,SUM(P30:Q39))</f>
        <v>0</v>
      </c>
      <c r="Q40" s="259"/>
      <c r="R40" s="6"/>
      <c r="S40" s="268" t="s">
        <v>259</v>
      </c>
      <c r="T40" s="269"/>
      <c r="U40" s="269"/>
      <c r="V40" s="270"/>
      <c r="W40" s="175"/>
      <c r="X40" s="282"/>
      <c r="Y40" s="6"/>
      <c r="Z40" s="154" t="s">
        <v>219</v>
      </c>
      <c r="AA40" s="155"/>
      <c r="AB40" s="156"/>
      <c r="AH40" s="19">
        <v>1050001</v>
      </c>
      <c r="AI40" s="56"/>
      <c r="AJ40" s="61">
        <f t="shared" si="0"/>
        <v>0</v>
      </c>
      <c r="AK40" s="2"/>
      <c r="AL40" s="3" t="s">
        <v>249</v>
      </c>
      <c r="AM40" s="174">
        <f>IF($E$16="",0,LOOKUP($AM$32,$AP$27:$AP$30,$AO$27:$AO$30))</f>
        <v>0</v>
      </c>
      <c r="AN40" s="2">
        <v>1050001</v>
      </c>
      <c r="AO40" s="2">
        <v>160000</v>
      </c>
      <c r="AP40" s="2">
        <v>110000</v>
      </c>
      <c r="AQ40" s="2">
        <v>60000</v>
      </c>
    </row>
    <row r="41" spans="1:45" s="20" customFormat="1" ht="12.75" customHeight="1">
      <c r="B41" s="219"/>
      <c r="C41" s="296"/>
      <c r="D41" s="296"/>
      <c r="E41" s="296"/>
      <c r="F41" s="296"/>
      <c r="G41" s="296"/>
      <c r="H41" s="296"/>
      <c r="K41" s="6"/>
      <c r="R41" s="6"/>
      <c r="S41" s="271"/>
      <c r="T41" s="272"/>
      <c r="U41" s="272"/>
      <c r="V41" s="273"/>
      <c r="W41" s="50">
        <f>IF(10000000&gt;=I32,AM34+AM36,0)</f>
        <v>0</v>
      </c>
      <c r="X41" s="282"/>
      <c r="Y41" s="6"/>
      <c r="Z41" s="158">
        <f>IF(Q59="対象",1,0)</f>
        <v>0</v>
      </c>
      <c r="AA41" s="57" t="str">
        <f>IF(Q59="対象","("&amp;Z41&amp;")"&amp;D59&amp;E59&amp;IF(P59="○","(非居住者)",""),"")</f>
        <v/>
      </c>
      <c r="AB41" s="157"/>
      <c r="AH41" s="19">
        <v>1100001</v>
      </c>
      <c r="AI41" s="56"/>
      <c r="AJ41" s="61">
        <f t="shared" si="0"/>
        <v>0</v>
      </c>
      <c r="AK41" s="2"/>
      <c r="AN41" s="2">
        <v>1100001</v>
      </c>
      <c r="AO41" s="2">
        <v>110000</v>
      </c>
      <c r="AP41" s="2">
        <v>80000</v>
      </c>
      <c r="AQ41" s="2">
        <v>40000</v>
      </c>
    </row>
    <row r="42" spans="1:45" s="20" customFormat="1" ht="12.75" customHeight="1">
      <c r="B42" s="297" t="s">
        <v>191</v>
      </c>
      <c r="C42" s="296"/>
      <c r="D42" s="296"/>
      <c r="E42" s="296"/>
      <c r="F42" s="296"/>
      <c r="G42" s="296"/>
      <c r="H42" s="296"/>
      <c r="K42" s="6"/>
      <c r="S42" s="261" t="s">
        <v>39</v>
      </c>
      <c r="T42" s="261"/>
      <c r="U42" s="261"/>
      <c r="V42" s="261"/>
      <c r="W42" s="72">
        <f>AD9</f>
        <v>0</v>
      </c>
      <c r="X42" s="282"/>
      <c r="Y42" s="6"/>
      <c r="Z42" s="158">
        <f>IF(Q60="対象",Z41+1,Z41)</f>
        <v>0</v>
      </c>
      <c r="AA42" s="57" t="str">
        <f>IF(Q60="対象","("&amp;Z42&amp;")"&amp;D60&amp;E60&amp;IF(P60="○","(非居住者)",""),"")</f>
        <v/>
      </c>
      <c r="AB42" s="157"/>
      <c r="AH42" s="19">
        <v>1150001</v>
      </c>
      <c r="AI42" s="56"/>
      <c r="AJ42" s="61">
        <f t="shared" si="0"/>
        <v>0</v>
      </c>
      <c r="AK42" s="2"/>
      <c r="AN42" s="2">
        <v>1150001</v>
      </c>
      <c r="AO42" s="2">
        <v>60000</v>
      </c>
      <c r="AP42" s="2">
        <v>40000</v>
      </c>
      <c r="AQ42" s="2">
        <v>20000</v>
      </c>
    </row>
    <row r="43" spans="1:45" s="20" customFormat="1" ht="12.75" customHeight="1">
      <c r="B43" s="297"/>
      <c r="C43" s="296"/>
      <c r="D43" s="296"/>
      <c r="E43" s="296"/>
      <c r="F43" s="296"/>
      <c r="G43" s="296"/>
      <c r="H43" s="296"/>
      <c r="K43" s="105" t="s">
        <v>271</v>
      </c>
      <c r="L43" s="13"/>
      <c r="M43" s="6"/>
      <c r="N43" s="6"/>
      <c r="O43" s="6"/>
      <c r="P43" s="6"/>
      <c r="Q43" s="6"/>
      <c r="S43" s="261" t="s">
        <v>40</v>
      </c>
      <c r="T43" s="261"/>
      <c r="U43" s="261"/>
      <c r="V43" s="261"/>
      <c r="W43" s="72">
        <f>IF(O8="甲欄",380000,0)</f>
        <v>380000</v>
      </c>
      <c r="X43" s="282"/>
      <c r="Z43" s="158">
        <f>IF(Q61="対象",Z42+1,Z42)</f>
        <v>0</v>
      </c>
      <c r="AA43" s="57" t="str">
        <f>IF(Q61="対象","("&amp;Z43&amp;")"&amp;D61&amp;E61&amp;IF(P61="○","(非居住者)",""),"")</f>
        <v/>
      </c>
      <c r="AB43" s="157"/>
      <c r="AH43" s="19">
        <v>1200001</v>
      </c>
      <c r="AI43" s="56"/>
      <c r="AJ43" s="61">
        <f t="shared" si="0"/>
        <v>0</v>
      </c>
      <c r="AK43" s="2"/>
      <c r="AN43" s="2">
        <v>1200001</v>
      </c>
      <c r="AO43" s="2">
        <v>30000</v>
      </c>
      <c r="AP43" s="2">
        <v>20000</v>
      </c>
      <c r="AQ43" s="2">
        <v>10000</v>
      </c>
    </row>
    <row r="44" spans="1:45" s="20" customFormat="1" ht="12.75" customHeight="1">
      <c r="B44" s="297"/>
      <c r="C44" s="296"/>
      <c r="D44" s="296"/>
      <c r="E44" s="296"/>
      <c r="F44" s="296"/>
      <c r="G44" s="296"/>
      <c r="H44" s="296"/>
      <c r="K44" s="129"/>
      <c r="L44" s="141"/>
      <c r="M44" s="135"/>
      <c r="N44" s="37" t="s">
        <v>209</v>
      </c>
      <c r="O44" s="130"/>
      <c r="P44" s="235" t="s">
        <v>210</v>
      </c>
      <c r="Q44" s="235"/>
      <c r="S44" s="274" t="s">
        <v>143</v>
      </c>
      <c r="T44" s="274"/>
      <c r="U44" s="274"/>
      <c r="V44" s="274"/>
      <c r="W44" s="72">
        <f>AD23</f>
        <v>0</v>
      </c>
      <c r="X44" s="282"/>
      <c r="Z44" s="158">
        <f>IF(E65="",Z43,Z43+1)</f>
        <v>0</v>
      </c>
      <c r="AA44" s="57" t="str">
        <f>IF(E65="","","("&amp;Z44&amp;")"&amp;D65&amp;E65&amp;"(年少)"&amp;IF(P65="○","(非居住者)",""))</f>
        <v/>
      </c>
      <c r="AB44" s="157"/>
      <c r="AH44" s="19">
        <v>1230001</v>
      </c>
      <c r="AI44" s="56"/>
      <c r="AJ44" s="61">
        <f t="shared" si="0"/>
        <v>0</v>
      </c>
      <c r="AK44" s="2"/>
      <c r="AN44" s="2">
        <v>1230001</v>
      </c>
      <c r="AO44" s="2">
        <v>0</v>
      </c>
      <c r="AP44" s="2">
        <v>0</v>
      </c>
      <c r="AQ44" s="2">
        <v>0</v>
      </c>
    </row>
    <row r="45" spans="1:45" s="20" customFormat="1" ht="12.75" customHeight="1">
      <c r="B45" s="203" t="s">
        <v>190</v>
      </c>
      <c r="C45" s="204"/>
      <c r="D45" s="202" t="s">
        <v>254</v>
      </c>
      <c r="E45" s="202"/>
      <c r="F45" s="298" t="s">
        <v>100</v>
      </c>
      <c r="G45" s="298"/>
      <c r="H45" s="42" t="s">
        <v>16</v>
      </c>
      <c r="K45" s="232" t="s">
        <v>167</v>
      </c>
      <c r="L45" s="232"/>
      <c r="M45" s="133" t="s">
        <v>165</v>
      </c>
      <c r="N45" s="116"/>
      <c r="O45" s="133" t="s">
        <v>163</v>
      </c>
      <c r="P45" s="191"/>
      <c r="Q45" s="191"/>
      <c r="S45" s="267" t="s">
        <v>41</v>
      </c>
      <c r="T45" s="267"/>
      <c r="U45" s="267"/>
      <c r="V45" s="267"/>
      <c r="W45" s="100">
        <f>IF(O8="甲欄",SUM(W35:W44),"0")</f>
        <v>380000</v>
      </c>
      <c r="X45" s="283"/>
      <c r="Z45" s="158">
        <f>IF(E66="",Z44,Z44+1)</f>
        <v>0</v>
      </c>
      <c r="AA45" s="57" t="str">
        <f>IF(E66="","","("&amp;Z45&amp;")"&amp;D66&amp;E66&amp;"(年少)"&amp;IF(P66="○","(非居住者)",""))</f>
        <v/>
      </c>
      <c r="AB45" s="157"/>
      <c r="AH45" s="2"/>
      <c r="AI45" s="55"/>
      <c r="AJ45" s="2"/>
      <c r="AK45" s="2"/>
    </row>
    <row r="46" spans="1:45" s="20" customFormat="1" ht="12.75" customHeight="1">
      <c r="F46" s="224" t="s">
        <v>255</v>
      </c>
      <c r="G46" s="224"/>
      <c r="H46" s="34"/>
      <c r="K46" s="232"/>
      <c r="L46" s="232"/>
      <c r="M46" s="134" t="s">
        <v>160</v>
      </c>
      <c r="N46" s="29"/>
      <c r="O46" s="117" t="s">
        <v>168</v>
      </c>
      <c r="P46" s="220" t="s">
        <v>168</v>
      </c>
      <c r="Q46" s="220"/>
      <c r="S46" s="260" t="s">
        <v>42</v>
      </c>
      <c r="T46" s="260"/>
      <c r="U46" s="260"/>
      <c r="V46" s="260"/>
      <c r="W46" s="85">
        <f>IF(W34-W45&lt;0,0,ROUNDDOWN(W34-W45,-3))</f>
        <v>0</v>
      </c>
      <c r="X46" s="61">
        <f>AO79</f>
        <v>0</v>
      </c>
      <c r="Z46" s="159">
        <f>IF(E67="",Z45,Z45+1)</f>
        <v>0</v>
      </c>
      <c r="AA46" s="160" t="str">
        <f>IF(E67="","","("&amp;Z46&amp;")"&amp;D67&amp;E67&amp;"(年少)"&amp;IF(P67="○","(非居住者)",""))</f>
        <v/>
      </c>
      <c r="AB46" s="161"/>
      <c r="AH46" s="275" t="s">
        <v>103</v>
      </c>
      <c r="AI46" s="276"/>
      <c r="AJ46" s="86" t="s">
        <v>104</v>
      </c>
      <c r="AL46" s="126">
        <f>+AL52+1</f>
        <v>20091</v>
      </c>
      <c r="AM46" s="87" t="s">
        <v>105</v>
      </c>
    </row>
    <row r="47" spans="1:45" s="20" customFormat="1" ht="12.75" customHeight="1">
      <c r="B47" s="20" t="s">
        <v>186</v>
      </c>
      <c r="K47" s="232"/>
      <c r="L47" s="232"/>
      <c r="M47" s="133" t="s">
        <v>166</v>
      </c>
      <c r="N47" s="29"/>
      <c r="O47" s="133" t="s">
        <v>164</v>
      </c>
      <c r="P47" s="191"/>
      <c r="Q47" s="191"/>
      <c r="S47" s="261" t="s">
        <v>131</v>
      </c>
      <c r="T47" s="261"/>
      <c r="U47" s="261"/>
      <c r="V47" s="261"/>
      <c r="W47" s="261"/>
      <c r="X47" s="41">
        <f>IF(F48=0,0,F48)</f>
        <v>0</v>
      </c>
      <c r="AH47" s="86">
        <v>0</v>
      </c>
      <c r="AI47" s="88">
        <v>0</v>
      </c>
      <c r="AJ47" s="86">
        <v>700000</v>
      </c>
      <c r="AL47" s="89">
        <f>IF(J16&lt;=AL52,0,N32)</f>
        <v>0</v>
      </c>
      <c r="AM47" s="87"/>
      <c r="AP47" s="25"/>
    </row>
    <row r="48" spans="1:45" s="20" customFormat="1" ht="12.75" customHeight="1" thickBot="1">
      <c r="B48" s="142" t="s">
        <v>187</v>
      </c>
      <c r="C48" s="195" t="s">
        <v>197</v>
      </c>
      <c r="D48" s="196"/>
      <c r="E48" s="197"/>
      <c r="F48" s="191"/>
      <c r="G48" s="191"/>
      <c r="I48" s="96" t="s">
        <v>203</v>
      </c>
      <c r="K48" s="290" t="s">
        <v>130</v>
      </c>
      <c r="L48" s="291"/>
      <c r="M48" s="133" t="s">
        <v>122</v>
      </c>
      <c r="N48" s="115"/>
      <c r="O48" s="118" t="s">
        <v>121</v>
      </c>
      <c r="P48" s="191"/>
      <c r="Q48" s="191"/>
      <c r="S48" s="261" t="s">
        <v>180</v>
      </c>
      <c r="T48" s="261"/>
      <c r="U48" s="261"/>
      <c r="V48" s="261"/>
      <c r="W48" s="262"/>
      <c r="X48" s="121">
        <f>IF(X46-X47&lt;=0,0,X46-X47)</f>
        <v>0</v>
      </c>
      <c r="Y48" s="2"/>
      <c r="AD48" s="2"/>
      <c r="AH48" s="86">
        <v>1300000</v>
      </c>
      <c r="AI48" s="88">
        <v>0.25</v>
      </c>
      <c r="AJ48" s="86">
        <v>375000</v>
      </c>
      <c r="AL48" s="90"/>
      <c r="AM48" s="91" t="s">
        <v>104</v>
      </c>
      <c r="AN48" s="90" t="s">
        <v>106</v>
      </c>
    </row>
    <row r="49" spans="2:42" s="20" customFormat="1" ht="12.75" customHeight="1" thickBot="1">
      <c r="B49" s="214" t="s">
        <v>16</v>
      </c>
      <c r="C49" s="203" t="s">
        <v>200</v>
      </c>
      <c r="D49" s="215"/>
      <c r="E49" s="204"/>
      <c r="F49" s="198" t="str">
        <f>IF(F48-MIN(X46:X47)=0,"",F48)</f>
        <v/>
      </c>
      <c r="G49" s="198"/>
      <c r="H49" s="96" t="s">
        <v>204</v>
      </c>
      <c r="I49" s="42" t="s">
        <v>16</v>
      </c>
      <c r="K49" s="240" t="s">
        <v>129</v>
      </c>
      <c r="L49" s="241"/>
      <c r="M49" s="242"/>
      <c r="N49" s="233" t="s">
        <v>80</v>
      </c>
      <c r="O49" s="234"/>
      <c r="P49" s="191"/>
      <c r="Q49" s="191"/>
      <c r="S49" s="262" t="s">
        <v>182</v>
      </c>
      <c r="T49" s="280"/>
      <c r="U49" s="280"/>
      <c r="V49" s="280"/>
      <c r="W49" s="122" t="s">
        <v>179</v>
      </c>
      <c r="X49" s="123">
        <f>IF(O8="甲欄",IF(ROUNDDOWN(X48*102.1%,-2)&lt;=0,0,ROUNDDOWN(X48*102.1%,-2)),X33)</f>
        <v>0</v>
      </c>
      <c r="AD49" s="2"/>
      <c r="AH49" s="86">
        <v>4100000</v>
      </c>
      <c r="AI49" s="88">
        <v>0.15</v>
      </c>
      <c r="AJ49" s="86">
        <v>785000</v>
      </c>
      <c r="AL49" s="92">
        <f>LOOKUP(AL47,AH47:AH50,AI47:AI50)</f>
        <v>0</v>
      </c>
      <c r="AM49" s="93">
        <f>IF(AL47=0,0,IF(AL47&lt;=700000,700000,LOOKUP(AL47,AH47:AH50,AJ47:AJ50)))</f>
        <v>0</v>
      </c>
      <c r="AN49" s="86">
        <f>ROUNDDOWN((AL47*AL49+AM49),0)</f>
        <v>0</v>
      </c>
    </row>
    <row r="50" spans="2:42" s="20" customFormat="1" ht="12.75" customHeight="1">
      <c r="B50" s="214"/>
      <c r="C50" s="193" t="s">
        <v>196</v>
      </c>
      <c r="D50" s="194"/>
      <c r="E50" s="143" t="s">
        <v>198</v>
      </c>
      <c r="F50" s="199" t="s">
        <v>199</v>
      </c>
      <c r="G50" s="199"/>
      <c r="H50" s="96" t="s">
        <v>202</v>
      </c>
      <c r="I50" s="62" t="s">
        <v>16</v>
      </c>
      <c r="K50" s="243"/>
      <c r="L50" s="244"/>
      <c r="M50" s="245"/>
      <c r="N50" s="240" t="s">
        <v>81</v>
      </c>
      <c r="O50" s="242"/>
      <c r="P50" s="191"/>
      <c r="Q50" s="191"/>
      <c r="S50" s="262" t="s">
        <v>44</v>
      </c>
      <c r="T50" s="280"/>
      <c r="U50" s="280"/>
      <c r="V50" s="280"/>
      <c r="W50" s="124" t="str">
        <f>IF(X50&gt;=0,"［ 超過 ］","［ 不足］")</f>
        <v>［ 超過 ］</v>
      </c>
      <c r="X50" s="120">
        <f>X33-X49</f>
        <v>0</v>
      </c>
      <c r="AD50" s="2"/>
      <c r="AH50" s="89">
        <v>7700000</v>
      </c>
      <c r="AI50" s="88">
        <v>0.05</v>
      </c>
      <c r="AJ50" s="86">
        <v>1555000</v>
      </c>
      <c r="AL50" s="87"/>
      <c r="AM50" s="87"/>
      <c r="AP50" s="25"/>
    </row>
    <row r="51" spans="2:42" s="20" customFormat="1" ht="12.75" customHeight="1">
      <c r="B51" s="63" t="s">
        <v>193</v>
      </c>
      <c r="C51" s="192"/>
      <c r="D51" s="192"/>
      <c r="E51" s="42" t="s">
        <v>16</v>
      </c>
      <c r="F51" s="191"/>
      <c r="G51" s="191"/>
      <c r="H51" s="96" t="s">
        <v>205</v>
      </c>
      <c r="I51" s="62" t="s">
        <v>16</v>
      </c>
      <c r="K51" s="232" t="s">
        <v>82</v>
      </c>
      <c r="L51" s="232"/>
      <c r="M51" s="232"/>
      <c r="N51" s="232"/>
      <c r="O51" s="232"/>
      <c r="P51" s="191"/>
      <c r="Q51" s="191"/>
      <c r="AD51" s="2"/>
      <c r="AH51" s="87"/>
      <c r="AI51" s="87"/>
      <c r="AJ51" s="87"/>
      <c r="AP51" s="25"/>
    </row>
    <row r="52" spans="2:42" s="20" customFormat="1" ht="12.75" customHeight="1">
      <c r="B52" s="63" t="s">
        <v>194</v>
      </c>
      <c r="C52" s="192"/>
      <c r="D52" s="192"/>
      <c r="E52" s="42" t="s">
        <v>16</v>
      </c>
      <c r="F52" s="191"/>
      <c r="G52" s="191"/>
      <c r="H52" s="96" t="s">
        <v>206</v>
      </c>
      <c r="I52" s="62" t="s">
        <v>16</v>
      </c>
      <c r="K52" s="6"/>
      <c r="S52" s="80"/>
      <c r="T52" s="107"/>
      <c r="U52" s="107"/>
      <c r="V52" s="107"/>
      <c r="AD52" s="2"/>
      <c r="AH52" s="275" t="s">
        <v>107</v>
      </c>
      <c r="AI52" s="276"/>
      <c r="AJ52" s="86" t="s">
        <v>104</v>
      </c>
      <c r="AL52" s="125">
        <f>+AE34</f>
        <v>20090</v>
      </c>
      <c r="AM52" s="87" t="s">
        <v>108</v>
      </c>
      <c r="AN52" s="87"/>
      <c r="AP52" s="25"/>
    </row>
    <row r="53" spans="2:42" s="20" customFormat="1" ht="12.75" customHeight="1">
      <c r="K53" s="6"/>
      <c r="AC53" s="2"/>
      <c r="AD53" s="2"/>
      <c r="AH53" s="86">
        <v>0</v>
      </c>
      <c r="AI53" s="88">
        <v>0</v>
      </c>
      <c r="AJ53" s="86">
        <v>1200000</v>
      </c>
      <c r="AL53" s="89">
        <f>IF(J16&gt;AL52,0,N32)</f>
        <v>0</v>
      </c>
      <c r="AM53" s="87"/>
      <c r="AN53" s="87"/>
      <c r="AP53" s="25"/>
    </row>
    <row r="54" spans="2:42" s="20" customFormat="1" ht="12.75" customHeight="1">
      <c r="B54" s="20" t="s">
        <v>238</v>
      </c>
      <c r="AA54" s="20" t="s">
        <v>221</v>
      </c>
      <c r="AB54" s="20" t="s">
        <v>222</v>
      </c>
      <c r="AC54" s="20" t="s">
        <v>229</v>
      </c>
      <c r="AD54" s="2"/>
      <c r="AH54" s="86">
        <v>3300000</v>
      </c>
      <c r="AI54" s="88">
        <v>0.25</v>
      </c>
      <c r="AJ54" s="86">
        <v>375000</v>
      </c>
      <c r="AL54" s="90"/>
      <c r="AM54" s="91" t="s">
        <v>104</v>
      </c>
      <c r="AN54" s="90" t="s">
        <v>106</v>
      </c>
      <c r="AP54" s="25"/>
    </row>
    <row r="55" spans="2:42" s="20" customFormat="1" ht="12.75" customHeight="1">
      <c r="B55" s="20" t="s">
        <v>240</v>
      </c>
      <c r="AB55" s="20" t="s">
        <v>232</v>
      </c>
      <c r="AC55" s="20" t="s">
        <v>231</v>
      </c>
      <c r="AD55" s="2"/>
      <c r="AH55" s="86">
        <v>4100000</v>
      </c>
      <c r="AI55" s="88">
        <v>0.15</v>
      </c>
      <c r="AJ55" s="86">
        <v>785000</v>
      </c>
      <c r="AL55" s="92">
        <f>LOOKUP(AL53,AH53:AH56,AI53:AI56)</f>
        <v>0</v>
      </c>
      <c r="AM55" s="93">
        <f>IF(AL53=0,0,IF(AL53&lt;=1200000,1200000,LOOKUP(AL53,AH53:AH56,AJ53:AJ56)))</f>
        <v>0</v>
      </c>
      <c r="AN55" s="86">
        <f>ROUNDDOWN((AL53*AL55+AM55),0)</f>
        <v>0</v>
      </c>
      <c r="AP55" s="25"/>
    </row>
    <row r="56" spans="2:42" s="20" customFormat="1" ht="12.75" customHeight="1">
      <c r="AA56" s="20" t="s">
        <v>223</v>
      </c>
      <c r="AB56" s="20" t="s">
        <v>225</v>
      </c>
      <c r="AC56" s="20" t="s">
        <v>230</v>
      </c>
      <c r="AD56" s="2"/>
      <c r="AH56" s="86">
        <v>7700000</v>
      </c>
      <c r="AI56" s="88">
        <v>0.05</v>
      </c>
      <c r="AJ56" s="86">
        <v>1555000</v>
      </c>
      <c r="AK56" s="87"/>
      <c r="AL56" s="87"/>
      <c r="AM56" s="101"/>
      <c r="AP56" s="25"/>
    </row>
    <row r="57" spans="2:42" s="20" customFormat="1" ht="12.75" customHeight="1">
      <c r="B57" s="20" t="s">
        <v>239</v>
      </c>
      <c r="AA57" s="20" t="s">
        <v>224</v>
      </c>
      <c r="AB57" s="20" t="s">
        <v>226</v>
      </c>
      <c r="AD57" s="2"/>
      <c r="AH57" s="2"/>
      <c r="AI57" s="55"/>
      <c r="AJ57" s="2"/>
      <c r="AK57" s="2"/>
      <c r="AP57" s="25"/>
    </row>
    <row r="58" spans="2:42" s="20" customFormat="1" ht="12.75" customHeight="1">
      <c r="B58" s="187" t="s">
        <v>243</v>
      </c>
      <c r="C58" s="188"/>
      <c r="D58" s="189" t="s">
        <v>147</v>
      </c>
      <c r="E58" s="190"/>
      <c r="F58" s="185" t="s">
        <v>185</v>
      </c>
      <c r="G58" s="186"/>
      <c r="H58" s="16" t="s">
        <v>183</v>
      </c>
      <c r="I58" s="16" t="s">
        <v>69</v>
      </c>
      <c r="J58" s="27" t="s">
        <v>4</v>
      </c>
      <c r="K58" s="43" t="s">
        <v>149</v>
      </c>
      <c r="L58" s="162" t="s">
        <v>244</v>
      </c>
      <c r="M58" s="258" t="s">
        <v>7</v>
      </c>
      <c r="N58" s="190"/>
      <c r="O58" s="44" t="s">
        <v>117</v>
      </c>
      <c r="P58" s="44" t="s">
        <v>188</v>
      </c>
      <c r="Q58" s="45" t="s">
        <v>70</v>
      </c>
      <c r="AB58" s="147" t="s">
        <v>227</v>
      </c>
      <c r="AD58" s="2"/>
      <c r="AH58" s="22" t="s">
        <v>169</v>
      </c>
      <c r="AI58" s="23"/>
      <c r="AJ58" s="24"/>
      <c r="AK58" s="96" t="s">
        <v>161</v>
      </c>
      <c r="AL58" s="19">
        <f>P45</f>
        <v>0</v>
      </c>
      <c r="AM58" s="55">
        <f>LOOKUP(AL58,AH60:AH63,AI60:AI63)</f>
        <v>1</v>
      </c>
      <c r="AN58" s="2">
        <f>LOOKUP(AL58,AH60:AH63,AJ60:AJ63)</f>
        <v>0</v>
      </c>
      <c r="AO58" s="19">
        <f>ROUNDUP(AL58*AM58+AN58,0)</f>
        <v>0</v>
      </c>
      <c r="AP58" s="25"/>
    </row>
    <row r="59" spans="2:42" s="20" customFormat="1" ht="12.75" customHeight="1">
      <c r="B59" s="209" t="str">
        <f>+B20</f>
        <v>(H16.1.1以前生)</v>
      </c>
      <c r="C59" s="37" t="s">
        <v>212</v>
      </c>
      <c r="D59" s="47"/>
      <c r="E59" s="26"/>
      <c r="F59" s="47"/>
      <c r="G59" s="26"/>
      <c r="H59" s="132"/>
      <c r="I59" s="48" t="s">
        <v>16</v>
      </c>
      <c r="J59" s="53"/>
      <c r="K59" s="49" t="str">
        <f>IF(J59&gt;=$AE$21,"対象外",IF(J59="","",IF(AND(J59&lt;=$AE$18,$L$59="同居"),"同居老",IF(J59&lt;=$AE$18,"老",IF(J59&gt;=$AE$19,IF(J59&lt;=$AF$19,"特",""),"")))))</f>
        <v/>
      </c>
      <c r="L59" s="48" t="s">
        <v>16</v>
      </c>
      <c r="M59" s="228"/>
      <c r="N59" s="229"/>
      <c r="O59" s="29"/>
      <c r="P59" s="48" t="s">
        <v>16</v>
      </c>
      <c r="Q59" s="140" t="str">
        <f>IF(J59="","",IF(J59&gt;=$AE$21,"住民税事項へ",IF(O59&gt;380000,"対象外","対象")))</f>
        <v/>
      </c>
      <c r="AB59" s="147" t="s">
        <v>228</v>
      </c>
      <c r="AD59" s="2"/>
      <c r="AH59" s="63" t="s">
        <v>172</v>
      </c>
      <c r="AI59" s="94" t="s">
        <v>20</v>
      </c>
      <c r="AJ59" s="95"/>
      <c r="AK59" s="96" t="s">
        <v>176</v>
      </c>
      <c r="AL59" s="19">
        <f>N45</f>
        <v>0</v>
      </c>
      <c r="AM59" s="55">
        <f>LOOKUP(AL59,AH65:AH68,AI65:AI68)</f>
        <v>1</v>
      </c>
      <c r="AN59" s="2">
        <f>LOOKUP(AL59,AH65:AH68,AJ65:AJ68)</f>
        <v>0</v>
      </c>
      <c r="AO59" s="19">
        <f>ROUNDUP(AL59*AM59+AN59,0)</f>
        <v>0</v>
      </c>
      <c r="AP59" s="25"/>
    </row>
    <row r="60" spans="2:42" s="20" customFormat="1" ht="12.75" customHeight="1">
      <c r="B60" s="210"/>
      <c r="C60" s="37" t="s">
        <v>213</v>
      </c>
      <c r="D60" s="47"/>
      <c r="E60" s="26"/>
      <c r="F60" s="47"/>
      <c r="G60" s="26"/>
      <c r="H60" s="132"/>
      <c r="I60" s="148" t="s">
        <v>16</v>
      </c>
      <c r="J60" s="53"/>
      <c r="K60" s="49" t="str">
        <f>IF(J60&gt;=$AE$21,"対象外",IF(J60="","",IF(AND(J60&lt;=$AE$18,$L$60="同居"),"同居老",IF(J60&lt;=$AE$18,"老",IF(J60&gt;=$AE$19,IF(J60&lt;=$AF$19,"特",""),"")))))</f>
        <v/>
      </c>
      <c r="L60" s="48" t="s">
        <v>16</v>
      </c>
      <c r="M60" s="228"/>
      <c r="N60" s="229"/>
      <c r="O60" s="29"/>
      <c r="P60" s="148" t="s">
        <v>16</v>
      </c>
      <c r="Q60" s="140" t="str">
        <f>IF(J60="","",IF(J60&gt;=$AE$21,"住民税事項へ",IF(O60&gt;380000,"対象外","対象")))</f>
        <v/>
      </c>
      <c r="AD60" s="2"/>
      <c r="AH60" s="19">
        <v>0</v>
      </c>
      <c r="AI60" s="56">
        <v>1</v>
      </c>
      <c r="AJ60" s="19">
        <v>0</v>
      </c>
      <c r="AN60" s="5" t="s">
        <v>173</v>
      </c>
      <c r="AO60" s="73">
        <f>MAX(IF(AO58+AO59&lt;=40000,AO58+AO59,40000),AO58)</f>
        <v>0</v>
      </c>
    </row>
    <row r="61" spans="2:42" s="20" customFormat="1" ht="12.75" customHeight="1">
      <c r="B61" s="211"/>
      <c r="C61" s="37" t="s">
        <v>214</v>
      </c>
      <c r="D61" s="47"/>
      <c r="E61" s="26"/>
      <c r="F61" s="47"/>
      <c r="G61" s="26"/>
      <c r="H61" s="132"/>
      <c r="I61" s="48" t="s">
        <v>16</v>
      </c>
      <c r="J61" s="53"/>
      <c r="K61" s="49" t="str">
        <f>IF(J61&gt;=$AE$21,"対象外",IF(J61="","",IF(AND(J61&lt;=$AE$18,$L$61="同居"),"同居老",IF(J61&lt;=$AE$18,"老",IF(J61&gt;=$AE$19,IF(J61&lt;=$AF$19,"特",""),"")))))</f>
        <v/>
      </c>
      <c r="L61" s="48" t="s">
        <v>16</v>
      </c>
      <c r="M61" s="228"/>
      <c r="N61" s="229"/>
      <c r="O61" s="29"/>
      <c r="P61" s="48" t="s">
        <v>16</v>
      </c>
      <c r="Q61" s="140" t="str">
        <f>IF(J61="","",IF(J61&gt;=$AE$21,"住民税事項へ",IF(O61&gt;380000,"対象外","対象")))</f>
        <v/>
      </c>
      <c r="AA61" s="20" t="s">
        <v>136</v>
      </c>
      <c r="AC61" s="20" t="s">
        <v>137</v>
      </c>
      <c r="AD61" s="2"/>
      <c r="AH61" s="19">
        <v>25000</v>
      </c>
      <c r="AI61" s="56">
        <v>0.5</v>
      </c>
      <c r="AJ61" s="19">
        <v>12500</v>
      </c>
    </row>
    <row r="62" spans="2:42" s="20" customFormat="1" ht="12.75" customHeight="1">
      <c r="AA62" s="20" t="s">
        <v>134</v>
      </c>
      <c r="AC62" s="20" t="s">
        <v>138</v>
      </c>
      <c r="AD62" s="2"/>
      <c r="AH62" s="19">
        <v>50000</v>
      </c>
      <c r="AI62" s="56">
        <v>0.25</v>
      </c>
      <c r="AJ62" s="19">
        <v>25000</v>
      </c>
      <c r="AK62" s="96" t="s">
        <v>171</v>
      </c>
      <c r="AL62" s="19">
        <f>N46</f>
        <v>0</v>
      </c>
      <c r="AM62" s="55">
        <f>LOOKUP(AL62,AH65:AH68,AI65:AI68)</f>
        <v>1</v>
      </c>
      <c r="AN62" s="2">
        <f>LOOKUP(AL62,AH65:AH68,AJ65:AJ68)</f>
        <v>0</v>
      </c>
      <c r="AO62" s="19">
        <f>MIN(40000,ROUNDUP(AL62*AM62+AN62,0))</f>
        <v>0</v>
      </c>
    </row>
    <row r="63" spans="2:42" s="20" customFormat="1" ht="12.75" customHeight="1">
      <c r="B63" s="20" t="s">
        <v>237</v>
      </c>
      <c r="AA63" s="20" t="s">
        <v>135</v>
      </c>
      <c r="AC63" s="20" t="s">
        <v>138</v>
      </c>
      <c r="AD63" s="2"/>
      <c r="AH63" s="19">
        <v>100000</v>
      </c>
      <c r="AI63" s="56">
        <v>0</v>
      </c>
      <c r="AJ63" s="19">
        <v>50000</v>
      </c>
      <c r="AK63" s="96"/>
      <c r="AP63" s="25"/>
    </row>
    <row r="64" spans="2:42" s="20" customFormat="1" ht="12.75" customHeight="1">
      <c r="B64" s="216" t="s">
        <v>242</v>
      </c>
      <c r="C64" s="217"/>
      <c r="D64" s="189" t="s">
        <v>147</v>
      </c>
      <c r="E64" s="190"/>
      <c r="F64" s="185" t="s">
        <v>185</v>
      </c>
      <c r="G64" s="186"/>
      <c r="H64" s="16" t="s">
        <v>183</v>
      </c>
      <c r="I64" s="16" t="s">
        <v>69</v>
      </c>
      <c r="J64" s="27" t="s">
        <v>4</v>
      </c>
      <c r="K64" s="43" t="s">
        <v>149</v>
      </c>
      <c r="L64" s="162" t="s">
        <v>244</v>
      </c>
      <c r="M64" s="258" t="s">
        <v>7</v>
      </c>
      <c r="N64" s="190"/>
      <c r="O64" s="44" t="s">
        <v>117</v>
      </c>
      <c r="P64" s="44" t="s">
        <v>188</v>
      </c>
      <c r="Q64" s="45" t="s">
        <v>70</v>
      </c>
      <c r="AA64" s="20" t="s">
        <v>139</v>
      </c>
      <c r="AC64" s="20" t="s">
        <v>140</v>
      </c>
      <c r="AD64" s="2"/>
      <c r="AH64" s="63" t="s">
        <v>170</v>
      </c>
      <c r="AI64" s="94" t="s">
        <v>20</v>
      </c>
      <c r="AJ64" s="95"/>
      <c r="AK64" s="96" t="s">
        <v>162</v>
      </c>
      <c r="AL64" s="19">
        <f>P47</f>
        <v>0</v>
      </c>
      <c r="AM64" s="55">
        <f>LOOKUP(AL64,AH60:AH63,AI60:AI63)</f>
        <v>1</v>
      </c>
      <c r="AN64" s="2">
        <f>LOOKUP(AL64,AH60:AH63,AJ60:AJ63)</f>
        <v>0</v>
      </c>
      <c r="AO64" s="19">
        <f>ROUNDUP(AL64*AM64+AN64,0)</f>
        <v>0</v>
      </c>
      <c r="AP64" s="25"/>
    </row>
    <row r="65" spans="2:43" s="20" customFormat="1" ht="12.75" customHeight="1">
      <c r="B65" s="209" t="str">
        <f>+B26</f>
        <v>(H16.1.2以後生)</v>
      </c>
      <c r="C65" s="37" t="s">
        <v>216</v>
      </c>
      <c r="D65" s="47"/>
      <c r="E65" s="26"/>
      <c r="F65" s="47"/>
      <c r="G65" s="26"/>
      <c r="H65" s="132"/>
      <c r="I65" s="48" t="s">
        <v>16</v>
      </c>
      <c r="J65" s="53"/>
      <c r="K65" s="49" t="str">
        <f>IF(J65="","",IF(J65&lt;$AE$21,"16歳以上",IF(J65&gt;=$AE$21,"年少","")))</f>
        <v/>
      </c>
      <c r="L65" s="48" t="s">
        <v>16</v>
      </c>
      <c r="M65" s="228"/>
      <c r="N65" s="229"/>
      <c r="O65" s="29"/>
      <c r="P65" s="48" t="s">
        <v>16</v>
      </c>
      <c r="Q65" s="145" t="str">
        <f>IF(J65="","",IF(J65&lt;$AE$21,"控除対象欄へ",IF(O65&gt;380000,"対象外","対象")))</f>
        <v/>
      </c>
      <c r="AA65" s="20" t="s">
        <v>141</v>
      </c>
      <c r="AC65" s="20" t="s">
        <v>142</v>
      </c>
      <c r="AD65" s="2"/>
      <c r="AH65" s="19">
        <v>0</v>
      </c>
      <c r="AI65" s="56">
        <v>1</v>
      </c>
      <c r="AJ65" s="19">
        <v>0</v>
      </c>
      <c r="AK65" s="96" t="s">
        <v>175</v>
      </c>
      <c r="AL65" s="19">
        <f>N47</f>
        <v>0</v>
      </c>
      <c r="AM65" s="55">
        <f>LOOKUP(AL65,AH65:AH68,AI65:AI68)</f>
        <v>1</v>
      </c>
      <c r="AN65" s="2">
        <f>LOOKUP(AL65,AH65:AH68,AJ65:AJ68)</f>
        <v>0</v>
      </c>
      <c r="AO65" s="19">
        <f>ROUNDUP(AL65*AM65+AN65,0)</f>
        <v>0</v>
      </c>
      <c r="AP65" s="25"/>
    </row>
    <row r="66" spans="2:43" s="20" customFormat="1" ht="12.75" customHeight="1">
      <c r="B66" s="210"/>
      <c r="C66" s="37" t="s">
        <v>217</v>
      </c>
      <c r="D66" s="47"/>
      <c r="E66" s="26"/>
      <c r="F66" s="47"/>
      <c r="G66" s="26"/>
      <c r="H66" s="132"/>
      <c r="I66" s="48" t="s">
        <v>16</v>
      </c>
      <c r="J66" s="53"/>
      <c r="K66" s="49" t="str">
        <f>IF(J66="","",IF(J66&lt;$AE$21,"16歳以上",IF(J66&gt;=$AE$21,"年少","")))</f>
        <v/>
      </c>
      <c r="L66" s="48" t="s">
        <v>16</v>
      </c>
      <c r="M66" s="228"/>
      <c r="N66" s="229"/>
      <c r="O66" s="29"/>
      <c r="P66" s="48" t="s">
        <v>16</v>
      </c>
      <c r="Q66" s="145" t="str">
        <f>IF(J66="","",IF(J66&lt;$AE$21,"控除対象欄へ",IF(O66&gt;380000,"対象外","対象")))</f>
        <v/>
      </c>
      <c r="AC66" s="2"/>
      <c r="AD66" s="2"/>
      <c r="AH66" s="19">
        <v>20000</v>
      </c>
      <c r="AI66" s="56">
        <v>0.5</v>
      </c>
      <c r="AJ66" s="19">
        <v>10000</v>
      </c>
      <c r="AN66" s="5" t="s">
        <v>174</v>
      </c>
      <c r="AO66" s="73">
        <f>MAX(IF(AO64+AO65&lt;=40000,AO64+AO65,40000),AO64)</f>
        <v>0</v>
      </c>
      <c r="AP66" s="25"/>
    </row>
    <row r="67" spans="2:43" s="20" customFormat="1" ht="12.75" customHeight="1">
      <c r="B67" s="211"/>
      <c r="C67" s="37" t="s">
        <v>218</v>
      </c>
      <c r="D67" s="47"/>
      <c r="E67" s="26"/>
      <c r="F67" s="47"/>
      <c r="G67" s="26"/>
      <c r="H67" s="132"/>
      <c r="I67" s="48" t="s">
        <v>16</v>
      </c>
      <c r="J67" s="53"/>
      <c r="K67" s="49" t="str">
        <f>IF(J67="","",IF(J67&lt;$AE$21,"16歳以上",IF(J67&gt;=$AE$21,"年少","")))</f>
        <v/>
      </c>
      <c r="L67" s="48" t="s">
        <v>16</v>
      </c>
      <c r="M67" s="228"/>
      <c r="N67" s="229"/>
      <c r="O67" s="29"/>
      <c r="P67" s="48" t="s">
        <v>16</v>
      </c>
      <c r="Q67" s="145" t="str">
        <f>IF(J67="","",IF(J67&lt;$AE$21,"控除対象欄へ",IF(O67&gt;380000,"対象外","対象")))</f>
        <v/>
      </c>
      <c r="AH67" s="19">
        <v>40000</v>
      </c>
      <c r="AI67" s="56">
        <v>0.25</v>
      </c>
      <c r="AJ67" s="19">
        <v>20000</v>
      </c>
      <c r="AK67" s="2"/>
      <c r="AP67" s="25"/>
    </row>
    <row r="68" spans="2:43" s="20" customFormat="1" ht="12.75" customHeight="1">
      <c r="AH68" s="19">
        <v>80000</v>
      </c>
      <c r="AI68" s="56">
        <v>0</v>
      </c>
      <c r="AJ68" s="19">
        <v>40000</v>
      </c>
      <c r="AN68" s="5" t="s">
        <v>177</v>
      </c>
      <c r="AO68" s="73">
        <f>IF(AO60+AO62+AO66&lt;=120000,AO60+AO62+AO66,120000)</f>
        <v>0</v>
      </c>
      <c r="AP68" s="25"/>
    </row>
    <row r="69" spans="2:43" s="20" customFormat="1" ht="12.75" customHeight="1">
      <c r="AH69" s="2"/>
      <c r="AI69" s="55"/>
      <c r="AJ69" s="2"/>
      <c r="AK69" s="2"/>
      <c r="AP69" s="25"/>
    </row>
    <row r="70" spans="2:43" s="20" customFormat="1" ht="12.75" customHeight="1">
      <c r="AH70" s="22" t="s">
        <v>126</v>
      </c>
      <c r="AI70" s="23"/>
      <c r="AJ70" s="24"/>
      <c r="AK70" s="2"/>
      <c r="AP70" s="25"/>
      <c r="AQ70" s="102"/>
    </row>
    <row r="71" spans="2:43" s="20" customFormat="1" ht="12.75" customHeight="1">
      <c r="AC71" s="2"/>
      <c r="AD71" s="2"/>
      <c r="AH71" s="63" t="s">
        <v>125</v>
      </c>
      <c r="AI71" s="94" t="s">
        <v>20</v>
      </c>
      <c r="AJ71" s="95"/>
      <c r="AK71" s="96" t="s">
        <v>122</v>
      </c>
      <c r="AL71" s="19">
        <f>N48</f>
        <v>0</v>
      </c>
      <c r="AM71" s="55">
        <f>LOOKUP(AL71,AH72:AH72,AI72:AI72)</f>
        <v>1</v>
      </c>
      <c r="AN71" s="2">
        <f>LOOKUP(AL71,AH72:AH72,AJ72:AJ72)</f>
        <v>0</v>
      </c>
      <c r="AO71" s="19">
        <f>MIN(50000,ROUNDUP(AL71*AM71+AN71,0))</f>
        <v>0</v>
      </c>
      <c r="AP71" s="25"/>
      <c r="AQ71" s="102"/>
    </row>
    <row r="72" spans="2:43" s="20" customFormat="1" ht="12.75" customHeight="1">
      <c r="AC72" s="2"/>
      <c r="AD72" s="2"/>
      <c r="AH72" s="19">
        <v>0</v>
      </c>
      <c r="AI72" s="56">
        <v>1</v>
      </c>
      <c r="AJ72" s="19">
        <v>0</v>
      </c>
      <c r="AK72" s="5"/>
      <c r="AN72" s="2"/>
      <c r="AP72" s="25"/>
    </row>
    <row r="73" spans="2:43" s="20" customFormat="1" ht="12.75" customHeight="1">
      <c r="AC73" s="2"/>
      <c r="AD73" s="2"/>
      <c r="AH73" s="63" t="s">
        <v>124</v>
      </c>
      <c r="AI73" s="94" t="s">
        <v>20</v>
      </c>
      <c r="AJ73" s="95"/>
      <c r="AK73" s="96" t="s">
        <v>127</v>
      </c>
      <c r="AL73" s="19">
        <f>P48</f>
        <v>0</v>
      </c>
      <c r="AM73" s="55">
        <f>LOOKUP(AL73,AH74:AH76,AI74:AI76)</f>
        <v>1</v>
      </c>
      <c r="AN73" s="2">
        <f>LOOKUP(AL73,AH74:AH76,AJ74:AJ76)</f>
        <v>0</v>
      </c>
      <c r="AO73" s="19">
        <f>ROUNDUP(AL73*AM73+AN73,0)</f>
        <v>0</v>
      </c>
      <c r="AP73" s="25"/>
    </row>
    <row r="74" spans="2:43" s="20" customFormat="1" ht="12.75" customHeight="1">
      <c r="AC74" s="2"/>
      <c r="AD74" s="2"/>
      <c r="AH74" s="19">
        <v>0</v>
      </c>
      <c r="AI74" s="56">
        <v>1</v>
      </c>
      <c r="AJ74" s="19">
        <v>0</v>
      </c>
      <c r="AP74" s="25"/>
    </row>
    <row r="75" spans="2:43" s="20" customFormat="1" ht="12.75" customHeight="1">
      <c r="AC75" s="2"/>
      <c r="AD75" s="2"/>
      <c r="AH75" s="19">
        <v>10000</v>
      </c>
      <c r="AI75" s="56">
        <v>0.5</v>
      </c>
      <c r="AJ75" s="19">
        <v>5000</v>
      </c>
      <c r="AK75" s="2"/>
      <c r="AN75" s="5" t="s">
        <v>0</v>
      </c>
      <c r="AO75" s="73">
        <f>IF(AO71+AO73&lt;=50000,AO71+AO73,50000)</f>
        <v>0</v>
      </c>
      <c r="AP75" s="25"/>
    </row>
    <row r="76" spans="2:43" s="20" customFormat="1" ht="12.75" customHeight="1">
      <c r="AC76" s="2"/>
      <c r="AD76" s="2"/>
      <c r="AH76" s="19">
        <v>20000</v>
      </c>
      <c r="AI76" s="56">
        <v>0</v>
      </c>
      <c r="AJ76" s="19">
        <v>15000</v>
      </c>
      <c r="AK76" s="2"/>
      <c r="AP76" s="25"/>
    </row>
    <row r="77" spans="2:43" s="20" customFormat="1" ht="12.75" customHeight="1">
      <c r="AD77" s="2"/>
      <c r="AH77" s="2"/>
      <c r="AI77" s="55"/>
      <c r="AJ77" s="2"/>
      <c r="AK77" s="2"/>
      <c r="AP77" s="25"/>
    </row>
    <row r="78" spans="2:43" s="20" customFormat="1" ht="12.75" customHeight="1">
      <c r="AD78" s="2"/>
      <c r="AH78" s="22" t="s">
        <v>45</v>
      </c>
      <c r="AI78" s="23"/>
      <c r="AJ78" s="24"/>
      <c r="AL78" s="40" t="s">
        <v>46</v>
      </c>
      <c r="AP78" s="25"/>
    </row>
    <row r="79" spans="2:43" s="20" customFormat="1" ht="12.75" customHeight="1">
      <c r="AD79" s="2"/>
      <c r="AH79" s="63" t="s">
        <v>109</v>
      </c>
      <c r="AI79" s="3" t="s">
        <v>47</v>
      </c>
      <c r="AJ79" s="95" t="s">
        <v>20</v>
      </c>
      <c r="AL79" s="19">
        <f>W46</f>
        <v>0</v>
      </c>
      <c r="AM79" s="55">
        <f>LOOKUP(AL79,AH80:AH87,AI80:AI87)</f>
        <v>0.05</v>
      </c>
      <c r="AN79" s="2">
        <f>LOOKUP(AL79,AH80:AH87,AJ80:AJ87)</f>
        <v>0</v>
      </c>
      <c r="AO79" s="119">
        <f>AL79*AM79-AN79</f>
        <v>0</v>
      </c>
      <c r="AP79" s="25"/>
    </row>
    <row r="80" spans="2:43" s="20" customFormat="1" ht="12.75" customHeight="1">
      <c r="AD80" s="2"/>
      <c r="AH80" s="19">
        <v>0</v>
      </c>
      <c r="AI80" s="56">
        <v>0.05</v>
      </c>
      <c r="AJ80" s="19">
        <v>0</v>
      </c>
      <c r="AP80" s="25"/>
    </row>
    <row r="81" spans="1:42" s="20" customFormat="1" ht="12.75" customHeight="1">
      <c r="AD81" s="2"/>
      <c r="AH81" s="19">
        <v>1950001</v>
      </c>
      <c r="AI81" s="56">
        <v>0.1</v>
      </c>
      <c r="AJ81" s="19">
        <v>97500</v>
      </c>
      <c r="AN81" s="5" t="s">
        <v>43</v>
      </c>
      <c r="AO81" s="19"/>
      <c r="AP81" s="25"/>
    </row>
    <row r="82" spans="1:42" s="20" customFormat="1" ht="12.75" customHeight="1">
      <c r="AD82" s="2"/>
      <c r="AH82" s="19">
        <v>3300001</v>
      </c>
      <c r="AI82" s="56">
        <v>0.2</v>
      </c>
      <c r="AJ82" s="19">
        <v>427500</v>
      </c>
      <c r="AO82" s="2"/>
      <c r="AP82" s="25"/>
    </row>
    <row r="83" spans="1:42" s="20" customFormat="1" ht="12.75" customHeight="1">
      <c r="AD83" s="2"/>
      <c r="AH83" s="19">
        <v>6950001</v>
      </c>
      <c r="AI83" s="56">
        <v>0.23</v>
      </c>
      <c r="AJ83" s="19">
        <v>636000</v>
      </c>
      <c r="AN83" s="96" t="s">
        <v>180</v>
      </c>
      <c r="AO83" s="19">
        <f>IF(AO79-AO81&gt;=0,AO79-AO81,0)</f>
        <v>0</v>
      </c>
      <c r="AP83" s="25"/>
    </row>
    <row r="84" spans="1:42" s="20" customFormat="1" ht="12.75" customHeight="1">
      <c r="AD84" s="2"/>
      <c r="AH84" s="19">
        <v>9000001</v>
      </c>
      <c r="AI84" s="56">
        <v>0.33</v>
      </c>
      <c r="AJ84" s="19">
        <v>1536000</v>
      </c>
      <c r="AP84" s="25"/>
    </row>
    <row r="85" spans="1:42" s="20" customFormat="1" ht="12.75" customHeight="1">
      <c r="AD85" s="2"/>
      <c r="AH85" s="97">
        <v>18000001</v>
      </c>
      <c r="AI85" s="56">
        <v>0.4</v>
      </c>
      <c r="AJ85" s="19">
        <v>2796000</v>
      </c>
      <c r="AP85" s="25"/>
    </row>
    <row r="86" spans="1:42" s="20" customFormat="1" ht="12.75" customHeight="1">
      <c r="AC86" s="2"/>
      <c r="AD86" s="2"/>
      <c r="AH86" s="163">
        <v>40000001</v>
      </c>
      <c r="AI86" s="152">
        <v>0.45</v>
      </c>
      <c r="AJ86" s="151">
        <v>4796000</v>
      </c>
      <c r="AP86" s="25"/>
    </row>
    <row r="87" spans="1:42" s="20" customFormat="1" ht="12.75" customHeight="1">
      <c r="AC87" s="2"/>
      <c r="AD87" s="2"/>
      <c r="AH87" s="151">
        <v>999999999</v>
      </c>
      <c r="AI87" s="152">
        <f>+AI86</f>
        <v>0.45</v>
      </c>
      <c r="AJ87" s="151">
        <f>+AJ86</f>
        <v>4796000</v>
      </c>
      <c r="AM87" s="25"/>
      <c r="AP87" s="25"/>
    </row>
    <row r="88" spans="1:42" s="20" customFormat="1" ht="12.75" customHeight="1">
      <c r="AC88" s="2"/>
      <c r="AD88" s="2"/>
      <c r="AH88" s="22" t="s">
        <v>114</v>
      </c>
      <c r="AI88" s="23"/>
      <c r="AJ88" s="24"/>
      <c r="AL88" s="40" t="s">
        <v>46</v>
      </c>
      <c r="AP88" s="25"/>
    </row>
    <row r="89" spans="1:42" s="20" customFormat="1" ht="12.75" customHeight="1">
      <c r="AC89" s="2"/>
      <c r="AD89" s="2"/>
      <c r="AH89" s="63" t="s">
        <v>115</v>
      </c>
      <c r="AI89" s="3" t="s">
        <v>47</v>
      </c>
      <c r="AJ89" s="95" t="s">
        <v>20</v>
      </c>
      <c r="AL89" s="19">
        <f>AL79</f>
        <v>0</v>
      </c>
      <c r="AM89" s="55">
        <f>LOOKUP(AL89,AH90:AH93,AI90:AI93)</f>
        <v>0.1</v>
      </c>
      <c r="AN89" s="2">
        <f>LOOKUP(AL89,AH90:AH93,AJ90:AJ93)</f>
        <v>0</v>
      </c>
      <c r="AO89" s="19">
        <f>AL89*AM89-AN89</f>
        <v>0</v>
      </c>
      <c r="AP89" s="25"/>
    </row>
    <row r="90" spans="1:42" s="20" customFormat="1" ht="12.75" customHeight="1">
      <c r="AC90" s="2"/>
      <c r="AD90" s="2"/>
      <c r="AH90" s="19">
        <v>0</v>
      </c>
      <c r="AI90" s="56">
        <v>0.1</v>
      </c>
      <c r="AJ90" s="19">
        <v>0</v>
      </c>
      <c r="AL90" s="20" t="s">
        <v>116</v>
      </c>
      <c r="AM90" s="25"/>
      <c r="AO90" s="2">
        <v>5000</v>
      </c>
      <c r="AP90" s="25"/>
    </row>
    <row r="91" spans="1:42" s="20" customFormat="1" ht="12.75" customHeight="1">
      <c r="AC91" s="2"/>
      <c r="AD91" s="2"/>
      <c r="AH91" s="19">
        <v>2000001</v>
      </c>
      <c r="AI91" s="56">
        <v>0.1</v>
      </c>
      <c r="AJ91" s="19">
        <v>0</v>
      </c>
      <c r="AM91" s="25"/>
      <c r="AO91" s="73">
        <f>SUM(AO89:AO90)</f>
        <v>5000</v>
      </c>
      <c r="AP91" s="25"/>
    </row>
    <row r="92" spans="1:42" s="20" customFormat="1" ht="12.75" customHeight="1">
      <c r="B92" s="6"/>
      <c r="C92" s="6"/>
      <c r="D92" s="6"/>
      <c r="E92" s="6"/>
      <c r="F92" s="6"/>
      <c r="G92" s="6"/>
      <c r="H92" s="6"/>
      <c r="I92" s="6"/>
      <c r="J92" s="6"/>
      <c r="K92" s="6"/>
      <c r="L92" s="6"/>
      <c r="M92" s="6"/>
      <c r="N92" s="6"/>
      <c r="O92" s="6"/>
      <c r="P92" s="6"/>
      <c r="Q92" s="6"/>
      <c r="AC92" s="2"/>
      <c r="AD92" s="2"/>
      <c r="AH92" s="19">
        <v>7000001</v>
      </c>
      <c r="AI92" s="56">
        <v>0.1</v>
      </c>
      <c r="AJ92" s="19">
        <v>0</v>
      </c>
      <c r="AM92" s="25"/>
      <c r="AP92" s="25"/>
    </row>
    <row r="93" spans="1:42" s="20" customFormat="1" ht="12.75" customHeight="1">
      <c r="B93" s="6"/>
      <c r="C93" s="6"/>
      <c r="D93" s="6"/>
      <c r="E93" s="6"/>
      <c r="F93" s="6"/>
      <c r="G93" s="6"/>
      <c r="H93" s="6"/>
      <c r="I93" s="6"/>
      <c r="J93" s="6"/>
      <c r="K93" s="6"/>
      <c r="L93" s="6"/>
      <c r="M93" s="6"/>
      <c r="N93" s="6"/>
      <c r="O93" s="6"/>
      <c r="P93" s="6"/>
      <c r="Q93" s="6"/>
      <c r="T93" s="6"/>
      <c r="AC93" s="2"/>
      <c r="AD93" s="2"/>
      <c r="AH93" s="19">
        <v>999999999</v>
      </c>
      <c r="AI93" s="56">
        <v>0.1</v>
      </c>
      <c r="AJ93" s="19">
        <v>0</v>
      </c>
      <c r="AM93" s="25"/>
      <c r="AP93" s="25"/>
    </row>
    <row r="94" spans="1:42" s="20" customFormat="1" ht="12.75" customHeight="1">
      <c r="B94" s="6"/>
      <c r="C94" s="6"/>
      <c r="D94" s="6"/>
      <c r="E94" s="6"/>
      <c r="F94" s="6"/>
      <c r="G94" s="6"/>
      <c r="H94" s="6"/>
      <c r="I94" s="6"/>
      <c r="J94" s="6"/>
      <c r="K94" s="6"/>
      <c r="L94" s="6"/>
      <c r="M94" s="6"/>
      <c r="N94" s="6"/>
      <c r="O94" s="6"/>
      <c r="P94" s="6"/>
      <c r="Q94" s="6"/>
      <c r="T94" s="6"/>
      <c r="AC94" s="2"/>
      <c r="AD94" s="2"/>
      <c r="AP94" s="25"/>
    </row>
    <row r="95" spans="1:42" ht="12.75" customHeight="1">
      <c r="A95" s="20"/>
      <c r="R95" s="20"/>
    </row>
    <row r="96" spans="1:42" ht="12.75" customHeight="1">
      <c r="A96" s="20"/>
    </row>
  </sheetData>
  <protectedRanges>
    <protectedRange sqref="E9:J10 E11:G13 I13 M8:O13" name="範囲1"/>
    <protectedRange sqref="L16:N20 O17:O20 P16:P20 D23:J26 L23:P26 D16:J20" name="範囲2"/>
    <protectedRange sqref="C29:E30 D31:E31 C32:C37 E36:E37 C40:H44 D45 H45:H46 F48 B49 C51:G52 I49:I52" name="範囲3"/>
    <protectedRange sqref="N45:N48 P45 P47:Q51 N30:N39 O31 O33:O39 I31" name="範囲4"/>
    <protectedRange sqref="D59:J61 L59:P61 D65:J67 L65:P67" name="範囲5"/>
    <protectedRange sqref="U10:X22 T22 U24:X27 T26:T27 V30 X30 W33:X33 W35" name="範囲6"/>
  </protectedRanges>
  <dataConsolidate/>
  <mergeCells count="164">
    <mergeCell ref="I34:J34"/>
    <mergeCell ref="I36:J36"/>
    <mergeCell ref="I37:J37"/>
    <mergeCell ref="I35:J35"/>
    <mergeCell ref="P36:Q36"/>
    <mergeCell ref="P37:Q37"/>
    <mergeCell ref="M58:N58"/>
    <mergeCell ref="C42:H44"/>
    <mergeCell ref="B42:B44"/>
    <mergeCell ref="F46:G46"/>
    <mergeCell ref="F45:G45"/>
    <mergeCell ref="D35:E35"/>
    <mergeCell ref="C51:D51"/>
    <mergeCell ref="N50:O50"/>
    <mergeCell ref="C40:H41"/>
    <mergeCell ref="F48:G48"/>
    <mergeCell ref="G34:G35"/>
    <mergeCell ref="H34:H35"/>
    <mergeCell ref="G36:G37"/>
    <mergeCell ref="H36:H37"/>
    <mergeCell ref="AA23:AC23"/>
    <mergeCell ref="S10:S23"/>
    <mergeCell ref="S30:U30"/>
    <mergeCell ref="S24:S28"/>
    <mergeCell ref="T23:U23"/>
    <mergeCell ref="I32:J32"/>
    <mergeCell ref="P30:Q30"/>
    <mergeCell ref="P31:Q31"/>
    <mergeCell ref="P32:Q32"/>
    <mergeCell ref="M15:N15"/>
    <mergeCell ref="L32:L33"/>
    <mergeCell ref="P33:Q33"/>
    <mergeCell ref="L29:M29"/>
    <mergeCell ref="I31:J31"/>
    <mergeCell ref="I29:J29"/>
    <mergeCell ref="I30:J30"/>
    <mergeCell ref="AH52:AI52"/>
    <mergeCell ref="AH46:AI46"/>
    <mergeCell ref="T28:U28"/>
    <mergeCell ref="S29:U29"/>
    <mergeCell ref="S50:V50"/>
    <mergeCell ref="X34:X45"/>
    <mergeCell ref="S32:V32"/>
    <mergeCell ref="S39:V39"/>
    <mergeCell ref="S34:V34"/>
    <mergeCell ref="S49:V49"/>
    <mergeCell ref="S38:V38"/>
    <mergeCell ref="P44:Q44"/>
    <mergeCell ref="P45:Q45"/>
    <mergeCell ref="S33:V33"/>
    <mergeCell ref="S48:W48"/>
    <mergeCell ref="S35:T37"/>
    <mergeCell ref="U35:V35"/>
    <mergeCell ref="S47:W47"/>
    <mergeCell ref="S45:V45"/>
    <mergeCell ref="S42:V42"/>
    <mergeCell ref="S40:V41"/>
    <mergeCell ref="S43:V43"/>
    <mergeCell ref="S44:V44"/>
    <mergeCell ref="U37:V37"/>
    <mergeCell ref="P46:Q46"/>
    <mergeCell ref="P34:Q34"/>
    <mergeCell ref="P38:Q39"/>
    <mergeCell ref="P51:Q51"/>
    <mergeCell ref="P29:Q29"/>
    <mergeCell ref="S9:T9"/>
    <mergeCell ref="M13:O13"/>
    <mergeCell ref="M17:N17"/>
    <mergeCell ref="M18:N18"/>
    <mergeCell ref="O8:O10"/>
    <mergeCell ref="M10:N10"/>
    <mergeCell ref="K49:M50"/>
    <mergeCell ref="N40:O40"/>
    <mergeCell ref="M8:N8"/>
    <mergeCell ref="M9:N9"/>
    <mergeCell ref="M16:N16"/>
    <mergeCell ref="M22:N22"/>
    <mergeCell ref="M19:N19"/>
    <mergeCell ref="M23:N23"/>
    <mergeCell ref="P40:Q40"/>
    <mergeCell ref="P35:Q35"/>
    <mergeCell ref="P47:Q47"/>
    <mergeCell ref="P48:Q48"/>
    <mergeCell ref="P49:Q49"/>
    <mergeCell ref="P50:Q50"/>
    <mergeCell ref="S46:V46"/>
    <mergeCell ref="U36:V36"/>
    <mergeCell ref="M67:N67"/>
    <mergeCell ref="M20:N20"/>
    <mergeCell ref="M59:N59"/>
    <mergeCell ref="M60:N60"/>
    <mergeCell ref="M26:N26"/>
    <mergeCell ref="M65:N65"/>
    <mergeCell ref="M66:N66"/>
    <mergeCell ref="N49:O49"/>
    <mergeCell ref="L34:M34"/>
    <mergeCell ref="L35:M35"/>
    <mergeCell ref="M64:N64"/>
    <mergeCell ref="K45:L47"/>
    <mergeCell ref="K48:L48"/>
    <mergeCell ref="L39:M39"/>
    <mergeCell ref="L40:M40"/>
    <mergeCell ref="K8:L8"/>
    <mergeCell ref="K12:L12"/>
    <mergeCell ref="K13:L13"/>
    <mergeCell ref="K10:L10"/>
    <mergeCell ref="K9:L9"/>
    <mergeCell ref="K11:L11"/>
    <mergeCell ref="M61:N61"/>
    <mergeCell ref="L30:M30"/>
    <mergeCell ref="L31:M31"/>
    <mergeCell ref="M24:N24"/>
    <mergeCell ref="M25:N25"/>
    <mergeCell ref="L36:M36"/>
    <mergeCell ref="L37:L38"/>
    <mergeCell ref="K51:O51"/>
    <mergeCell ref="B16:C16"/>
    <mergeCell ref="B15:C15"/>
    <mergeCell ref="E10:J10"/>
    <mergeCell ref="I13:J13"/>
    <mergeCell ref="F15:G15"/>
    <mergeCell ref="B9:B13"/>
    <mergeCell ref="D15:E15"/>
    <mergeCell ref="C12:D12"/>
    <mergeCell ref="C11:D11"/>
    <mergeCell ref="C13:D13"/>
    <mergeCell ref="C10:D10"/>
    <mergeCell ref="E11:G11"/>
    <mergeCell ref="E13:G13"/>
    <mergeCell ref="E12:G12"/>
    <mergeCell ref="E9:J9"/>
    <mergeCell ref="C9:D9"/>
    <mergeCell ref="B17:B19"/>
    <mergeCell ref="D45:E45"/>
    <mergeCell ref="B45:C45"/>
    <mergeCell ref="G32:H32"/>
    <mergeCell ref="G30:H30"/>
    <mergeCell ref="B65:B67"/>
    <mergeCell ref="B23:B25"/>
    <mergeCell ref="B59:B61"/>
    <mergeCell ref="B22:C22"/>
    <mergeCell ref="B49:B50"/>
    <mergeCell ref="C49:E49"/>
    <mergeCell ref="B64:C64"/>
    <mergeCell ref="D64:E64"/>
    <mergeCell ref="B40:B41"/>
    <mergeCell ref="D34:E34"/>
    <mergeCell ref="D32:E32"/>
    <mergeCell ref="D33:E33"/>
    <mergeCell ref="G29:H29"/>
    <mergeCell ref="G31:H31"/>
    <mergeCell ref="F64:G64"/>
    <mergeCell ref="B58:C58"/>
    <mergeCell ref="D58:E58"/>
    <mergeCell ref="F58:G58"/>
    <mergeCell ref="F52:G52"/>
    <mergeCell ref="D22:E22"/>
    <mergeCell ref="F22:G22"/>
    <mergeCell ref="C52:D52"/>
    <mergeCell ref="C50:D50"/>
    <mergeCell ref="C48:E48"/>
    <mergeCell ref="F49:G49"/>
    <mergeCell ref="F50:G50"/>
    <mergeCell ref="F51:G51"/>
  </mergeCells>
  <phoneticPr fontId="2"/>
  <dataValidations xWindow="464" yWindow="361" count="22">
    <dataValidation type="list" allowBlank="1" showInputMessage="1" showErrorMessage="1" sqref="H45">
      <formula1>"－,就職,退職"</formula1>
    </dataValidation>
    <dataValidation type="list" allowBlank="1" showInputMessage="1" showErrorMessage="1" prompt="ドロップダウンリストから該当の場合は &quot;○&quot; を選んでください。_x000a_該当しない場合は &quot;－&quot; のままで" sqref="C29:C30 D29:D31 I49 C32:C37 E36:E37">
      <formula1>"－,○"</formula1>
    </dataValidation>
    <dataValidation type="list" allowBlank="1" showInputMessage="1" showErrorMessage="1" prompt="ドロップダウンリストから該当の場合は &quot;人数&quot; を選んでください。_x000a_該当しない場合は &quot;－&quot; のままで" sqref="E29:E31 I50:I52">
      <formula1>"－,1,2,3,4,5"</formula1>
    </dataValidation>
    <dataValidation type="list" allowBlank="1" showInputMessage="1" showErrorMessage="1" sqref="O8">
      <formula1>"甲欄,年調対象外,乙欄,丙欄"</formula1>
    </dataValidation>
    <dataValidation type="list" allowBlank="1" showErrorMessage="1" prompt="源泉徴収票の控除対象配偶者の有無欄の無に &quot;○&quot; を付ける場合は無を選択してください。" sqref="I16">
      <formula1>"－,妻,夫"</formula1>
    </dataValidation>
    <dataValidation type="list" allowBlank="1" showInputMessage="1" showErrorMessage="1" prompt="ドロップダウンリストから適用を受けている区分を選んでください。_x000a_該当しない場合は &quot;－&quot; のままで" sqref="E51:E52">
      <formula1>"－,住,認,増,震,住(特),認(特),増(特)"</formula1>
    </dataValidation>
    <dataValidation type="list" allowBlank="1" showInputMessage="1" showErrorMessage="1" prompt="ドロップダウンリストから非居住者である親族に該当する方は &quot;○&quot; を選んでください。_x000a_該当しない場合は &quot;－&quot; のままで" sqref="P59:P61 P16:P20 P23:P26 P65:P67">
      <formula1>"－,○"</formula1>
    </dataValidation>
    <dataValidation type="whole" imeMode="off" allowBlank="1" showInputMessage="1" showErrorMessage="1" error="半角で8桁を入力してください。" prompt="半角で8桁を入力してください。" sqref="I13:J13">
      <formula1>0</formula1>
      <formula2>99999999</formula2>
    </dataValidation>
    <dataValidation type="whole" imeMode="off" allowBlank="1" showInputMessage="1" showErrorMessage="1" error="半角で5桁を入力してください。" prompt="半角で5桁を入力してください。" sqref="E13:G13">
      <formula1>0</formula1>
      <formula2>99999</formula2>
    </dataValidation>
    <dataValidation type="whole" imeMode="off" allowBlank="1" showInputMessage="1" showErrorMessage="1" error="半角で12桁入力してください" prompt="マイナンバーを半角で12桁入力してください。" sqref="M9:N9 H59:H61 H16:H20 H23:H26 H65:H67">
      <formula1>1</formula1>
      <formula2>999999999999</formula2>
    </dataValidation>
    <dataValidation type="whole" imeMode="off" allowBlank="1" showInputMessage="1" showErrorMessage="1" error="法人番号は半角で13桁、個人番号(マイナンバー)き半角で12桁で入力してください。" prompt="法人番号は半角で13桁入力してください。_x000a_個人番号(マイナンバー)は半角で12桁で入力してください。(表示上13桁目に0が入りますが源泉徴収票には飛びません。)" sqref="E11:G11">
      <formula1>1</formula1>
      <formula2>9999999999999</formula2>
    </dataValidation>
    <dataValidation type="list" allowBlank="1" showInputMessage="1" showErrorMessage="1" sqref="D45:E45">
      <formula1>"－,普通徴収"</formula1>
    </dataValidation>
    <dataValidation allowBlank="1" showInputMessage="1" showErrorMessage="1" prompt="給与所得者の住宅借入金等特別控除申告書から満額を入力してください。" sqref="F48:G48"/>
    <dataValidation type="date" imeMode="halfAlpha" operator="greaterThanOrEqual" allowBlank="1" showInputMessage="1" showErrorMessage="1" error="半角英数で(例)昭和48年1月1日生れの方は 1973/1/1か　S48.1.1　と入れてください。_x000a_" sqref="O12 J59:J61 J23:J26 J65:J67 J16:J20">
      <formula1>1</formula1>
    </dataValidation>
    <dataValidation type="list" allowBlank="1" showInputMessage="1" showErrorMessage="1" prompt="ドロップダウンリストから適用数を選んでください。_x000a_該当しない場合は &quot;－&quot; のままで_x000a_適用数が3以上のときには、前職情報等に住宅借入金等特別控除区分、居住開始年月日及び住宅借入金等年末残高を記載してください。" sqref="B49:B50">
      <formula1>"－,1,2,3,4,5,6,7,8,9"</formula1>
    </dataValidation>
    <dataValidation type="list" allowBlank="1" showInputMessage="1" showErrorMessage="1" sqref="I59:I61 I17:I20">
      <formula1>"－,子,父,母,祖父,祖母,兄,弟,姉,妹,その他"</formula1>
    </dataValidation>
    <dataValidation type="list" allowBlank="1" showInputMessage="1" showErrorMessage="1" prompt="あなたと同居の場合は&quot;同居&quot;を選択してください。" sqref="L16">
      <formula1>"－,同居"</formula1>
    </dataValidation>
    <dataValidation allowBlank="1" showInputMessage="1" showErrorMessage="1" prompt="同居の場合入力してもしなくてもOK" sqref="M59:N61 M16:N20"/>
    <dataValidation type="list" allowBlank="1" showInputMessage="1" showErrorMessage="1" sqref="I23:I26 I65:I67">
      <formula1>"－,子"</formula1>
    </dataValidation>
    <dataValidation type="list" allowBlank="1" showInputMessage="1" showErrorMessage="1" sqref="L23:L26 L65:L67">
      <formula1>"－,同居"</formula1>
    </dataValidation>
    <dataValidation type="list" allowBlank="1" showInputMessage="1" showErrorMessage="1" prompt="あなたと同居の場合は&quot;同居&quot;を選択してください。_x000a_同居老人扶養親族で直系尊属以外の場合は&quot;直系以外&quot;を選択してください。_x000a_" sqref="L59:L61 L18:L20">
      <formula1>"－,同居,直系以外"</formula1>
    </dataValidation>
    <dataValidation type="list" allowBlank="1" showInputMessage="1" showErrorMessage="1" prompt="あなたと同居の場合は&quot;同居&quot;を選択してください。_x000a_同居老人扶養親族で直系尊属以外の場合は&quot;直系以外&quot;を選択してください。" sqref="L17">
      <formula1>"－,同居,直系以外"</formula1>
    </dataValidation>
  </dataValidations>
  <printOptions horizontalCentered="1" verticalCentered="1"/>
  <pageMargins left="0.39370078740157483" right="0.39370078740157483" top="0.39370078740157483" bottom="0.39370078740157483" header="0.23622047244094491" footer="0.23622047244094491"/>
  <pageSetup paperSize="9" scale="87" orientation="landscape" horizontalDpi="400" verticalDpi="4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01nen</vt:lpstr>
      <vt:lpstr>'01nen'!Print_Area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元年分年末調整・源泉徴収票ver215</dc:title>
  <dc:creator>RRS(Rescue Rangers)</dc:creator>
  <cp:lastModifiedBy>SSLAP072</cp:lastModifiedBy>
  <cp:lastPrinted>2019-11-01T07:48:07Z</cp:lastPrinted>
  <dcterms:created xsi:type="dcterms:W3CDTF">1996-06-25T02:30:26Z</dcterms:created>
  <dcterms:modified xsi:type="dcterms:W3CDTF">2020-12-01T05:04:28Z</dcterms:modified>
</cp:coreProperties>
</file>