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E:\all study  calculation\ARC FLASH\"/>
    </mc:Choice>
  </mc:AlternateContent>
  <xr:revisionPtr revIDLastSave="0" documentId="13_ncr:1_{650E607C-7805-4362-9D70-A9073BD0751E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LEE METHOD" sheetId="4" r:id="rId1"/>
    <sheet name="MV- 2018" sheetId="1" r:id="rId2"/>
    <sheet name="LV - 2018" sheetId="2" r:id="rId3"/>
    <sheet name="2002" sheetId="3" r:id="rId4"/>
    <sheet name="Sheet1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5" i="2" l="1"/>
  <c r="H96" i="2"/>
  <c r="H38" i="2"/>
  <c r="H22" i="2"/>
  <c r="H15" i="2"/>
  <c r="H5" i="2"/>
  <c r="H93" i="2" s="1"/>
  <c r="H40" i="3"/>
  <c r="S10" i="5" l="1"/>
  <c r="P15" i="5"/>
  <c r="G29" i="5"/>
  <c r="H29" i="5" s="1"/>
  <c r="M16" i="5"/>
  <c r="L23" i="5"/>
  <c r="M23" i="5" s="1"/>
  <c r="N23" i="5" s="1"/>
  <c r="H28" i="5"/>
  <c r="H5" i="1" l="1"/>
  <c r="I29" i="4" l="1"/>
  <c r="I30" i="4" s="1"/>
  <c r="I24" i="4"/>
  <c r="I25" i="4" s="1"/>
  <c r="H89" i="1" l="1"/>
  <c r="O4" i="3"/>
  <c r="L4" i="3"/>
  <c r="J4" i="3"/>
  <c r="D4" i="3"/>
  <c r="G4" i="3" s="1"/>
  <c r="H4" i="3" s="1"/>
  <c r="I4" i="3" s="1"/>
  <c r="M4" i="3" l="1"/>
  <c r="N4" i="3" s="1"/>
  <c r="T4" i="3" s="1"/>
  <c r="O3" i="3"/>
  <c r="L3" i="3"/>
  <c r="J3" i="3"/>
  <c r="D3" i="3"/>
  <c r="G3" i="3" s="1"/>
  <c r="H3" i="3" s="1"/>
  <c r="I3" i="3" s="1"/>
  <c r="S4" i="3" l="1"/>
  <c r="U4" i="3"/>
  <c r="M3" i="3"/>
  <c r="N3" i="3" s="1"/>
  <c r="S3" i="3" s="1"/>
  <c r="T3" i="3" l="1"/>
  <c r="U3" i="3"/>
  <c r="L32" i="2" l="1"/>
  <c r="K32" i="2"/>
  <c r="H31" i="2" s="1"/>
  <c r="M29" i="2"/>
  <c r="L29" i="2"/>
  <c r="K29" i="2"/>
  <c r="H28" i="2" s="1"/>
  <c r="H92" i="1"/>
  <c r="L37" i="1"/>
  <c r="H36" i="1" s="1"/>
  <c r="H35" i="1"/>
  <c r="K37" i="1"/>
  <c r="K34" i="1"/>
  <c r="L34" i="1"/>
  <c r="H33" i="1" s="1"/>
  <c r="M34" i="1"/>
  <c r="H35" i="2" l="1"/>
  <c r="H40" i="1"/>
  <c r="H17" i="1"/>
  <c r="H16" i="1"/>
  <c r="H15" i="1"/>
  <c r="H136" i="2" l="1"/>
  <c r="H138" i="2" s="1"/>
  <c r="H44" i="2"/>
  <c r="I101" i="1"/>
  <c r="I102" i="1"/>
  <c r="H109" i="1" s="1"/>
  <c r="H22" i="1"/>
  <c r="H26" i="1" s="1"/>
  <c r="H75" i="2"/>
  <c r="H85" i="2" s="1"/>
  <c r="H113" i="2"/>
  <c r="I103" i="1"/>
  <c r="H43" i="1"/>
  <c r="H21" i="1"/>
  <c r="H61" i="2" l="1"/>
  <c r="H63" i="2" s="1"/>
  <c r="H46" i="2"/>
  <c r="H87" i="2"/>
  <c r="J85" i="2"/>
  <c r="H147" i="1"/>
  <c r="H50" i="1"/>
  <c r="H142" i="2"/>
  <c r="H144" i="2" s="1"/>
  <c r="H130" i="2"/>
  <c r="H132" i="2" s="1"/>
  <c r="H115" i="2"/>
  <c r="H23" i="1"/>
  <c r="H51" i="1"/>
  <c r="H49" i="1"/>
  <c r="H146" i="1"/>
  <c r="H110" i="1"/>
  <c r="H148" i="1"/>
  <c r="H123" i="1"/>
  <c r="H75" i="1"/>
  <c r="H76" i="1"/>
  <c r="H121" i="1"/>
  <c r="H122" i="1"/>
  <c r="H74" i="1"/>
  <c r="H152" i="1" l="1"/>
  <c r="H153" i="1"/>
  <c r="H111" i="1"/>
  <c r="H113" i="1" s="1"/>
  <c r="H81" i="1"/>
  <c r="H66" i="1"/>
  <c r="H67" i="1"/>
  <c r="H139" i="1"/>
  <c r="H80" i="1"/>
  <c r="H138" i="1"/>
  <c r="H82" i="1" l="1"/>
  <c r="H84" i="1" s="1"/>
  <c r="H154" i="1"/>
  <c r="H156" i="1" s="1"/>
  <c r="H68" i="1"/>
  <c r="H70" i="1" s="1"/>
  <c r="J70" i="1" s="1"/>
  <c r="H140" i="1"/>
  <c r="H142" i="1" s="1"/>
  <c r="J142" i="1" s="1"/>
</calcChain>
</file>

<file path=xl/sharedStrings.xml><?xml version="1.0" encoding="utf-8"?>
<sst xmlns="http://schemas.openxmlformats.org/spreadsheetml/2006/main" count="385" uniqueCount="156">
  <si>
    <t>K1</t>
  </si>
  <si>
    <t>K2</t>
  </si>
  <si>
    <t>K3</t>
  </si>
  <si>
    <t>K4</t>
  </si>
  <si>
    <t>K5</t>
  </si>
  <si>
    <t>K6</t>
  </si>
  <si>
    <t>K7</t>
  </si>
  <si>
    <t>K8</t>
  </si>
  <si>
    <t>K9</t>
  </si>
  <si>
    <t>K10</t>
  </si>
  <si>
    <t>Voltage</t>
  </si>
  <si>
    <t>Ibf</t>
  </si>
  <si>
    <t>Gap B/w Conductors G</t>
  </si>
  <si>
    <t>Working Distance</t>
  </si>
  <si>
    <t>Enclose dimensions</t>
  </si>
  <si>
    <t>kV</t>
  </si>
  <si>
    <t>kA</t>
  </si>
  <si>
    <t>mm</t>
  </si>
  <si>
    <t>Width</t>
  </si>
  <si>
    <t>Height</t>
  </si>
  <si>
    <t>Arc Flash Calculation 1584 -2018</t>
  </si>
  <si>
    <t xml:space="preserve">0.6 kV </t>
  </si>
  <si>
    <t>VCB</t>
  </si>
  <si>
    <t>2.7 kV</t>
  </si>
  <si>
    <t>14.3 kV</t>
  </si>
  <si>
    <t xml:space="preserve">Step 1: Determine the intermediate arcing currents using the equations provided in section 4.3 </t>
  </si>
  <si>
    <t xml:space="preserve">Step 2: Find the final arcing current per the equations and instructions provided in 4.8 </t>
  </si>
  <si>
    <t>Iarc_1</t>
  </si>
  <si>
    <t>Iarc_2</t>
  </si>
  <si>
    <t>Iarc_3</t>
  </si>
  <si>
    <t>2.7kV Above</t>
  </si>
  <si>
    <t>0.6kV to 2.7 kV</t>
  </si>
  <si>
    <t>Final Iarc</t>
  </si>
  <si>
    <t xml:space="preserve">Step 3: Find the final arcing current per the equations and instructions provided in 4.7 </t>
  </si>
  <si>
    <t>508mm to 1244.6mm</t>
  </si>
  <si>
    <t>Width 1</t>
  </si>
  <si>
    <t>Height 1</t>
  </si>
  <si>
    <t xml:space="preserve">Width&lt; 508  (mm) </t>
  </si>
  <si>
    <r>
      <t>508</t>
    </r>
    <r>
      <rPr>
        <u/>
        <sz val="11"/>
        <color theme="1"/>
        <rFont val="Calibri"/>
        <family val="2"/>
        <scheme val="minor"/>
      </rPr>
      <t>&lt;</t>
    </r>
    <r>
      <rPr>
        <sz val="11"/>
        <color theme="1"/>
        <rFont val="Calibri"/>
        <family val="2"/>
        <scheme val="minor"/>
      </rPr>
      <t xml:space="preserve"> Width</t>
    </r>
    <r>
      <rPr>
        <u/>
        <sz val="11"/>
        <color theme="1"/>
        <rFont val="Calibri"/>
        <family val="2"/>
        <scheme val="minor"/>
      </rPr>
      <t>&lt;</t>
    </r>
    <r>
      <rPr>
        <sz val="11"/>
        <color theme="1"/>
        <rFont val="Calibri"/>
        <family val="2"/>
        <scheme val="minor"/>
      </rPr>
      <t xml:space="preserve"> 660.4 (mm)    </t>
    </r>
  </si>
  <si>
    <r>
      <t>660 &lt; Width</t>
    </r>
    <r>
      <rPr>
        <u/>
        <sz val="11"/>
        <color theme="1"/>
        <rFont val="Calibri"/>
        <family val="2"/>
        <scheme val="minor"/>
      </rPr>
      <t>&lt;</t>
    </r>
    <r>
      <rPr>
        <sz val="11"/>
        <color theme="1"/>
        <rFont val="Calibri"/>
        <family val="2"/>
        <scheme val="minor"/>
      </rPr>
      <t xml:space="preserve"> 1244.6 (mm)    </t>
    </r>
  </si>
  <si>
    <t xml:space="preserve">Width&gt;1244.6  (mm) </t>
  </si>
  <si>
    <t xml:space="preserve">Height&lt; 508  (mm) </t>
  </si>
  <si>
    <r>
      <t>508</t>
    </r>
    <r>
      <rPr>
        <u/>
        <sz val="11"/>
        <color theme="1"/>
        <rFont val="Calibri"/>
        <family val="2"/>
        <scheme val="minor"/>
      </rPr>
      <t>&lt;</t>
    </r>
    <r>
      <rPr>
        <sz val="11"/>
        <color theme="1"/>
        <rFont val="Calibri"/>
        <family val="2"/>
        <scheme val="minor"/>
      </rPr>
      <t xml:space="preserve"> Height</t>
    </r>
    <r>
      <rPr>
        <u/>
        <sz val="11"/>
        <color theme="1"/>
        <rFont val="Calibri"/>
        <family val="2"/>
        <scheme val="minor"/>
      </rPr>
      <t>&lt;</t>
    </r>
    <r>
      <rPr>
        <sz val="11"/>
        <color theme="1"/>
        <rFont val="Calibri"/>
        <family val="2"/>
        <scheme val="minor"/>
      </rPr>
      <t xml:space="preserve"> 660.4 (mm)    </t>
    </r>
  </si>
  <si>
    <r>
      <t>660 &lt; Height</t>
    </r>
    <r>
      <rPr>
        <u/>
        <sz val="11"/>
        <color theme="1"/>
        <rFont val="Calibri"/>
        <family val="2"/>
        <scheme val="minor"/>
      </rPr>
      <t>&lt;</t>
    </r>
    <r>
      <rPr>
        <sz val="11"/>
        <color theme="1"/>
        <rFont val="Calibri"/>
        <family val="2"/>
        <scheme val="minor"/>
      </rPr>
      <t xml:space="preserve"> 1244.6 (mm)    </t>
    </r>
  </si>
  <si>
    <t xml:space="preserve">Height&gt;1244.6  (mm) </t>
  </si>
  <si>
    <t>ESS</t>
  </si>
  <si>
    <t>Table-6</t>
  </si>
  <si>
    <t>Table-1</t>
  </si>
  <si>
    <t>B1</t>
  </si>
  <si>
    <t>B2</t>
  </si>
  <si>
    <t>B3</t>
  </si>
  <si>
    <t>CF</t>
  </si>
  <si>
    <t>Correction factor</t>
  </si>
  <si>
    <t xml:space="preserve">Step 4: The intermediate values of incident energy can be found per 4.5 </t>
  </si>
  <si>
    <t>Table-7</t>
  </si>
  <si>
    <t>Table-3</t>
  </si>
  <si>
    <t>k1</t>
  </si>
  <si>
    <t>k2</t>
  </si>
  <si>
    <t>k3</t>
  </si>
  <si>
    <t>k4</t>
  </si>
  <si>
    <t>k5</t>
  </si>
  <si>
    <t>k6</t>
  </si>
  <si>
    <t>k7</t>
  </si>
  <si>
    <t>k8</t>
  </si>
  <si>
    <t>k9</t>
  </si>
  <si>
    <t>k10</t>
  </si>
  <si>
    <t>k11</t>
  </si>
  <si>
    <t>k12</t>
  </si>
  <si>
    <t>FCT</t>
  </si>
  <si>
    <t>k13</t>
  </si>
  <si>
    <t>0.6 kV</t>
  </si>
  <si>
    <t xml:space="preserve">Step 5: The Final values of incident energy can be found per 4.8 </t>
  </si>
  <si>
    <t>E1</t>
  </si>
  <si>
    <t>E2</t>
  </si>
  <si>
    <t>E3</t>
  </si>
  <si>
    <t>J/cm2</t>
  </si>
  <si>
    <t>Step 6: The intermediate values of arc-flash boundary can be determined per 4.6</t>
  </si>
  <si>
    <r>
      <t>AFB</t>
    </r>
    <r>
      <rPr>
        <sz val="8"/>
        <color theme="1"/>
        <rFont val="Calibri"/>
        <family val="2"/>
        <scheme val="minor"/>
      </rPr>
      <t xml:space="preserve"> at 0.6</t>
    </r>
  </si>
  <si>
    <r>
      <t>AFB</t>
    </r>
    <r>
      <rPr>
        <sz val="8"/>
        <color theme="1"/>
        <rFont val="Calibri"/>
        <family val="2"/>
        <scheme val="minor"/>
      </rPr>
      <t xml:space="preserve"> at 2.7</t>
    </r>
  </si>
  <si>
    <r>
      <t>AFB</t>
    </r>
    <r>
      <rPr>
        <sz val="8"/>
        <color theme="1"/>
        <rFont val="Calibri"/>
        <family val="2"/>
        <scheme val="minor"/>
      </rPr>
      <t xml:space="preserve"> at 14.3</t>
    </r>
  </si>
  <si>
    <r>
      <t>E</t>
    </r>
    <r>
      <rPr>
        <sz val="8"/>
        <color theme="1"/>
        <rFont val="Calibri"/>
        <family val="2"/>
        <scheme val="minor"/>
      </rPr>
      <t xml:space="preserve"> at 14.3</t>
    </r>
  </si>
  <si>
    <r>
      <t xml:space="preserve">E </t>
    </r>
    <r>
      <rPr>
        <sz val="8"/>
        <color theme="1"/>
        <rFont val="Calibri"/>
        <family val="2"/>
        <scheme val="minor"/>
      </rPr>
      <t>at 2.7</t>
    </r>
  </si>
  <si>
    <r>
      <t xml:space="preserve">E </t>
    </r>
    <r>
      <rPr>
        <sz val="8"/>
        <color theme="1"/>
        <rFont val="Calibri"/>
        <family val="2"/>
        <scheme val="minor"/>
      </rPr>
      <t>at 0.6</t>
    </r>
    <r>
      <rPr>
        <sz val="11"/>
        <color theme="1"/>
        <rFont val="Calibri"/>
        <family val="2"/>
        <scheme val="minor"/>
      </rPr>
      <t/>
    </r>
  </si>
  <si>
    <r>
      <t xml:space="preserve">Iarc </t>
    </r>
    <r>
      <rPr>
        <sz val="8"/>
        <color theme="1"/>
        <rFont val="Calibri"/>
        <family val="2"/>
        <scheme val="minor"/>
      </rPr>
      <t>at 0.6 kV</t>
    </r>
  </si>
  <si>
    <r>
      <t xml:space="preserve">Iarc </t>
    </r>
    <r>
      <rPr>
        <sz val="8"/>
        <color theme="1"/>
        <rFont val="Calibri"/>
        <family val="2"/>
        <scheme val="minor"/>
      </rPr>
      <t>at 14.3 kV</t>
    </r>
  </si>
  <si>
    <r>
      <t xml:space="preserve">Iarc </t>
    </r>
    <r>
      <rPr>
        <sz val="8"/>
        <color theme="1"/>
        <rFont val="Calibri"/>
        <family val="2"/>
        <scheme val="minor"/>
      </rPr>
      <t>at 2.7 kV</t>
    </r>
  </si>
  <si>
    <t xml:space="preserve">Step 7: The final value of AFB can be determined per 4.8 </t>
  </si>
  <si>
    <r>
      <t>AFB</t>
    </r>
    <r>
      <rPr>
        <sz val="8"/>
        <color theme="1"/>
        <rFont val="Calibri"/>
        <family val="2"/>
        <scheme val="minor"/>
      </rPr>
      <t xml:space="preserve"> 1</t>
    </r>
  </si>
  <si>
    <r>
      <t>AFB</t>
    </r>
    <r>
      <rPr>
        <sz val="8"/>
        <color theme="1"/>
        <rFont val="Calibri"/>
        <family val="2"/>
        <scheme val="minor"/>
      </rPr>
      <t xml:space="preserve"> 2</t>
    </r>
    <r>
      <rPr>
        <sz val="11"/>
        <color theme="1"/>
        <rFont val="Calibri"/>
        <family val="2"/>
        <scheme val="minor"/>
      </rPr>
      <t/>
    </r>
  </si>
  <si>
    <r>
      <t>AFB</t>
    </r>
    <r>
      <rPr>
        <sz val="8"/>
        <color theme="1"/>
        <rFont val="Calibri"/>
        <family val="2"/>
        <scheme val="minor"/>
      </rPr>
      <t xml:space="preserve"> 3</t>
    </r>
    <r>
      <rPr>
        <sz val="11"/>
        <color theme="1"/>
        <rFont val="Calibri"/>
        <family val="2"/>
        <scheme val="minor"/>
      </rPr>
      <t/>
    </r>
  </si>
  <si>
    <t>Step 8: To account for the arcing current variation use the equations in 4.4 to find the correction factor</t>
  </si>
  <si>
    <t>VarCf</t>
  </si>
  <si>
    <t>Step 9: Adjust the intermediate values of arcing current using the correction factor</t>
  </si>
  <si>
    <t>For 600 Volts</t>
  </si>
  <si>
    <t>Iarc_600_min</t>
  </si>
  <si>
    <t>Iarc_2700_min</t>
  </si>
  <si>
    <t>For 2700 Volts</t>
  </si>
  <si>
    <t>For 14300 Volts</t>
  </si>
  <si>
    <t>Step 10: Find the reduced final arcing current per the equations and instructions provided in 4.8</t>
  </si>
  <si>
    <t xml:space="preserve">T </t>
  </si>
  <si>
    <t>ms</t>
  </si>
  <si>
    <t>Step 11: Repeat step 4 using the reduced intermediate currents</t>
  </si>
  <si>
    <t>Table-2</t>
  </si>
  <si>
    <t xml:space="preserve">Step 12: Repeat step 5 using the reduced arcing currents </t>
  </si>
  <si>
    <t xml:space="preserve">Step 13: Repeat step 6 using the reduced arcing currents </t>
  </si>
  <si>
    <t xml:space="preserve">Step 14: The final value of AFB can be determined per 4.8 </t>
  </si>
  <si>
    <t>Depth</t>
  </si>
  <si>
    <t>Step 2: Find the final arcing current per 4.9</t>
  </si>
  <si>
    <t>T</t>
  </si>
  <si>
    <t>Step 10: Repeat step 4 using the reduced intermediate currents</t>
  </si>
  <si>
    <t xml:space="preserve">Step 11:The final value of incident energy can be determined per 4.9 </t>
  </si>
  <si>
    <t xml:space="preserve">Step 12: Repeat step 6 using the reduced arcing currents </t>
  </si>
  <si>
    <t xml:space="preserve">Step 13: The final value of AFB can be determined per 4.8 </t>
  </si>
  <si>
    <t>S.No</t>
  </si>
  <si>
    <t>SC, Ibf (kA)</t>
  </si>
  <si>
    <t>K</t>
  </si>
  <si>
    <t>V (kV)</t>
  </si>
  <si>
    <t>Gap (G, mm)</t>
  </si>
  <si>
    <t>Log (Ia)</t>
  </si>
  <si>
    <t>Ia (kA)</t>
  </si>
  <si>
    <t>85% Ia (kA)</t>
  </si>
  <si>
    <t>Log(En)</t>
  </si>
  <si>
    <t>En (J/cm2)</t>
  </si>
  <si>
    <t>Cf</t>
  </si>
  <si>
    <t>Arc t (s)</t>
  </si>
  <si>
    <t>D (mm)</t>
  </si>
  <si>
    <t>x factor</t>
  </si>
  <si>
    <t>E (J/cm2)</t>
  </si>
  <si>
    <t>E, (cal/cm2)</t>
  </si>
  <si>
    <r>
      <t>D</t>
    </r>
    <r>
      <rPr>
        <b/>
        <vertAlign val="subscript"/>
        <sz val="11"/>
        <color theme="1"/>
        <rFont val="Calibri"/>
        <family val="2"/>
        <scheme val="minor"/>
      </rPr>
      <t>B</t>
    </r>
    <r>
      <rPr>
        <b/>
        <sz val="11"/>
        <color theme="1"/>
        <rFont val="Calibri"/>
        <family val="2"/>
        <scheme val="minor"/>
      </rPr>
      <t xml:space="preserve"> (m)</t>
    </r>
  </si>
  <si>
    <t>Box</t>
  </si>
  <si>
    <t>Grounded</t>
  </si>
  <si>
    <t>Open</t>
  </si>
  <si>
    <t>Ungrounded/High R</t>
  </si>
  <si>
    <t xml:space="preserve">E </t>
  </si>
  <si>
    <t>AFB</t>
  </si>
  <si>
    <t>Iarc</t>
  </si>
  <si>
    <t>E</t>
  </si>
  <si>
    <t xml:space="preserve">AFB </t>
  </si>
  <si>
    <t>cal/cm2</t>
  </si>
  <si>
    <t>Inch</t>
  </si>
  <si>
    <t>LEE METHOD</t>
  </si>
  <si>
    <t>INPUTS</t>
  </si>
  <si>
    <t>Gaps B/W Conductors G</t>
  </si>
  <si>
    <t>FCT in Secs</t>
  </si>
  <si>
    <t>Working Distance D</t>
  </si>
  <si>
    <t>s</t>
  </si>
  <si>
    <t>IE=</t>
  </si>
  <si>
    <t>Final Incident Energy</t>
  </si>
  <si>
    <r>
      <t>J/cm</t>
    </r>
    <r>
      <rPr>
        <vertAlign val="superscript"/>
        <sz val="11"/>
        <color theme="1"/>
        <rFont val="Calibri"/>
        <family val="2"/>
        <scheme val="minor"/>
      </rPr>
      <t>2</t>
    </r>
  </si>
  <si>
    <r>
      <t>Cal/cm</t>
    </r>
    <r>
      <rPr>
        <vertAlign val="superscript"/>
        <sz val="11"/>
        <color theme="1"/>
        <rFont val="Calibri"/>
        <family val="2"/>
        <scheme val="minor"/>
      </rPr>
      <t>2</t>
    </r>
  </si>
  <si>
    <t>Final Arc Flash Boundary</t>
  </si>
  <si>
    <t>AFB=</t>
  </si>
  <si>
    <t>m</t>
  </si>
  <si>
    <r>
      <t>Fault Current (I</t>
    </r>
    <r>
      <rPr>
        <b/>
        <vertAlign val="subscript"/>
        <sz val="11"/>
        <color theme="1"/>
        <rFont val="Calibri"/>
        <family val="2"/>
        <scheme val="minor"/>
      </rPr>
      <t>bf</t>
    </r>
    <r>
      <rPr>
        <b/>
        <sz val="11"/>
        <color theme="1"/>
        <rFont val="Calibri"/>
        <family val="2"/>
        <scheme val="minor"/>
      </rPr>
      <t>)</t>
    </r>
  </si>
  <si>
    <t>Cal/cm2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</si>
</sst>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0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Alignment="1">
      <alignment horizontal="center"/>
    </xf>
    <xf numFmtId="11" fontId="0" fillId="0" borderId="0" xfId="0" applyNumberFormat="1"/>
    <xf numFmtId="0" fontId="0" fillId="0" borderId="0" xfId="0" applyAlignment="1">
      <alignment horizontal="left"/>
    </xf>
    <xf numFmtId="0" fontId="0" fillId="5" borderId="0" xfId="0" applyFill="1"/>
    <xf numFmtId="11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0" fillId="4" borderId="0" xfId="0" applyFill="1" applyAlignment="1">
      <alignment horizontal="center"/>
    </xf>
    <xf numFmtId="1" fontId="0" fillId="2" borderId="0" xfId="0" applyNumberFormat="1" applyFill="1" applyAlignment="1">
      <alignment horizontal="center" vertical="center"/>
    </xf>
    <xf numFmtId="0" fontId="3" fillId="0" borderId="1" xfId="0" applyFont="1" applyBorder="1"/>
    <xf numFmtId="0" fontId="3" fillId="0" borderId="2" xfId="0" applyFont="1" applyBorder="1"/>
    <xf numFmtId="9" fontId="3" fillId="0" borderId="2" xfId="0" applyNumberFormat="1" applyFont="1" applyBorder="1"/>
    <xf numFmtId="0" fontId="3" fillId="0" borderId="3" xfId="0" applyFont="1" applyBorder="1"/>
    <xf numFmtId="0" fontId="0" fillId="8" borderId="5" xfId="0" applyFill="1" applyBorder="1"/>
    <xf numFmtId="0" fontId="0" fillId="9" borderId="5" xfId="0" applyFill="1" applyBorder="1"/>
    <xf numFmtId="0" fontId="0" fillId="9" borderId="6" xfId="0" applyFill="1" applyBorder="1"/>
    <xf numFmtId="0" fontId="0" fillId="9" borderId="4" xfId="0" applyFill="1" applyBorder="1"/>
    <xf numFmtId="164" fontId="0" fillId="2" borderId="0" xfId="0" applyNumberForma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5" borderId="0" xfId="0" applyFill="1" applyAlignment="1">
      <alignment horizontal="center" vertical="center"/>
    </xf>
    <xf numFmtId="164" fontId="0" fillId="5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9" xfId="0" applyBorder="1"/>
    <xf numFmtId="0" fontId="0" fillId="0" borderId="19" xfId="0" applyBorder="1"/>
    <xf numFmtId="0" fontId="0" fillId="0" borderId="20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9" fillId="10" borderId="19" xfId="0" applyFont="1" applyFill="1" applyBorder="1" applyAlignment="1">
      <alignment horizontal="center" vertical="center"/>
    </xf>
    <xf numFmtId="0" fontId="3" fillId="7" borderId="19" xfId="0" applyFont="1" applyFill="1" applyBorder="1"/>
    <xf numFmtId="0" fontId="3" fillId="7" borderId="19" xfId="0" applyFont="1" applyFill="1" applyBorder="1" applyAlignment="1">
      <alignment wrapText="1"/>
    </xf>
    <xf numFmtId="0" fontId="3" fillId="0" borderId="19" xfId="0" applyFont="1" applyBorder="1"/>
    <xf numFmtId="2" fontId="0" fillId="0" borderId="9" xfId="0" applyNumberFormat="1" applyBorder="1"/>
    <xf numFmtId="0" fontId="0" fillId="3" borderId="0" xfId="0" applyFill="1" applyAlignment="1">
      <alignment horizontal="left"/>
    </xf>
    <xf numFmtId="0" fontId="0" fillId="11" borderId="0" xfId="0" applyFill="1"/>
    <xf numFmtId="0" fontId="6" fillId="0" borderId="10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0" fillId="3" borderId="0" xfId="0" applyFill="1" applyAlignment="1">
      <alignment horizontal="left"/>
    </xf>
    <xf numFmtId="0" fontId="0" fillId="4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7" borderId="0" xfId="0" applyFill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226807</xdr:colOff>
      <xdr:row>14</xdr:row>
      <xdr:rowOff>116537</xdr:rowOff>
    </xdr:from>
    <xdr:to>
      <xdr:col>18</xdr:col>
      <xdr:colOff>548561</xdr:colOff>
      <xdr:row>25</xdr:row>
      <xdr:rowOff>107018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6ECEFE1-17A6-4973-BC78-9AA8410B39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512527" y="2676857"/>
          <a:ext cx="2150554" cy="2002161"/>
        </a:xfrm>
        <a:prstGeom prst="rect">
          <a:avLst/>
        </a:prstGeom>
      </xdr:spPr>
    </xdr:pic>
    <xdr:clientData/>
  </xdr:twoCellAnchor>
  <xdr:twoCellAnchor editAs="oneCell">
    <xdr:from>
      <xdr:col>13</xdr:col>
      <xdr:colOff>502920</xdr:colOff>
      <xdr:row>2</xdr:row>
      <xdr:rowOff>167640</xdr:rowOff>
    </xdr:from>
    <xdr:to>
      <xdr:col>20</xdr:col>
      <xdr:colOff>183270</xdr:colOff>
      <xdr:row>13</xdr:row>
      <xdr:rowOff>144952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D4107A7-CD79-46B9-BE16-4D04484E74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020800" y="533400"/>
          <a:ext cx="4496190" cy="1988992"/>
        </a:xfrm>
        <a:prstGeom prst="rect">
          <a:avLst/>
        </a:prstGeom>
      </xdr:spPr>
    </xdr:pic>
    <xdr:clientData/>
  </xdr:twoCellAnchor>
  <xdr:twoCellAnchor editAs="oneCell">
    <xdr:from>
      <xdr:col>20</xdr:col>
      <xdr:colOff>365760</xdr:colOff>
      <xdr:row>1</xdr:row>
      <xdr:rowOff>181562</xdr:rowOff>
    </xdr:from>
    <xdr:to>
      <xdr:col>29</xdr:col>
      <xdr:colOff>213880</xdr:colOff>
      <xdr:row>13</xdr:row>
      <xdr:rowOff>61161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2FEF92A-D157-48DC-B516-20CB9476B9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8699480" y="364442"/>
          <a:ext cx="5334520" cy="2074159"/>
        </a:xfrm>
        <a:prstGeom prst="rect">
          <a:avLst/>
        </a:prstGeom>
      </xdr:spPr>
    </xdr:pic>
    <xdr:clientData/>
  </xdr:twoCellAnchor>
  <xdr:twoCellAnchor editAs="oneCell">
    <xdr:from>
      <xdr:col>13</xdr:col>
      <xdr:colOff>305363</xdr:colOff>
      <xdr:row>27</xdr:row>
      <xdr:rowOff>132678</xdr:rowOff>
    </xdr:from>
    <xdr:to>
      <xdr:col>19</xdr:col>
      <xdr:colOff>251109</xdr:colOff>
      <xdr:row>35</xdr:row>
      <xdr:rowOff>87144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6628FC8-3E09-49CD-AFD3-5ACFF7F54E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824139" y="4973619"/>
          <a:ext cx="4159158" cy="1388819"/>
        </a:xfrm>
        <a:prstGeom prst="rect">
          <a:avLst/>
        </a:prstGeom>
      </xdr:spPr>
    </xdr:pic>
    <xdr:clientData/>
  </xdr:twoCellAnchor>
  <xdr:twoCellAnchor editAs="oneCell">
    <xdr:from>
      <xdr:col>19</xdr:col>
      <xdr:colOff>321252</xdr:colOff>
      <xdr:row>22</xdr:row>
      <xdr:rowOff>80680</xdr:rowOff>
    </xdr:from>
    <xdr:to>
      <xdr:col>24</xdr:col>
      <xdr:colOff>583558</xdr:colOff>
      <xdr:row>42</xdr:row>
      <xdr:rowOff>4910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59E8295-E701-42C3-AD11-0FDAC4C930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8053440" y="4025151"/>
          <a:ext cx="3310306" cy="3510112"/>
        </a:xfrm>
        <a:prstGeom prst="rect">
          <a:avLst/>
        </a:prstGeom>
      </xdr:spPr>
    </xdr:pic>
    <xdr:clientData/>
  </xdr:twoCellAnchor>
  <xdr:twoCellAnchor editAs="oneCell">
    <xdr:from>
      <xdr:col>12</xdr:col>
      <xdr:colOff>363420</xdr:colOff>
      <xdr:row>42</xdr:row>
      <xdr:rowOff>62753</xdr:rowOff>
    </xdr:from>
    <xdr:to>
      <xdr:col>15</xdr:col>
      <xdr:colOff>580869</xdr:colOff>
      <xdr:row>62</xdr:row>
      <xdr:rowOff>64976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BBA70B7-2E0D-4B92-B172-89DD81F75E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483702" y="7593106"/>
          <a:ext cx="3390955" cy="3589450"/>
        </a:xfrm>
        <a:prstGeom prst="rect">
          <a:avLst/>
        </a:prstGeom>
      </xdr:spPr>
    </xdr:pic>
    <xdr:clientData/>
  </xdr:twoCellAnchor>
  <xdr:twoCellAnchor editAs="oneCell">
    <xdr:from>
      <xdr:col>16</xdr:col>
      <xdr:colOff>116541</xdr:colOff>
      <xdr:row>44</xdr:row>
      <xdr:rowOff>107576</xdr:rowOff>
    </xdr:from>
    <xdr:to>
      <xdr:col>26</xdr:col>
      <xdr:colOff>406654</xdr:colOff>
      <xdr:row>67</xdr:row>
      <xdr:rowOff>20072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CC8B5CB5-62B2-475F-8F2D-E7E5AC0433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6019929" y="7996517"/>
          <a:ext cx="6386113" cy="4038950"/>
        </a:xfrm>
        <a:prstGeom prst="rect">
          <a:avLst/>
        </a:prstGeom>
      </xdr:spPr>
    </xdr:pic>
    <xdr:clientData/>
  </xdr:twoCellAnchor>
  <xdr:twoCellAnchor editAs="oneCell">
    <xdr:from>
      <xdr:col>15</xdr:col>
      <xdr:colOff>435427</xdr:colOff>
      <xdr:row>71</xdr:row>
      <xdr:rowOff>-1</xdr:rowOff>
    </xdr:from>
    <xdr:to>
      <xdr:col>18</xdr:col>
      <xdr:colOff>598082</xdr:colOff>
      <xdr:row>83</xdr:row>
      <xdr:rowOff>74653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87ADD7A0-A40A-4AA3-9B8F-682D12AC65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5729856" y="13160828"/>
          <a:ext cx="1991455" cy="229533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D987E-1199-4028-B5F4-DC444A51D0CE}">
  <dimension ref="G1:L31"/>
  <sheetViews>
    <sheetView topLeftCell="B20" zoomScale="145" zoomScaleNormal="145" workbookViewId="0">
      <selection activeCell="I29" sqref="I29"/>
    </sheetView>
  </sheetViews>
  <sheetFormatPr defaultRowHeight="14.4" x14ac:dyDescent="0.3"/>
  <cols>
    <col min="7" max="7" width="22.21875" customWidth="1"/>
  </cols>
  <sheetData>
    <row r="1" spans="7:12" ht="14.4" customHeight="1" x14ac:dyDescent="0.3"/>
    <row r="2" spans="7:12" ht="14.4" customHeight="1" x14ac:dyDescent="0.3"/>
    <row r="7" spans="7:12" ht="15" thickBot="1" x14ac:dyDescent="0.35"/>
    <row r="8" spans="7:12" x14ac:dyDescent="0.3">
      <c r="G8" s="39" t="s">
        <v>141</v>
      </c>
      <c r="H8" s="40"/>
      <c r="I8" s="40"/>
      <c r="J8" s="40"/>
      <c r="K8" s="40"/>
      <c r="L8" s="41"/>
    </row>
    <row r="9" spans="7:12" ht="15" thickBot="1" x14ac:dyDescent="0.35">
      <c r="G9" s="42"/>
      <c r="H9" s="43"/>
      <c r="I9" s="43"/>
      <c r="J9" s="43"/>
      <c r="K9" s="43"/>
      <c r="L9" s="44"/>
    </row>
    <row r="10" spans="7:12" ht="15" thickBot="1" x14ac:dyDescent="0.35">
      <c r="G10" s="24"/>
      <c r="L10" s="25"/>
    </row>
    <row r="11" spans="7:12" ht="15" thickBot="1" x14ac:dyDescent="0.35">
      <c r="G11" s="36" t="s">
        <v>142</v>
      </c>
      <c r="H11" s="37"/>
      <c r="I11" s="37"/>
      <c r="J11" s="37"/>
      <c r="K11" s="37"/>
      <c r="L11" s="38"/>
    </row>
    <row r="12" spans="7:12" ht="15" thickBot="1" x14ac:dyDescent="0.35">
      <c r="G12" s="24"/>
      <c r="L12" s="25"/>
    </row>
    <row r="13" spans="7:12" ht="15" thickBot="1" x14ac:dyDescent="0.35">
      <c r="G13" s="30" t="s">
        <v>10</v>
      </c>
      <c r="I13" s="23">
        <v>33</v>
      </c>
      <c r="J13" t="s">
        <v>15</v>
      </c>
      <c r="L13" s="25"/>
    </row>
    <row r="14" spans="7:12" ht="16.2" thickBot="1" x14ac:dyDescent="0.4">
      <c r="G14" s="30" t="s">
        <v>154</v>
      </c>
      <c r="I14" s="23">
        <v>10.27</v>
      </c>
      <c r="J14" t="s">
        <v>16</v>
      </c>
      <c r="L14" s="25"/>
    </row>
    <row r="15" spans="7:12" ht="15" thickBot="1" x14ac:dyDescent="0.35">
      <c r="G15" s="31" t="s">
        <v>143</v>
      </c>
      <c r="I15" s="23">
        <v>305</v>
      </c>
      <c r="J15" t="s">
        <v>17</v>
      </c>
      <c r="L15" s="25"/>
    </row>
    <row r="16" spans="7:12" ht="15" thickBot="1" x14ac:dyDescent="0.35">
      <c r="G16" s="30" t="s">
        <v>145</v>
      </c>
      <c r="I16" s="23">
        <v>457</v>
      </c>
      <c r="J16" t="s">
        <v>17</v>
      </c>
      <c r="L16" s="25"/>
    </row>
    <row r="17" spans="7:12" ht="15" thickBot="1" x14ac:dyDescent="0.35">
      <c r="G17" s="32"/>
      <c r="L17" s="25"/>
    </row>
    <row r="18" spans="7:12" ht="15" thickBot="1" x14ac:dyDescent="0.35">
      <c r="G18" s="30" t="s">
        <v>144</v>
      </c>
      <c r="I18" s="23">
        <v>7.0000000000000007E-2</v>
      </c>
      <c r="J18" t="s">
        <v>146</v>
      </c>
      <c r="L18" s="25"/>
    </row>
    <row r="19" spans="7:12" x14ac:dyDescent="0.3">
      <c r="G19" s="24"/>
      <c r="L19" s="25"/>
    </row>
    <row r="20" spans="7:12" x14ac:dyDescent="0.3">
      <c r="G20" s="24"/>
      <c r="L20" s="25"/>
    </row>
    <row r="21" spans="7:12" ht="15" thickBot="1" x14ac:dyDescent="0.35">
      <c r="G21" s="24"/>
      <c r="L21" s="25"/>
    </row>
    <row r="22" spans="7:12" ht="15" thickBot="1" x14ac:dyDescent="0.35">
      <c r="G22" s="36" t="s">
        <v>148</v>
      </c>
      <c r="H22" s="37"/>
      <c r="I22" s="37"/>
      <c r="J22" s="37"/>
      <c r="K22" s="37"/>
      <c r="L22" s="38"/>
    </row>
    <row r="23" spans="7:12" ht="15" thickBot="1" x14ac:dyDescent="0.35">
      <c r="G23" s="24"/>
      <c r="L23" s="25"/>
    </row>
    <row r="24" spans="7:12" ht="16.8" thickBot="1" x14ac:dyDescent="0.35">
      <c r="G24" s="29" t="s">
        <v>147</v>
      </c>
      <c r="I24" s="23">
        <f>(2.142*10^6*I13*I14*(I18/(I16^2)))</f>
        <v>243.31533979094945</v>
      </c>
      <c r="J24" t="s">
        <v>149</v>
      </c>
      <c r="L24" s="25"/>
    </row>
    <row r="25" spans="7:12" ht="16.8" thickBot="1" x14ac:dyDescent="0.35">
      <c r="G25" s="24"/>
      <c r="I25" s="23">
        <f>I24*0.239</f>
        <v>58.152366210036917</v>
      </c>
      <c r="J25" t="s">
        <v>150</v>
      </c>
      <c r="L25" s="25"/>
    </row>
    <row r="26" spans="7:12" ht="15" thickBot="1" x14ac:dyDescent="0.35">
      <c r="G26" s="24"/>
      <c r="L26" s="25"/>
    </row>
    <row r="27" spans="7:12" ht="15" thickBot="1" x14ac:dyDescent="0.35">
      <c r="G27" s="36" t="s">
        <v>151</v>
      </c>
      <c r="H27" s="37"/>
      <c r="I27" s="37"/>
      <c r="J27" s="37"/>
      <c r="K27" s="37"/>
      <c r="L27" s="38"/>
    </row>
    <row r="28" spans="7:12" ht="15" thickBot="1" x14ac:dyDescent="0.35">
      <c r="G28" s="24"/>
      <c r="L28" s="25"/>
    </row>
    <row r="29" spans="7:12" ht="16.2" thickBot="1" x14ac:dyDescent="0.35">
      <c r="G29" s="29" t="s">
        <v>152</v>
      </c>
      <c r="I29" s="23">
        <f>SQRT(2.142*10^6*I13*I14*(I18/5))</f>
        <v>3187.9826034657094</v>
      </c>
      <c r="J29" t="s">
        <v>17</v>
      </c>
      <c r="L29" s="25"/>
    </row>
    <row r="30" spans="7:12" ht="15" thickBot="1" x14ac:dyDescent="0.35">
      <c r="G30" s="24"/>
      <c r="I30" s="23">
        <f>I29/1000</f>
        <v>3.1879826034657093</v>
      </c>
      <c r="J30" t="s">
        <v>153</v>
      </c>
      <c r="L30" s="25"/>
    </row>
    <row r="31" spans="7:12" ht="15" thickBot="1" x14ac:dyDescent="0.35">
      <c r="G31" s="26"/>
      <c r="H31" s="27"/>
      <c r="I31" s="27"/>
      <c r="J31" s="27"/>
      <c r="K31" s="27"/>
      <c r="L31" s="28"/>
    </row>
  </sheetData>
  <mergeCells count="4">
    <mergeCell ref="G27:L27"/>
    <mergeCell ref="G11:L11"/>
    <mergeCell ref="G8:L9"/>
    <mergeCell ref="G22:L22"/>
  </mergeCells>
  <phoneticPr fontId="8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G1:R156"/>
  <sheetViews>
    <sheetView topLeftCell="F7" zoomScale="130" zoomScaleNormal="130" workbookViewId="0">
      <selection activeCell="H16" sqref="H16"/>
    </sheetView>
  </sheetViews>
  <sheetFormatPr defaultRowHeight="14.4" x14ac:dyDescent="0.3"/>
  <cols>
    <col min="7" max="7" width="20.88671875" bestFit="1" customWidth="1"/>
    <col min="8" max="8" width="14.33203125" bestFit="1" customWidth="1"/>
    <col min="9" max="9" width="10.88671875" customWidth="1"/>
    <col min="10" max="10" width="19.44140625" bestFit="1" customWidth="1"/>
    <col min="11" max="11" width="23" bestFit="1" customWidth="1"/>
    <col min="12" max="12" width="25.5546875" bestFit="1" customWidth="1"/>
    <col min="13" max="13" width="20.5546875" bestFit="1" customWidth="1"/>
    <col min="14" max="14" width="11.44140625" bestFit="1" customWidth="1"/>
    <col min="15" max="15" width="12.109375" bestFit="1" customWidth="1"/>
  </cols>
  <sheetData>
    <row r="1" spans="7:18" x14ac:dyDescent="0.3">
      <c r="G1" s="45" t="s">
        <v>25</v>
      </c>
      <c r="H1" s="45"/>
      <c r="I1" s="45"/>
      <c r="J1" s="45"/>
      <c r="K1" s="45"/>
      <c r="L1" s="45"/>
      <c r="M1" s="45"/>
      <c r="N1" s="45"/>
      <c r="O1" s="45"/>
    </row>
    <row r="2" spans="7:18" x14ac:dyDescent="0.3">
      <c r="G2" s="3"/>
      <c r="H2" s="3"/>
      <c r="I2" s="3"/>
      <c r="J2" s="3"/>
      <c r="K2" s="3"/>
      <c r="L2" s="3"/>
      <c r="M2" s="46" t="s">
        <v>47</v>
      </c>
      <c r="N2" s="46"/>
      <c r="O2" s="46"/>
    </row>
    <row r="3" spans="7:18" x14ac:dyDescent="0.3">
      <c r="G3" s="47" t="s">
        <v>20</v>
      </c>
      <c r="H3" s="47"/>
      <c r="I3" s="47"/>
      <c r="M3" s="46" t="s">
        <v>22</v>
      </c>
      <c r="N3" s="46"/>
      <c r="O3" s="46"/>
    </row>
    <row r="4" spans="7:18" x14ac:dyDescent="0.3">
      <c r="M4" t="s">
        <v>21</v>
      </c>
      <c r="N4" t="s">
        <v>23</v>
      </c>
      <c r="O4" t="s">
        <v>24</v>
      </c>
    </row>
    <row r="5" spans="7:18" x14ac:dyDescent="0.3">
      <c r="G5" t="s">
        <v>10</v>
      </c>
      <c r="H5" s="20">
        <f>13.8</f>
        <v>13.8</v>
      </c>
      <c r="I5" t="s">
        <v>15</v>
      </c>
      <c r="L5" t="s">
        <v>0</v>
      </c>
      <c r="M5" s="4">
        <v>-4.2869999999999998E-2</v>
      </c>
      <c r="N5" s="4">
        <v>6.4999999999999997E-3</v>
      </c>
      <c r="O5" s="4">
        <v>5.7949999999999998E-3</v>
      </c>
    </row>
    <row r="6" spans="7:18" x14ac:dyDescent="0.3">
      <c r="G6" t="s">
        <v>11</v>
      </c>
      <c r="H6" s="20">
        <v>5.9139999999999997</v>
      </c>
      <c r="I6" t="s">
        <v>16</v>
      </c>
      <c r="L6" t="s">
        <v>1</v>
      </c>
      <c r="M6" s="4">
        <v>1.0349999999999999</v>
      </c>
      <c r="N6" s="4">
        <v>1.0009999999999999</v>
      </c>
      <c r="O6" s="4">
        <v>1.0149999999999999</v>
      </c>
    </row>
    <row r="7" spans="7:18" x14ac:dyDescent="0.3">
      <c r="G7" t="s">
        <v>12</v>
      </c>
      <c r="H7" s="20">
        <v>152</v>
      </c>
      <c r="I7" t="s">
        <v>17</v>
      </c>
      <c r="L7" t="s">
        <v>2</v>
      </c>
      <c r="M7" s="4">
        <v>-8.3000000000000004E-2</v>
      </c>
      <c r="N7" s="4">
        <v>-2.4E-2</v>
      </c>
      <c r="O7" s="4">
        <v>-1.0999999999999999E-2</v>
      </c>
    </row>
    <row r="8" spans="7:18" x14ac:dyDescent="0.3">
      <c r="G8" t="s">
        <v>13</v>
      </c>
      <c r="H8" s="20">
        <v>914.4</v>
      </c>
      <c r="I8" t="s">
        <v>17</v>
      </c>
      <c r="L8" t="s">
        <v>3</v>
      </c>
      <c r="M8" s="4">
        <v>0</v>
      </c>
      <c r="N8" s="4">
        <v>-1.5569999999999999E-12</v>
      </c>
      <c r="O8" s="4">
        <v>-1.5569999999999999E-12</v>
      </c>
      <c r="R8" s="2"/>
    </row>
    <row r="9" spans="7:18" x14ac:dyDescent="0.3">
      <c r="G9" t="s">
        <v>14</v>
      </c>
      <c r="H9" s="20"/>
      <c r="L9" t="s">
        <v>4</v>
      </c>
      <c r="M9" s="4">
        <v>0</v>
      </c>
      <c r="N9" s="4">
        <v>4.5560000000000001E-10</v>
      </c>
      <c r="O9" s="4">
        <v>4.5560000000000001E-10</v>
      </c>
      <c r="R9" s="2"/>
    </row>
    <row r="10" spans="7:18" x14ac:dyDescent="0.3">
      <c r="G10" t="s">
        <v>18</v>
      </c>
      <c r="H10" s="20">
        <v>762</v>
      </c>
      <c r="I10" t="s">
        <v>17</v>
      </c>
      <c r="J10" t="s">
        <v>34</v>
      </c>
      <c r="L10" t="s">
        <v>5</v>
      </c>
      <c r="M10" s="4">
        <v>-4.7829999999999997E-9</v>
      </c>
      <c r="N10" s="4">
        <v>-4.1859999999999999E-8</v>
      </c>
      <c r="O10" s="4">
        <v>-4.1859999999999999E-8</v>
      </c>
      <c r="R10" s="2"/>
    </row>
    <row r="11" spans="7:18" x14ac:dyDescent="0.3">
      <c r="G11" t="s">
        <v>19</v>
      </c>
      <c r="H11" s="20">
        <v>1143</v>
      </c>
      <c r="I11" t="s">
        <v>17</v>
      </c>
      <c r="J11" t="s">
        <v>34</v>
      </c>
      <c r="L11" t="s">
        <v>6</v>
      </c>
      <c r="M11" s="4">
        <v>1.962E-6</v>
      </c>
      <c r="N11" s="4">
        <v>8.3460000000000002E-7</v>
      </c>
      <c r="O11" s="4">
        <v>8.3460000000000002E-7</v>
      </c>
      <c r="R11" s="2"/>
    </row>
    <row r="12" spans="7:18" x14ac:dyDescent="0.3">
      <c r="L12" t="s">
        <v>7</v>
      </c>
      <c r="M12" s="4">
        <v>-2.2900000000000001E-4</v>
      </c>
      <c r="N12" s="4">
        <v>5.482E-5</v>
      </c>
      <c r="O12" s="4">
        <v>5.482E-5</v>
      </c>
      <c r="R12" s="2"/>
    </row>
    <row r="13" spans="7:18" x14ac:dyDescent="0.3">
      <c r="L13" t="s">
        <v>8</v>
      </c>
      <c r="M13" s="4">
        <v>3.1410000000000001E-3</v>
      </c>
      <c r="N13" s="4">
        <v>-3.1909999999999998E-3</v>
      </c>
      <c r="O13" s="4">
        <v>-3.1909999999999998E-3</v>
      </c>
    </row>
    <row r="14" spans="7:18" x14ac:dyDescent="0.3">
      <c r="L14" t="s">
        <v>9</v>
      </c>
      <c r="M14" s="4">
        <v>1.0920000000000001</v>
      </c>
      <c r="N14" s="4">
        <v>0.97289999999999999</v>
      </c>
      <c r="O14" s="4">
        <v>0.97289999999999999</v>
      </c>
    </row>
    <row r="15" spans="7:18" x14ac:dyDescent="0.3">
      <c r="G15" t="s">
        <v>83</v>
      </c>
      <c r="H15" s="17">
        <f>(10^(M5+(M6*LOG(H6,10))+(M7*LOG(H7,10))))*((M8*(H6^6))+(M9*(H6^5))+(M10*(H6^4))+(M11*(H6^3))+(M12*(H6^2))+(M13*(H6))+M14)</f>
        <v>4.1447321051777086</v>
      </c>
      <c r="I15" t="s">
        <v>16</v>
      </c>
    </row>
    <row r="16" spans="7:18" x14ac:dyDescent="0.3">
      <c r="G16" t="s">
        <v>85</v>
      </c>
      <c r="H16" s="17">
        <f>(10^(N5+(N6*LOG(H6,10))+(N7*LOG(H7,10))))*((N8*(H6^6))+(N9*(H6^5))+(N10*(H6^4))+(N11*(H6^3))+(N12*(H6^2))+(N13*(H6))+N14)</f>
        <v>5.096579967014204</v>
      </c>
      <c r="I16" t="s">
        <v>16</v>
      </c>
    </row>
    <row r="17" spans="7:15" x14ac:dyDescent="0.3">
      <c r="G17" t="s">
        <v>84</v>
      </c>
      <c r="H17" s="17">
        <f>(10^(O5+(O6*LOG(H6,10))+(O7*LOG(H7,10))))*((O8*(H6^6))+(O9*(H6^5))+(O10*(H6^4))+(O11*(H6^3))+(O12*(H6^2))+(O13*(H6))+O14)</f>
        <v>5.5685759571268152</v>
      </c>
      <c r="I17" t="s">
        <v>16</v>
      </c>
    </row>
    <row r="19" spans="7:15" x14ac:dyDescent="0.3">
      <c r="G19" s="45" t="s">
        <v>26</v>
      </c>
      <c r="H19" s="45"/>
      <c r="I19" s="45"/>
      <c r="J19" s="45"/>
      <c r="K19" s="45"/>
      <c r="L19" s="45"/>
      <c r="M19" s="45"/>
      <c r="N19" s="45"/>
      <c r="O19" s="45"/>
    </row>
    <row r="21" spans="7:15" x14ac:dyDescent="0.3">
      <c r="G21" t="s">
        <v>27</v>
      </c>
      <c r="H21" s="17">
        <f>(((H16-H15)/2.1)*(H5-2.7))+H16</f>
        <v>10.127775808149966</v>
      </c>
      <c r="I21" t="s">
        <v>16</v>
      </c>
    </row>
    <row r="22" spans="7:15" x14ac:dyDescent="0.3">
      <c r="G22" t="s">
        <v>28</v>
      </c>
      <c r="H22" s="17">
        <f>(((H17-H16)/11.6)*(H5-14.3))+H17</f>
        <v>5.5482313023805823</v>
      </c>
      <c r="I22" t="s">
        <v>16</v>
      </c>
      <c r="J22" t="s">
        <v>30</v>
      </c>
    </row>
    <row r="23" spans="7:15" x14ac:dyDescent="0.3">
      <c r="G23" t="s">
        <v>29</v>
      </c>
      <c r="H23" s="17">
        <f>(((H21)*(2.7-H5))/2.1)+(((H22)*(H5-0.6))/2.1)</f>
        <v>-18.657932513829017</v>
      </c>
      <c r="I23" t="s">
        <v>16</v>
      </c>
      <c r="J23" t="s">
        <v>31</v>
      </c>
    </row>
    <row r="26" spans="7:15" x14ac:dyDescent="0.3">
      <c r="G26" t="s">
        <v>32</v>
      </c>
      <c r="H26" s="17">
        <f>IF((H5&gt;2.7),H22,H23)</f>
        <v>5.5482313023805823</v>
      </c>
      <c r="I26" t="s">
        <v>16</v>
      </c>
    </row>
    <row r="27" spans="7:15" x14ac:dyDescent="0.3">
      <c r="H27" s="19"/>
    </row>
    <row r="28" spans="7:15" x14ac:dyDescent="0.3">
      <c r="G28" t="s">
        <v>68</v>
      </c>
      <c r="H28" s="21">
        <v>332</v>
      </c>
      <c r="I28" t="s">
        <v>100</v>
      </c>
    </row>
    <row r="30" spans="7:15" x14ac:dyDescent="0.3">
      <c r="G30" s="45" t="s">
        <v>33</v>
      </c>
      <c r="H30" s="45"/>
      <c r="I30" s="45"/>
      <c r="J30" s="45"/>
      <c r="K30" s="45"/>
      <c r="L30" s="45"/>
      <c r="M30" s="45"/>
      <c r="N30" s="45"/>
      <c r="O30" s="45"/>
    </row>
    <row r="31" spans="7:15" x14ac:dyDescent="0.3">
      <c r="J31" s="46" t="s">
        <v>46</v>
      </c>
      <c r="K31" s="46"/>
      <c r="L31" s="46"/>
      <c r="M31" s="46"/>
    </row>
    <row r="32" spans="7:15" x14ac:dyDescent="0.3">
      <c r="J32" t="s">
        <v>37</v>
      </c>
      <c r="K32" t="s">
        <v>38</v>
      </c>
      <c r="L32" t="s">
        <v>39</v>
      </c>
      <c r="M32" t="s">
        <v>40</v>
      </c>
    </row>
    <row r="33" spans="7:15" ht="14.25" customHeight="1" x14ac:dyDescent="0.3">
      <c r="G33" t="s">
        <v>35</v>
      </c>
      <c r="H33" s="17">
        <f>IF(H10=0,"",IF(H10&lt;J33,J34,IF(H10&lt;K33,K34,IF(H10&lt;L33,L34,M34))))</f>
        <v>29.56</v>
      </c>
      <c r="J33" s="4">
        <v>508</v>
      </c>
      <c r="K33" s="4">
        <v>660.4</v>
      </c>
      <c r="L33" s="4">
        <v>1244.5999999999999</v>
      </c>
      <c r="M33" s="4">
        <v>1245</v>
      </c>
    </row>
    <row r="34" spans="7:15" x14ac:dyDescent="0.3">
      <c r="H34" s="19"/>
      <c r="J34" s="1">
        <v>20</v>
      </c>
      <c r="K34" s="1">
        <f>0.03937*H10</f>
        <v>29.999940000000002</v>
      </c>
      <c r="L34" s="1">
        <f>(660.4+((H10-660.4))*((H5+4)/20))*(25.4^-1)</f>
        <v>29.56</v>
      </c>
      <c r="M34" s="1">
        <f>(660.4+((1244.6-660.4))*((H5+4)/20))*(25.4^-1)</f>
        <v>46.47</v>
      </c>
    </row>
    <row r="35" spans="7:15" x14ac:dyDescent="0.3">
      <c r="H35" s="19" t="str">
        <f>IF(H12=0,"",IF(H12&lt;J35,J36,IF(H12&lt;K35,K36,IF(H12&lt;L35,L36,M36))))</f>
        <v/>
      </c>
      <c r="J35" t="s">
        <v>41</v>
      </c>
      <c r="K35" t="s">
        <v>42</v>
      </c>
      <c r="L35" t="s">
        <v>43</v>
      </c>
      <c r="M35" t="s">
        <v>44</v>
      </c>
    </row>
    <row r="36" spans="7:15" x14ac:dyDescent="0.3">
      <c r="G36" t="s">
        <v>36</v>
      </c>
      <c r="H36" s="17">
        <f>IF(H11=0,"",IF(H11&lt;J36,J37,IF(H11&lt;K36,K37,IF(H11&lt;L36,L37,M37))))</f>
        <v>44.99991</v>
      </c>
      <c r="J36" s="4">
        <v>508</v>
      </c>
      <c r="K36" s="4">
        <v>660.4</v>
      </c>
      <c r="L36" s="4">
        <v>1244.5999999999999</v>
      </c>
      <c r="M36" s="4">
        <v>1245</v>
      </c>
    </row>
    <row r="37" spans="7:15" x14ac:dyDescent="0.3">
      <c r="H37" s="19"/>
      <c r="J37" s="1">
        <v>20</v>
      </c>
      <c r="K37" s="1">
        <f>0.03937*H11</f>
        <v>44.99991</v>
      </c>
      <c r="L37" s="1">
        <f>0.03937*H11</f>
        <v>44.99991</v>
      </c>
      <c r="M37" s="1">
        <v>49</v>
      </c>
    </row>
    <row r="38" spans="7:15" x14ac:dyDescent="0.3">
      <c r="H38" s="19"/>
      <c r="J38" s="1"/>
      <c r="K38" s="1"/>
      <c r="L38" s="1"/>
      <c r="M38" s="1"/>
    </row>
    <row r="39" spans="7:15" x14ac:dyDescent="0.3">
      <c r="H39" s="19"/>
      <c r="J39" s="46" t="s">
        <v>54</v>
      </c>
      <c r="K39" s="46"/>
      <c r="L39" s="46"/>
      <c r="M39" s="46"/>
    </row>
    <row r="40" spans="7:15" x14ac:dyDescent="0.3">
      <c r="G40" t="s">
        <v>45</v>
      </c>
      <c r="H40" s="17">
        <f>(H33+H36)/2</f>
        <v>37.279955000000001</v>
      </c>
      <c r="K40" s="1" t="s">
        <v>48</v>
      </c>
      <c r="L40" s="1" t="s">
        <v>49</v>
      </c>
      <c r="M40" s="1" t="s">
        <v>50</v>
      </c>
    </row>
    <row r="41" spans="7:15" x14ac:dyDescent="0.3">
      <c r="H41" s="6"/>
      <c r="K41" s="1">
        <v>-3.0200000000000002E-4</v>
      </c>
      <c r="L41" s="1">
        <v>3.4410000000000003E-2</v>
      </c>
      <c r="M41" s="1">
        <v>0.4325</v>
      </c>
    </row>
    <row r="42" spans="7:15" x14ac:dyDescent="0.3">
      <c r="G42" t="s">
        <v>52</v>
      </c>
      <c r="H42" s="6"/>
    </row>
    <row r="43" spans="7:15" x14ac:dyDescent="0.3">
      <c r="G43" t="s">
        <v>51</v>
      </c>
      <c r="H43" s="17">
        <f>(K41*(H40*H40))+(L41*H40)+M41</f>
        <v>1.2955851480197884</v>
      </c>
      <c r="J43" s="1"/>
      <c r="K43" s="1"/>
      <c r="L43" s="1"/>
      <c r="M43" s="1"/>
    </row>
    <row r="46" spans="7:15" x14ac:dyDescent="0.3">
      <c r="G46" s="45" t="s">
        <v>53</v>
      </c>
      <c r="H46" s="45"/>
      <c r="I46" s="45"/>
      <c r="J46" s="45"/>
      <c r="K46" s="45"/>
      <c r="L46" s="45"/>
      <c r="M46" s="45"/>
      <c r="N46" s="45"/>
      <c r="O46" s="45"/>
    </row>
    <row r="47" spans="7:15" x14ac:dyDescent="0.3">
      <c r="K47" s="46" t="s">
        <v>55</v>
      </c>
      <c r="L47" s="46"/>
      <c r="M47" s="46"/>
      <c r="N47" s="46"/>
    </row>
    <row r="48" spans="7:15" x14ac:dyDescent="0.3">
      <c r="K48" s="6"/>
      <c r="L48" s="6" t="s">
        <v>70</v>
      </c>
      <c r="M48" s="6" t="s">
        <v>23</v>
      </c>
      <c r="N48" s="1" t="s">
        <v>24</v>
      </c>
    </row>
    <row r="49" spans="7:15" x14ac:dyDescent="0.3">
      <c r="G49" s="1" t="s">
        <v>82</v>
      </c>
      <c r="H49" s="17">
        <f>(12.552/50)*H28*(10^(L49+(L50*(LOG(H7,10)))+((L51*(H15))/((L52*(H6^7))+(L53*(H6^6))+(L54*(H6^5))+(L55*(H6^4))+(L56*(H6^3))+(L57*(H6^2))+(L58*(H6))))+((L59*(LOG(H6,10))+(L60*(LOG(H8,10)))+(L61*(LOG(H15,10)))+(LOG((1/H43),10))))))</f>
        <v>5.8801754117501597</v>
      </c>
      <c r="I49" t="s">
        <v>75</v>
      </c>
      <c r="K49" s="1" t="s">
        <v>56</v>
      </c>
      <c r="L49" s="4">
        <v>0.75336400000000003</v>
      </c>
      <c r="M49" s="4">
        <v>2.40021</v>
      </c>
      <c r="N49" s="4">
        <v>3.825917</v>
      </c>
    </row>
    <row r="50" spans="7:15" x14ac:dyDescent="0.3">
      <c r="G50" s="1" t="s">
        <v>81</v>
      </c>
      <c r="H50" s="17">
        <f>(12.552/50)*H28*(10^(M49+(M50*(LOG(H7,10)))+((M51*(H16))/((M52*(H6^7))+(M53*(H6^6))+(M54*(H6^5))+(M55*(H6^4))+(M56*(H6^3))+(M57*(H6^2))+(M58*(H6))))+((M59*(LOG(H6,10))+(M60*(LOG(H8,10)))+(M61*(LOG(H16,10)))+(LOG((1/H43),10))))))</f>
        <v>8.5793455681751905</v>
      </c>
      <c r="I50" t="s">
        <v>75</v>
      </c>
      <c r="K50" s="1" t="s">
        <v>57</v>
      </c>
      <c r="L50" s="4">
        <v>0.56599999999999995</v>
      </c>
      <c r="M50" s="4">
        <v>0.16500000000000001</v>
      </c>
      <c r="N50" s="4">
        <v>0.11</v>
      </c>
    </row>
    <row r="51" spans="7:15" x14ac:dyDescent="0.3">
      <c r="G51" s="1" t="s">
        <v>80</v>
      </c>
      <c r="H51" s="17">
        <f>(12.552/50)*H28*(10^(N49+(N50*(LOG(H7,10)))+((N51*(H17))/((N52*(H6^7))+(N53*(H6^6))+(N54*(H6^5))+(N55*(H6^4))+(N56*(H6^3))+(N57*(H6^2))+(N58*(H6))))+((N59*(LOG(H6,10))+(N60*(LOG(H8,10)))+(N61*(LOG(H17,10)))+(LOG((1/H43),10))))))</f>
        <v>9.6594120039656737</v>
      </c>
      <c r="I51" t="s">
        <v>75</v>
      </c>
      <c r="K51" s="1" t="s">
        <v>58</v>
      </c>
      <c r="L51" s="4">
        <v>1.7526360000000001</v>
      </c>
      <c r="M51" s="4">
        <v>0.35420200000000002</v>
      </c>
      <c r="N51" s="4">
        <v>-0.999749</v>
      </c>
    </row>
    <row r="52" spans="7:15" x14ac:dyDescent="0.3">
      <c r="J52" s="1"/>
      <c r="K52" s="1" t="s">
        <v>59</v>
      </c>
      <c r="L52" s="4">
        <v>0</v>
      </c>
      <c r="M52" s="4">
        <v>-1.5569999999999999E-12</v>
      </c>
      <c r="N52" s="4">
        <v>-1.5569999999999999E-12</v>
      </c>
    </row>
    <row r="53" spans="7:15" x14ac:dyDescent="0.3">
      <c r="K53" s="1" t="s">
        <v>60</v>
      </c>
      <c r="L53" s="4">
        <v>0</v>
      </c>
      <c r="M53" s="4">
        <v>4.5499999999999998E-10</v>
      </c>
      <c r="N53" s="4">
        <v>4.5499999999999998E-10</v>
      </c>
    </row>
    <row r="54" spans="7:15" x14ac:dyDescent="0.3">
      <c r="J54" s="1"/>
      <c r="K54" s="1" t="s">
        <v>61</v>
      </c>
      <c r="L54" s="4">
        <v>-4.7829999999999997E-9</v>
      </c>
      <c r="M54" s="4">
        <v>-4.1859999999999999E-8</v>
      </c>
      <c r="N54" s="4">
        <v>-4.1859999999999999E-8</v>
      </c>
    </row>
    <row r="55" spans="7:15" x14ac:dyDescent="0.3">
      <c r="H55" s="1"/>
      <c r="I55" s="1"/>
      <c r="J55" s="1"/>
      <c r="K55" s="1" t="s">
        <v>62</v>
      </c>
      <c r="L55" s="4">
        <v>1.962E-6</v>
      </c>
      <c r="M55" s="4">
        <v>8.3460000000000002E-7</v>
      </c>
      <c r="N55" s="4">
        <v>8.3460000000000002E-7</v>
      </c>
    </row>
    <row r="56" spans="7:15" x14ac:dyDescent="0.3">
      <c r="H56" s="1"/>
      <c r="I56" s="1"/>
      <c r="J56" s="1"/>
      <c r="K56" s="1" t="s">
        <v>63</v>
      </c>
      <c r="L56" s="4">
        <v>-2.2900000000000001E-4</v>
      </c>
      <c r="M56" s="4">
        <v>5.482E-5</v>
      </c>
      <c r="N56" s="4">
        <v>5.482E-5</v>
      </c>
    </row>
    <row r="57" spans="7:15" x14ac:dyDescent="0.3">
      <c r="H57" s="1"/>
      <c r="I57" s="1"/>
      <c r="J57" s="1"/>
      <c r="K57" s="1" t="s">
        <v>64</v>
      </c>
      <c r="L57" s="4">
        <v>3.1410000000000001E-3</v>
      </c>
      <c r="M57" s="4">
        <v>-3.1909999999999998E-3</v>
      </c>
      <c r="N57" s="4">
        <v>-3.1909999999999998E-3</v>
      </c>
    </row>
    <row r="58" spans="7:15" x14ac:dyDescent="0.3">
      <c r="H58" s="1"/>
      <c r="I58" s="1"/>
      <c r="J58" s="1"/>
      <c r="K58" s="1" t="s">
        <v>65</v>
      </c>
      <c r="L58" s="4">
        <v>1.0920000000000001</v>
      </c>
      <c r="M58" s="4">
        <v>0.97289999999999999</v>
      </c>
      <c r="N58" s="4">
        <v>0.97289999999999999</v>
      </c>
    </row>
    <row r="59" spans="7:15" x14ac:dyDescent="0.3">
      <c r="H59" s="1"/>
      <c r="I59" s="1"/>
      <c r="J59" s="1"/>
      <c r="K59" s="1" t="s">
        <v>66</v>
      </c>
      <c r="L59" s="4">
        <v>0</v>
      </c>
      <c r="M59" s="4">
        <v>0</v>
      </c>
      <c r="N59" s="4">
        <v>0</v>
      </c>
    </row>
    <row r="60" spans="7:15" x14ac:dyDescent="0.3">
      <c r="H60" s="1"/>
      <c r="I60" s="1"/>
      <c r="J60" s="1"/>
      <c r="K60" s="1" t="s">
        <v>67</v>
      </c>
      <c r="L60" s="4">
        <v>-1.5980000000000001</v>
      </c>
      <c r="M60" s="4">
        <v>-1.569</v>
      </c>
      <c r="N60" s="4">
        <v>-1.5680000000000001</v>
      </c>
    </row>
    <row r="61" spans="7:15" x14ac:dyDescent="0.3">
      <c r="H61" s="1"/>
      <c r="I61" s="1"/>
      <c r="J61" s="1"/>
      <c r="K61" s="1" t="s">
        <v>69</v>
      </c>
      <c r="L61" s="4">
        <v>0.95699999999999996</v>
      </c>
      <c r="M61" s="4">
        <v>0.9778</v>
      </c>
      <c r="N61" s="4">
        <v>0.99</v>
      </c>
    </row>
    <row r="64" spans="7:15" x14ac:dyDescent="0.3">
      <c r="G64" s="45" t="s">
        <v>71</v>
      </c>
      <c r="H64" s="45"/>
      <c r="I64" s="45"/>
      <c r="J64" s="45"/>
      <c r="K64" s="45"/>
      <c r="L64" s="45"/>
      <c r="M64" s="45"/>
      <c r="N64" s="45"/>
      <c r="O64" s="45"/>
    </row>
    <row r="66" spans="7:15" x14ac:dyDescent="0.3">
      <c r="G66" t="s">
        <v>72</v>
      </c>
      <c r="H66" s="17">
        <f>((H50-H49)/2.1)*(H5-2.7)+H50</f>
        <v>22.84638782356464</v>
      </c>
      <c r="I66" t="s">
        <v>75</v>
      </c>
    </row>
    <row r="67" spans="7:15" x14ac:dyDescent="0.3">
      <c r="G67" t="s">
        <v>73</v>
      </c>
      <c r="H67" s="17">
        <f>((H51-H50)/11.6)*(H5-14.3)+H51</f>
        <v>9.6128574162160838</v>
      </c>
      <c r="I67" t="s">
        <v>75</v>
      </c>
    </row>
    <row r="68" spans="7:15" x14ac:dyDescent="0.3">
      <c r="G68" t="s">
        <v>74</v>
      </c>
      <c r="H68" s="17">
        <f>((H66*(2.7-H5))/2.1)+((H67*(H5-0.6))/2.1)</f>
        <v>-60.335803308340587</v>
      </c>
      <c r="I68" t="s">
        <v>75</v>
      </c>
    </row>
    <row r="69" spans="7:15" ht="15" thickBot="1" x14ac:dyDescent="0.35">
      <c r="H69" s="19"/>
    </row>
    <row r="70" spans="7:15" ht="15" thickBot="1" x14ac:dyDescent="0.35">
      <c r="G70" t="s">
        <v>137</v>
      </c>
      <c r="H70" s="17">
        <f>IF(H5&gt;14.5,H68,H67)</f>
        <v>9.6128574162160838</v>
      </c>
      <c r="I70" t="s">
        <v>75</v>
      </c>
      <c r="J70" s="33">
        <f>H70*0.239</f>
        <v>2.2974729224756438</v>
      </c>
      <c r="K70" t="s">
        <v>155</v>
      </c>
    </row>
    <row r="71" spans="7:15" ht="14.25" customHeight="1" x14ac:dyDescent="0.3"/>
    <row r="72" spans="7:15" x14ac:dyDescent="0.3">
      <c r="G72" s="45" t="s">
        <v>76</v>
      </c>
      <c r="H72" s="45"/>
      <c r="I72" s="45"/>
      <c r="J72" s="45"/>
      <c r="K72" s="45"/>
      <c r="L72" s="45"/>
      <c r="M72" s="45"/>
      <c r="N72" s="45"/>
      <c r="O72" s="45"/>
    </row>
    <row r="74" spans="7:15" x14ac:dyDescent="0.3">
      <c r="G74" t="s">
        <v>77</v>
      </c>
      <c r="H74" s="8">
        <f>10^((((L49+(L50*(LOG(H7,10)))))+(((L51*(H15))))/((L52*(H6^7))+(L53*(H6^6))+(L54*(H6^5))+(L55*(H6^4))+(L56*(H6^3))+(L57*(H6^2))+(L58*(H6)))+(L61*(LOG(H15,10)))+(LOG((1/H43),10))-(LOG((20/H28))))/(-L60))</f>
        <v>1009.4289168066855</v>
      </c>
      <c r="I74" t="s">
        <v>17</v>
      </c>
    </row>
    <row r="75" spans="7:15" x14ac:dyDescent="0.3">
      <c r="G75" t="s">
        <v>78</v>
      </c>
      <c r="H75" s="8">
        <f>10^((((M49+(M50*(LOG(H7,10)))))+(((M51*(H16))))/((M52*(H6^7))+(M53*(H6^6))+(M54*(H6^5))+(M55*(H6^4))+(M56*(H6^3))+(M57*(H6^2))+(M58*(H6)))+(M61*(LOG(H16,10)))+(LOG((1/H43),10))-(LOG((20/H28))))/(-M60))</f>
        <v>1286.5755279167483</v>
      </c>
      <c r="I75" t="s">
        <v>17</v>
      </c>
    </row>
    <row r="76" spans="7:15" x14ac:dyDescent="0.3">
      <c r="G76" t="s">
        <v>79</v>
      </c>
      <c r="H76" s="8">
        <f>10^((((N49+(N50*(LOG(H7,10)))))+(((N51*(H17))))/((N52*(H6^7))+(N53*(H6^6))+(N54*(H6^5))+(N55*(H6^4))+(N56*(H6^3))+(N57*(H6^2))+(N58*(H6)))+(N61*(LOG(H17,10)))+(LOG((1/H43),10))-(LOG((20/H28))))/(-N60))</f>
        <v>1387.9443048179662</v>
      </c>
      <c r="I76" t="s">
        <v>17</v>
      </c>
    </row>
    <row r="77" spans="7:15" x14ac:dyDescent="0.3">
      <c r="I77" s="2"/>
    </row>
    <row r="78" spans="7:15" x14ac:dyDescent="0.3">
      <c r="G78" s="45" t="s">
        <v>86</v>
      </c>
      <c r="H78" s="45"/>
      <c r="I78" s="45"/>
      <c r="J78" s="45"/>
      <c r="K78" s="45"/>
      <c r="L78" s="45"/>
      <c r="M78" s="45"/>
      <c r="N78" s="45"/>
      <c r="O78" s="45"/>
    </row>
    <row r="79" spans="7:15" x14ac:dyDescent="0.3">
      <c r="G79" s="2"/>
      <c r="I79" s="2"/>
    </row>
    <row r="80" spans="7:15" x14ac:dyDescent="0.3">
      <c r="G80" t="s">
        <v>87</v>
      </c>
      <c r="H80" s="8">
        <f>((H75-H74)/2.1)*(H5-2.7)+H75</f>
        <v>2751.4933294985094</v>
      </c>
      <c r="I80" t="s">
        <v>17</v>
      </c>
      <c r="L80" s="2"/>
    </row>
    <row r="81" spans="7:15" x14ac:dyDescent="0.3">
      <c r="G81" t="s">
        <v>88</v>
      </c>
      <c r="H81" s="8">
        <f>((H76-H75)/11.6)*(H5-14.3)+H76</f>
        <v>1383.5749609860172</v>
      </c>
      <c r="I81" t="s">
        <v>17</v>
      </c>
      <c r="L81" s="2"/>
    </row>
    <row r="82" spans="7:15" x14ac:dyDescent="0.3">
      <c r="G82" t="s">
        <v>89</v>
      </c>
      <c r="H82" s="8">
        <f>((H80*(2.7-H5))/2.1)+((H81*(H5-0.6))/2.1)</f>
        <v>-5846.850701151443</v>
      </c>
      <c r="I82" t="s">
        <v>17</v>
      </c>
    </row>
    <row r="84" spans="7:15" x14ac:dyDescent="0.3">
      <c r="G84" t="s">
        <v>138</v>
      </c>
      <c r="H84" s="8">
        <f>IF(H5&gt;14.5,H82,H81)</f>
        <v>1383.5749609860172</v>
      </c>
      <c r="I84" t="s">
        <v>17</v>
      </c>
    </row>
    <row r="86" spans="7:15" x14ac:dyDescent="0.3">
      <c r="G86" s="45" t="s">
        <v>90</v>
      </c>
      <c r="H86" s="45"/>
      <c r="I86" s="45"/>
      <c r="J86" s="45"/>
      <c r="K86" s="45"/>
      <c r="L86" s="45"/>
      <c r="M86" s="45"/>
      <c r="N86" s="45"/>
      <c r="O86" s="45"/>
    </row>
    <row r="89" spans="7:15" x14ac:dyDescent="0.3">
      <c r="G89" t="s">
        <v>91</v>
      </c>
      <c r="H89" s="17">
        <f>(M90*H5^6)+(M91*H5^5)+(M92*H5^4)+(M93*H5^3)+(M94*H5^2)+(M95*H5)+M96</f>
        <v>2.3914965119008702E-2</v>
      </c>
      <c r="L89" s="46" t="s">
        <v>102</v>
      </c>
      <c r="M89" s="46"/>
    </row>
    <row r="90" spans="7:15" x14ac:dyDescent="0.3">
      <c r="H90" s="6"/>
      <c r="L90" t="s">
        <v>0</v>
      </c>
      <c r="M90" s="4">
        <v>0</v>
      </c>
    </row>
    <row r="91" spans="7:15" x14ac:dyDescent="0.3">
      <c r="H91" s="6"/>
      <c r="L91" t="s">
        <v>1</v>
      </c>
      <c r="M91" s="4">
        <v>-1.4269000000000001E-6</v>
      </c>
    </row>
    <row r="92" spans="7:15" x14ac:dyDescent="0.3">
      <c r="G92" t="s">
        <v>52</v>
      </c>
      <c r="H92" s="17">
        <f>1-(0.5*H89)</f>
        <v>0.98804251744049565</v>
      </c>
      <c r="L92" t="s">
        <v>2</v>
      </c>
      <c r="M92" s="4">
        <v>8.3137E-5</v>
      </c>
    </row>
    <row r="93" spans="7:15" x14ac:dyDescent="0.3">
      <c r="L93" t="s">
        <v>3</v>
      </c>
      <c r="M93" s="4">
        <v>-1.9381999999999999E-3</v>
      </c>
    </row>
    <row r="94" spans="7:15" x14ac:dyDescent="0.3">
      <c r="L94" t="s">
        <v>4</v>
      </c>
      <c r="M94" s="4">
        <v>2.2366E-2</v>
      </c>
    </row>
    <row r="95" spans="7:15" x14ac:dyDescent="0.3">
      <c r="L95" t="s">
        <v>5</v>
      </c>
      <c r="M95" s="4">
        <v>-0.12645000000000001</v>
      </c>
    </row>
    <row r="96" spans="7:15" x14ac:dyDescent="0.3">
      <c r="L96" t="s">
        <v>6</v>
      </c>
      <c r="M96" s="4">
        <v>0.30225999999999997</v>
      </c>
    </row>
    <row r="98" spans="7:15" x14ac:dyDescent="0.3">
      <c r="G98" s="45" t="s">
        <v>92</v>
      </c>
      <c r="H98" s="45"/>
      <c r="I98" s="45"/>
      <c r="J98" s="45"/>
      <c r="K98" s="45"/>
      <c r="L98" s="45"/>
      <c r="M98" s="45"/>
      <c r="N98" s="45"/>
      <c r="O98" s="45"/>
    </row>
    <row r="101" spans="7:15" x14ac:dyDescent="0.3">
      <c r="G101" t="s">
        <v>93</v>
      </c>
      <c r="H101" t="s">
        <v>94</v>
      </c>
      <c r="I101" s="17">
        <f>H15*H92</f>
        <v>4.0951715433162281</v>
      </c>
      <c r="J101" t="s">
        <v>16</v>
      </c>
    </row>
    <row r="102" spans="7:15" x14ac:dyDescent="0.3">
      <c r="G102" t="s">
        <v>96</v>
      </c>
      <c r="H102" t="s">
        <v>95</v>
      </c>
      <c r="I102" s="17">
        <f>H16*H92</f>
        <v>5.0356377009455127</v>
      </c>
      <c r="J102" t="s">
        <v>16</v>
      </c>
    </row>
    <row r="103" spans="7:15" x14ac:dyDescent="0.3">
      <c r="G103" t="s">
        <v>97</v>
      </c>
      <c r="H103" t="s">
        <v>94</v>
      </c>
      <c r="I103" s="17">
        <f>H17*H92</f>
        <v>5.5019898072381963</v>
      </c>
      <c r="J103" t="s">
        <v>16</v>
      </c>
    </row>
    <row r="106" spans="7:15" x14ac:dyDescent="0.3">
      <c r="G106" s="45" t="s">
        <v>98</v>
      </c>
      <c r="H106" s="45"/>
      <c r="I106" s="45"/>
      <c r="J106" s="45"/>
      <c r="K106" s="45"/>
      <c r="L106" s="45"/>
      <c r="M106" s="45"/>
      <c r="N106" s="45"/>
      <c r="O106" s="45"/>
    </row>
    <row r="109" spans="7:15" x14ac:dyDescent="0.3">
      <c r="G109" t="s">
        <v>27</v>
      </c>
      <c r="H109" s="17">
        <f>(((I102-I101)/2.1))*(H5-2.7)+I102</f>
        <v>10.006673105557446</v>
      </c>
      <c r="I109" t="s">
        <v>16</v>
      </c>
    </row>
    <row r="110" spans="7:15" x14ac:dyDescent="0.3">
      <c r="G110" t="s">
        <v>28</v>
      </c>
      <c r="H110" s="17">
        <f>(((I103-I102)/11.6))*(H5-14.3)+I103</f>
        <v>5.4818884233462706</v>
      </c>
      <c r="I110" t="s">
        <v>16</v>
      </c>
    </row>
    <row r="111" spans="7:15" x14ac:dyDescent="0.3">
      <c r="G111" t="s">
        <v>29</v>
      </c>
      <c r="H111" s="17">
        <f>((H109*(2.7-H5))/2.1)+((H110*(H5-0.6))/2.1)</f>
        <v>-18.434830611198521</v>
      </c>
      <c r="I111" t="s">
        <v>16</v>
      </c>
    </row>
    <row r="112" spans="7:15" x14ac:dyDescent="0.3">
      <c r="H112" s="6"/>
    </row>
    <row r="113" spans="7:15" x14ac:dyDescent="0.3">
      <c r="G113" t="s">
        <v>136</v>
      </c>
      <c r="H113" s="17">
        <f>IF(H5&gt;14.5,H111,H110)</f>
        <v>5.4818884233462706</v>
      </c>
      <c r="I113" t="s">
        <v>16</v>
      </c>
    </row>
    <row r="114" spans="7:15" x14ac:dyDescent="0.3">
      <c r="H114" s="6"/>
    </row>
    <row r="115" spans="7:15" x14ac:dyDescent="0.3">
      <c r="G115" t="s">
        <v>99</v>
      </c>
      <c r="H115" s="18">
        <v>252</v>
      </c>
      <c r="I115" t="s">
        <v>100</v>
      </c>
    </row>
    <row r="118" spans="7:15" x14ac:dyDescent="0.3">
      <c r="G118" s="45" t="s">
        <v>101</v>
      </c>
      <c r="H118" s="45"/>
      <c r="I118" s="45"/>
      <c r="J118" s="45"/>
      <c r="K118" s="45"/>
      <c r="L118" s="45"/>
      <c r="M118" s="45"/>
      <c r="N118" s="45"/>
      <c r="O118" s="45"/>
    </row>
    <row r="119" spans="7:15" x14ac:dyDescent="0.3">
      <c r="K119" s="46" t="s">
        <v>55</v>
      </c>
      <c r="L119" s="46"/>
      <c r="M119" s="46"/>
      <c r="N119" s="46"/>
    </row>
    <row r="120" spans="7:15" x14ac:dyDescent="0.3">
      <c r="K120" s="6"/>
      <c r="L120" s="6" t="s">
        <v>70</v>
      </c>
      <c r="M120" s="6" t="s">
        <v>23</v>
      </c>
      <c r="N120" s="1" t="s">
        <v>24</v>
      </c>
    </row>
    <row r="121" spans="7:15" x14ac:dyDescent="0.3">
      <c r="G121" s="1" t="s">
        <v>82</v>
      </c>
      <c r="H121" s="17">
        <f>(12.552/50)*H115*(10^(L121+(L122*(LOG(H7,10)))+((L123*(I101))/((L124*(H5^7))+(L125*(H6^6))+(L126*(H6^5))+(L127*(H6^4))+(L128*(H6^3))+(L129*(H6^2))+(L130*(H6))))+((L131*(LOG(H6,10))+(L132*(LOG(H8,10)))+(L133*(LOG(I101,10)))+(LOG((1/H43),10))))))</f>
        <v>4.2789449320604236</v>
      </c>
      <c r="I121" t="s">
        <v>75</v>
      </c>
      <c r="K121" s="1" t="s">
        <v>56</v>
      </c>
      <c r="L121" s="4">
        <v>0.75336400000000003</v>
      </c>
      <c r="M121" s="4">
        <v>2.40021</v>
      </c>
      <c r="N121" s="4">
        <v>3.825917</v>
      </c>
    </row>
    <row r="122" spans="7:15" x14ac:dyDescent="0.3">
      <c r="G122" s="1" t="s">
        <v>81</v>
      </c>
      <c r="H122" s="17">
        <f>(12.552/50)*H115*(10^(M121+(M122*(LOG(H7,10)))+((M123*(I102))/((M124*(H5^7))+(M125*(H6^6))+(M126*(H6^5))+(M127*(H6^4))+(M128*(H6^3))+(M129*(H6^2))+(M130*(H6))))+((M131*(LOG(H6,10))+(M132*(LOG(H8,10)))+(M133*(LOG(I102,10)))+(LOG((1/H43),10))))))</f>
        <v>6.3796788975477252</v>
      </c>
      <c r="I122" t="s">
        <v>75</v>
      </c>
      <c r="K122" s="1" t="s">
        <v>57</v>
      </c>
      <c r="L122" s="4">
        <v>0.56599999999999995</v>
      </c>
      <c r="M122" s="4">
        <v>0.16500000000000001</v>
      </c>
      <c r="N122" s="4">
        <v>0.11</v>
      </c>
    </row>
    <row r="123" spans="7:15" x14ac:dyDescent="0.3">
      <c r="G123" s="1" t="s">
        <v>80</v>
      </c>
      <c r="H123" s="17">
        <f>(12.552/50)*H115*(10^(N121+(N122*(LOG(H7,10)))+((N123*(I103))/((N124*(H5^7))+(N125*(H6^6))+(N126*(H6^5))+(N127*(H6^4))+(N128*(H6^3))+(N129*(H6^2))+(N130*(H6))))+((N131*(LOG(H6,10))+(N132*(LOG(H8,10)))+(N133*(LOG(I103,10)))+(LOG((1/H43),10))))))</f>
        <v>7.4437024837314834</v>
      </c>
      <c r="I123" t="s">
        <v>75</v>
      </c>
      <c r="K123" s="1" t="s">
        <v>58</v>
      </c>
      <c r="L123" s="4">
        <v>1.7526360000000001</v>
      </c>
      <c r="M123" s="4">
        <v>0.35420200000000002</v>
      </c>
      <c r="N123" s="4">
        <v>-0.999749</v>
      </c>
    </row>
    <row r="124" spans="7:15" x14ac:dyDescent="0.3">
      <c r="J124" s="1"/>
      <c r="K124" s="1" t="s">
        <v>59</v>
      </c>
      <c r="L124" s="4">
        <v>0</v>
      </c>
      <c r="M124" s="4">
        <v>-1.5569999999999999E-12</v>
      </c>
      <c r="N124" s="4">
        <v>-1.5569999999999999E-12</v>
      </c>
    </row>
    <row r="125" spans="7:15" x14ac:dyDescent="0.3">
      <c r="K125" s="1" t="s">
        <v>60</v>
      </c>
      <c r="L125" s="4">
        <v>0</v>
      </c>
      <c r="M125" s="4">
        <v>4.5499999999999998E-10</v>
      </c>
      <c r="N125" s="4">
        <v>4.5499999999999998E-10</v>
      </c>
    </row>
    <row r="126" spans="7:15" x14ac:dyDescent="0.3">
      <c r="J126" s="1"/>
      <c r="K126" s="1" t="s">
        <v>61</v>
      </c>
      <c r="L126" s="4">
        <v>-4.7829999999999997E-9</v>
      </c>
      <c r="M126" s="4">
        <v>-4.1859999999999999E-8</v>
      </c>
      <c r="N126" s="4">
        <v>-4.1859999999999999E-8</v>
      </c>
    </row>
    <row r="127" spans="7:15" x14ac:dyDescent="0.3">
      <c r="H127" s="1"/>
      <c r="I127" s="1"/>
      <c r="J127" s="1"/>
      <c r="K127" s="1" t="s">
        <v>62</v>
      </c>
      <c r="L127" s="4">
        <v>1.962E-6</v>
      </c>
      <c r="M127" s="4">
        <v>8.3460000000000002E-7</v>
      </c>
      <c r="N127" s="4">
        <v>8.3460000000000002E-7</v>
      </c>
    </row>
    <row r="128" spans="7:15" x14ac:dyDescent="0.3">
      <c r="H128" s="1"/>
      <c r="I128" s="1"/>
      <c r="J128" s="1"/>
      <c r="K128" s="1" t="s">
        <v>63</v>
      </c>
      <c r="L128" s="4">
        <v>-2.2900000000000001E-4</v>
      </c>
      <c r="M128" s="4">
        <v>5.482E-5</v>
      </c>
      <c r="N128" s="4">
        <v>5.482E-5</v>
      </c>
    </row>
    <row r="129" spans="7:15" x14ac:dyDescent="0.3">
      <c r="H129" s="1"/>
      <c r="I129" s="1"/>
      <c r="J129" s="1"/>
      <c r="K129" s="1" t="s">
        <v>64</v>
      </c>
      <c r="L129" s="4">
        <v>3.1410000000000001E-3</v>
      </c>
      <c r="M129" s="4">
        <v>-3.1909999999999998E-3</v>
      </c>
      <c r="N129" s="4">
        <v>-3.1909999999999998E-3</v>
      </c>
    </row>
    <row r="130" spans="7:15" x14ac:dyDescent="0.3">
      <c r="H130" s="1"/>
      <c r="I130" s="1"/>
      <c r="J130" s="1"/>
      <c r="K130" s="1" t="s">
        <v>65</v>
      </c>
      <c r="L130" s="4">
        <v>1.0920000000000001</v>
      </c>
      <c r="M130" s="4">
        <v>0.97289999999999999</v>
      </c>
      <c r="N130" s="4">
        <v>0.97289999999999999</v>
      </c>
    </row>
    <row r="131" spans="7:15" x14ac:dyDescent="0.3">
      <c r="H131" s="1"/>
      <c r="I131" s="1"/>
      <c r="J131" s="1"/>
      <c r="K131" s="1" t="s">
        <v>66</v>
      </c>
      <c r="L131" s="4">
        <v>0</v>
      </c>
      <c r="M131" s="4">
        <v>0</v>
      </c>
      <c r="N131" s="4">
        <v>0</v>
      </c>
    </row>
    <row r="132" spans="7:15" x14ac:dyDescent="0.3">
      <c r="H132" s="1"/>
      <c r="I132" s="1"/>
      <c r="J132" s="1"/>
      <c r="K132" s="1" t="s">
        <v>67</v>
      </c>
      <c r="L132" s="4">
        <v>-1.5980000000000001</v>
      </c>
      <c r="M132" s="4">
        <v>-1.569</v>
      </c>
      <c r="N132" s="4">
        <v>-1.5680000000000001</v>
      </c>
    </row>
    <row r="133" spans="7:15" x14ac:dyDescent="0.3">
      <c r="H133" s="1"/>
      <c r="I133" s="1"/>
      <c r="J133" s="1"/>
      <c r="K133" s="1" t="s">
        <v>69</v>
      </c>
      <c r="L133" s="4">
        <v>0.95699999999999996</v>
      </c>
      <c r="M133" s="4">
        <v>0.9778</v>
      </c>
      <c r="N133" s="4">
        <v>0.99</v>
      </c>
    </row>
    <row r="136" spans="7:15" x14ac:dyDescent="0.3">
      <c r="G136" s="45" t="s">
        <v>103</v>
      </c>
      <c r="H136" s="45"/>
      <c r="I136" s="45"/>
      <c r="J136" s="45"/>
      <c r="K136" s="45"/>
      <c r="L136" s="45"/>
      <c r="M136" s="45"/>
      <c r="N136" s="45"/>
      <c r="O136" s="45"/>
    </row>
    <row r="138" spans="7:15" x14ac:dyDescent="0.3">
      <c r="G138" t="s">
        <v>72</v>
      </c>
      <c r="H138" s="17">
        <f>((H122-H121)/2.1)*(H5-2.7)+H122</f>
        <v>17.483558429409179</v>
      </c>
      <c r="I138" t="s">
        <v>75</v>
      </c>
    </row>
    <row r="139" spans="7:15" x14ac:dyDescent="0.3">
      <c r="G139" t="s">
        <v>73</v>
      </c>
      <c r="H139" s="17">
        <f>((H123-H122)/11.6)*(H5-14.3)+H123</f>
        <v>7.397839398120114</v>
      </c>
      <c r="I139" t="s">
        <v>75</v>
      </c>
    </row>
    <row r="140" spans="7:15" x14ac:dyDescent="0.3">
      <c r="G140" t="s">
        <v>74</v>
      </c>
      <c r="H140" s="17">
        <f>((H138*(2.7-H5))/2.1)+((H139*(H5-0.6))/2.1)</f>
        <v>-45.912389767264948</v>
      </c>
      <c r="I140" t="s">
        <v>75</v>
      </c>
    </row>
    <row r="141" spans="7:15" ht="15" thickBot="1" x14ac:dyDescent="0.35">
      <c r="H141" s="6"/>
    </row>
    <row r="142" spans="7:15" ht="15" thickBot="1" x14ac:dyDescent="0.35">
      <c r="G142" t="s">
        <v>134</v>
      </c>
      <c r="H142" s="17">
        <f>IF(H5&gt;14.5,H140,H139)</f>
        <v>7.397839398120114</v>
      </c>
      <c r="I142" t="s">
        <v>75</v>
      </c>
      <c r="J142" s="23">
        <f>H142*0.239</f>
        <v>1.7680836161507072</v>
      </c>
    </row>
    <row r="144" spans="7:15" x14ac:dyDescent="0.3">
      <c r="G144" s="45" t="s">
        <v>104</v>
      </c>
      <c r="H144" s="45"/>
      <c r="I144" s="45"/>
      <c r="J144" s="45"/>
      <c r="K144" s="45"/>
      <c r="L144" s="45"/>
      <c r="M144" s="45"/>
      <c r="N144" s="45"/>
      <c r="O144" s="45"/>
    </row>
    <row r="146" spans="7:15" x14ac:dyDescent="0.3">
      <c r="G146" t="s">
        <v>77</v>
      </c>
      <c r="H146" s="8">
        <f>10^((((L121+(L122*(LOG(H7,10)))))+(((L123*(I101))))/((L124*(H6^7))+(L125*(H6^6))+(L126*(H6^5))+(L127*(H6^4))+(L128*(H6^3))+(L129*(H6^2))+(L130*(H6)))+(L133*(LOG(I101,10)))+(LOG((1/H43),10))-(LOG((20/H115))))/(-L132))</f>
        <v>827.34045743467561</v>
      </c>
      <c r="I146" t="s">
        <v>17</v>
      </c>
    </row>
    <row r="147" spans="7:15" x14ac:dyDescent="0.3">
      <c r="G147" t="s">
        <v>78</v>
      </c>
      <c r="H147" s="8">
        <f>10^((((M121+(M122*(LOG(H7,10)))))+(((M123*(I102))))/((M124*(H6^7))+(M125*(H6^6))+(M126*(H6^5))+(M127*(H6^4))+(M128*(H6^3))+(M129*(H6^2))+(M130*(H6)))+(M133*(LOG(I102,10)))+(LOG((1/H43),10))-(LOG((20/H115))))/(-M132))</f>
        <v>1065.2013744098481</v>
      </c>
      <c r="I147" t="s">
        <v>17</v>
      </c>
    </row>
    <row r="148" spans="7:15" x14ac:dyDescent="0.3">
      <c r="G148" t="s">
        <v>79</v>
      </c>
      <c r="H148" s="8">
        <f>10^((((N121+(N122*(LOG(H7,10)))))+(((N123*(I103))))/((N124*(H6^7))+(N125*(H6^6))+(N126*(H6^5))+(N127*(H6^4))+(N128*(H6^3))+(N129*(H6^2))+(N130*(H6)))+(N133*(LOG(I103,10)))+(LOG((1/H43),10))-(LOG((20/H115))))/(-N132))</f>
        <v>1175.4897302277236</v>
      </c>
      <c r="I148" t="s">
        <v>17</v>
      </c>
    </row>
    <row r="150" spans="7:15" x14ac:dyDescent="0.3">
      <c r="G150" s="45" t="s">
        <v>105</v>
      </c>
      <c r="H150" s="45"/>
      <c r="I150" s="45"/>
      <c r="J150" s="45"/>
      <c r="K150" s="45"/>
      <c r="L150" s="45"/>
      <c r="M150" s="45"/>
      <c r="N150" s="45"/>
      <c r="O150" s="45"/>
    </row>
    <row r="151" spans="7:15" x14ac:dyDescent="0.3">
      <c r="G151" s="2"/>
      <c r="I151" s="2"/>
    </row>
    <row r="152" spans="7:15" x14ac:dyDescent="0.3">
      <c r="G152" t="s">
        <v>87</v>
      </c>
      <c r="H152" s="8">
        <f>((H147-H146)/2.1)*(H5-2.7)+H147</f>
        <v>2322.466221278617</v>
      </c>
      <c r="I152" t="s">
        <v>17</v>
      </c>
      <c r="L152" s="2"/>
    </row>
    <row r="153" spans="7:15" x14ac:dyDescent="0.3">
      <c r="G153" t="s">
        <v>88</v>
      </c>
      <c r="H153" s="8">
        <f>((H148-H147)/11.6)*(H5-14.3)+H148</f>
        <v>1170.7359217872979</v>
      </c>
      <c r="I153" t="s">
        <v>17</v>
      </c>
      <c r="L153" s="2"/>
    </row>
    <row r="154" spans="7:15" x14ac:dyDescent="0.3">
      <c r="G154" t="s">
        <v>89</v>
      </c>
      <c r="H154" s="8">
        <f>((H152*(2.7-H5))/2.1)+((H153*(H5-0.6))/2.1)</f>
        <v>-4916.9813755239611</v>
      </c>
      <c r="I154" t="s">
        <v>17</v>
      </c>
    </row>
    <row r="156" spans="7:15" x14ac:dyDescent="0.3">
      <c r="G156" t="s">
        <v>135</v>
      </c>
      <c r="H156" s="8">
        <f>IF(H5&gt;14.5,H154,H153)</f>
        <v>1170.7359217872979</v>
      </c>
      <c r="I156" t="s">
        <v>17</v>
      </c>
    </row>
  </sheetData>
  <mergeCells count="22">
    <mergeCell ref="J39:M39"/>
    <mergeCell ref="G46:O46"/>
    <mergeCell ref="M3:O3"/>
    <mergeCell ref="G3:I3"/>
    <mergeCell ref="G1:O1"/>
    <mergeCell ref="G19:O19"/>
    <mergeCell ref="G30:O30"/>
    <mergeCell ref="J31:M31"/>
    <mergeCell ref="M2:O2"/>
    <mergeCell ref="G144:O144"/>
    <mergeCell ref="G150:O150"/>
    <mergeCell ref="G118:O118"/>
    <mergeCell ref="K47:N47"/>
    <mergeCell ref="L89:M89"/>
    <mergeCell ref="K119:N119"/>
    <mergeCell ref="G136:O136"/>
    <mergeCell ref="G72:O72"/>
    <mergeCell ref="G78:O78"/>
    <mergeCell ref="G86:O86"/>
    <mergeCell ref="G98:O98"/>
    <mergeCell ref="G106:O106"/>
    <mergeCell ref="G64:O64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G1:R144"/>
  <sheetViews>
    <sheetView tabSelected="1" topLeftCell="F1" zoomScale="175" zoomScaleNormal="175" workbookViewId="0">
      <selection activeCell="I86" sqref="I86"/>
    </sheetView>
  </sheetViews>
  <sheetFormatPr defaultRowHeight="14.4" x14ac:dyDescent="0.3"/>
  <cols>
    <col min="7" max="7" width="23.109375" bestFit="1" customWidth="1"/>
    <col min="8" max="8" width="16.33203125" bestFit="1" customWidth="1"/>
    <col min="9" max="9" width="16" customWidth="1"/>
    <col min="10" max="10" width="19.44140625" bestFit="1" customWidth="1"/>
    <col min="11" max="11" width="23" bestFit="1" customWidth="1"/>
    <col min="12" max="12" width="25.44140625" bestFit="1" customWidth="1"/>
    <col min="13" max="13" width="20.44140625" bestFit="1" customWidth="1"/>
    <col min="14" max="14" width="13.6640625" customWidth="1"/>
    <col min="15" max="15" width="12.109375" bestFit="1" customWidth="1"/>
  </cols>
  <sheetData>
    <row r="1" spans="7:18" x14ac:dyDescent="0.3">
      <c r="G1" s="45" t="s">
        <v>25</v>
      </c>
      <c r="H1" s="45"/>
      <c r="I1" s="45"/>
      <c r="J1" s="45"/>
      <c r="K1" s="45"/>
      <c r="L1" s="45"/>
      <c r="M1" s="45"/>
      <c r="N1" s="45"/>
      <c r="O1" s="45"/>
    </row>
    <row r="2" spans="7:18" x14ac:dyDescent="0.3">
      <c r="G2" s="3"/>
      <c r="H2" s="3"/>
      <c r="I2" s="3"/>
      <c r="J2" s="3"/>
      <c r="K2" s="3"/>
      <c r="L2" s="3"/>
      <c r="M2" s="7" t="s">
        <v>47</v>
      </c>
    </row>
    <row r="3" spans="7:18" x14ac:dyDescent="0.3">
      <c r="G3" s="48" t="s">
        <v>20</v>
      </c>
      <c r="H3" s="48"/>
      <c r="I3" s="48"/>
      <c r="M3" s="7" t="s">
        <v>22</v>
      </c>
    </row>
    <row r="4" spans="7:18" x14ac:dyDescent="0.3">
      <c r="M4" t="s">
        <v>21</v>
      </c>
    </row>
    <row r="5" spans="7:18" x14ac:dyDescent="0.3">
      <c r="G5" t="s">
        <v>10</v>
      </c>
      <c r="H5" s="20">
        <f>0.4*1.05</f>
        <v>0.42000000000000004</v>
      </c>
      <c r="I5" t="s">
        <v>15</v>
      </c>
      <c r="L5" t="s">
        <v>0</v>
      </c>
      <c r="M5" s="4">
        <v>-4.2869999999999998E-2</v>
      </c>
    </row>
    <row r="6" spans="7:18" x14ac:dyDescent="0.3">
      <c r="G6" t="s">
        <v>11</v>
      </c>
      <c r="H6" s="20">
        <v>48.11</v>
      </c>
      <c r="I6" t="s">
        <v>16</v>
      </c>
      <c r="L6" t="s">
        <v>1</v>
      </c>
      <c r="M6" s="4">
        <v>1.0349999999999999</v>
      </c>
    </row>
    <row r="7" spans="7:18" x14ac:dyDescent="0.3">
      <c r="G7" t="s">
        <v>12</v>
      </c>
      <c r="H7" s="20">
        <v>32</v>
      </c>
      <c r="I7" t="s">
        <v>17</v>
      </c>
      <c r="L7" t="s">
        <v>2</v>
      </c>
      <c r="M7" s="4">
        <v>-8.3000000000000004E-2</v>
      </c>
    </row>
    <row r="8" spans="7:18" x14ac:dyDescent="0.3">
      <c r="G8" t="s">
        <v>13</v>
      </c>
      <c r="H8" s="20">
        <v>609.6</v>
      </c>
      <c r="I8" t="s">
        <v>17</v>
      </c>
      <c r="L8" t="s">
        <v>3</v>
      </c>
      <c r="M8" s="4">
        <v>0</v>
      </c>
      <c r="N8" s="2"/>
      <c r="O8" s="2"/>
      <c r="R8" s="2"/>
    </row>
    <row r="9" spans="7:18" x14ac:dyDescent="0.3">
      <c r="G9" t="s">
        <v>14</v>
      </c>
      <c r="H9" s="20"/>
      <c r="L9" t="s">
        <v>4</v>
      </c>
      <c r="M9" s="4">
        <v>0</v>
      </c>
      <c r="N9" s="2"/>
      <c r="O9" s="2"/>
      <c r="R9" s="2"/>
    </row>
    <row r="10" spans="7:18" x14ac:dyDescent="0.3">
      <c r="G10" t="s">
        <v>18</v>
      </c>
      <c r="H10" s="20">
        <v>508</v>
      </c>
      <c r="I10" t="s">
        <v>17</v>
      </c>
      <c r="J10" t="s">
        <v>34</v>
      </c>
      <c r="L10" t="s">
        <v>5</v>
      </c>
      <c r="M10" s="4">
        <v>-4.7829999999999997E-9</v>
      </c>
      <c r="N10" s="2"/>
      <c r="O10" s="2"/>
      <c r="R10" s="2"/>
    </row>
    <row r="11" spans="7:18" x14ac:dyDescent="0.3">
      <c r="G11" t="s">
        <v>19</v>
      </c>
      <c r="H11" s="20">
        <v>508</v>
      </c>
      <c r="I11" t="s">
        <v>17</v>
      </c>
      <c r="J11" t="s">
        <v>34</v>
      </c>
      <c r="L11" t="s">
        <v>6</v>
      </c>
      <c r="M11" s="4">
        <v>1.962E-6</v>
      </c>
      <c r="N11" s="2"/>
      <c r="O11" s="2"/>
      <c r="R11" s="2"/>
    </row>
    <row r="12" spans="7:18" x14ac:dyDescent="0.3">
      <c r="G12" t="s">
        <v>106</v>
      </c>
      <c r="H12" s="20">
        <v>508</v>
      </c>
      <c r="I12" t="s">
        <v>17</v>
      </c>
      <c r="L12" t="s">
        <v>7</v>
      </c>
      <c r="M12" s="4">
        <v>-2.2900000000000001E-4</v>
      </c>
      <c r="N12" s="2"/>
      <c r="O12" s="2"/>
      <c r="R12" s="2"/>
    </row>
    <row r="13" spans="7:18" x14ac:dyDescent="0.3">
      <c r="L13" t="s">
        <v>8</v>
      </c>
      <c r="M13" s="4">
        <v>3.1410000000000001E-3</v>
      </c>
    </row>
    <row r="14" spans="7:18" x14ac:dyDescent="0.3">
      <c r="L14" t="s">
        <v>9</v>
      </c>
      <c r="M14" s="4">
        <v>1.0920000000000001</v>
      </c>
    </row>
    <row r="15" spans="7:18" x14ac:dyDescent="0.3">
      <c r="G15" t="s">
        <v>83</v>
      </c>
      <c r="H15" s="17">
        <f>(10^(M5+(M6*LOG(H6,10))+(M7*LOG(H7,10))))*((M8*(H6^6))+(M9*(H6^5))+(M10*(H6^4))+(M11*(H6^3))+(M12*(H6^2))+(M13*(H6))+M14)</f>
        <v>33.916461470321529</v>
      </c>
      <c r="I15" t="s">
        <v>16</v>
      </c>
    </row>
    <row r="19" spans="7:15" x14ac:dyDescent="0.3">
      <c r="G19" s="45" t="s">
        <v>107</v>
      </c>
      <c r="H19" s="45"/>
      <c r="I19" s="45"/>
      <c r="J19" s="45"/>
      <c r="K19" s="45"/>
      <c r="L19" s="45"/>
      <c r="M19" s="45"/>
      <c r="N19" s="45"/>
      <c r="O19" s="45"/>
    </row>
    <row r="22" spans="7:15" x14ac:dyDescent="0.3">
      <c r="G22" t="s">
        <v>32</v>
      </c>
      <c r="H22" s="17">
        <f>1/(SQRT(((0.6/H5)^2)*((1/H15^2)-(((0.6^2)-(H5^2))/((0.6^2)*(H6^2))))))</f>
        <v>27.477924085372468</v>
      </c>
      <c r="I22" t="s">
        <v>16</v>
      </c>
    </row>
    <row r="23" spans="7:15" x14ac:dyDescent="0.3">
      <c r="G23" t="s">
        <v>68</v>
      </c>
      <c r="H23" s="21">
        <v>168</v>
      </c>
      <c r="I23" t="s">
        <v>100</v>
      </c>
    </row>
    <row r="25" spans="7:15" x14ac:dyDescent="0.3">
      <c r="G25" s="45" t="s">
        <v>33</v>
      </c>
      <c r="H25" s="45"/>
      <c r="I25" s="45"/>
      <c r="J25" s="45"/>
      <c r="K25" s="45"/>
      <c r="L25" s="45"/>
      <c r="M25" s="45"/>
      <c r="N25" s="45"/>
      <c r="O25" s="45"/>
    </row>
    <row r="26" spans="7:15" x14ac:dyDescent="0.3">
      <c r="J26" s="46" t="s">
        <v>46</v>
      </c>
      <c r="K26" s="46"/>
      <c r="L26" s="46"/>
      <c r="M26" s="46"/>
    </row>
    <row r="27" spans="7:15" x14ac:dyDescent="0.3">
      <c r="J27" t="s">
        <v>37</v>
      </c>
      <c r="K27" t="s">
        <v>38</v>
      </c>
      <c r="L27" t="s">
        <v>39</v>
      </c>
      <c r="M27" t="s">
        <v>40</v>
      </c>
    </row>
    <row r="28" spans="7:15" x14ac:dyDescent="0.3">
      <c r="G28" t="s">
        <v>35</v>
      </c>
      <c r="H28" s="17">
        <f>IF(H10=0,"",IF(H10&lt;J28,J29,IF(H10&lt;K28,K29,IF(H10&lt;L28,L29,M29))))</f>
        <v>19.999960000000002</v>
      </c>
      <c r="J28" s="4">
        <v>508</v>
      </c>
      <c r="K28" s="4">
        <v>660.4</v>
      </c>
      <c r="L28" s="4">
        <v>1244.5999999999999</v>
      </c>
      <c r="M28" s="4">
        <v>1245</v>
      </c>
    </row>
    <row r="29" spans="7:15" x14ac:dyDescent="0.3">
      <c r="H29" s="19"/>
      <c r="J29" s="1">
        <v>20</v>
      </c>
      <c r="K29" s="1">
        <f>0.03937*H10</f>
        <v>19.999960000000002</v>
      </c>
      <c r="L29" s="1">
        <f>(660.4+((H10-660.4))*((H5+4)/20))*(25.4^-1)</f>
        <v>24.673999999999999</v>
      </c>
      <c r="M29" s="1">
        <f>(660.4+((1244.6-660.4))*((H5+4)/20))*(25.4^-1)</f>
        <v>31.082999999999998</v>
      </c>
    </row>
    <row r="30" spans="7:15" x14ac:dyDescent="0.3">
      <c r="H30" s="6"/>
      <c r="J30" t="s">
        <v>41</v>
      </c>
      <c r="K30" t="s">
        <v>42</v>
      </c>
      <c r="L30" t="s">
        <v>43</v>
      </c>
      <c r="M30" t="s">
        <v>44</v>
      </c>
    </row>
    <row r="31" spans="7:15" x14ac:dyDescent="0.3">
      <c r="G31" t="s">
        <v>36</v>
      </c>
      <c r="H31" s="17">
        <f>IF(H11=0,"",IF(H11&lt;J31,J32,IF(H11&lt;K31,K32,IF(H11&lt;L31,L32,M32))))</f>
        <v>19.999960000000002</v>
      </c>
      <c r="J31" s="4">
        <v>508</v>
      </c>
      <c r="K31" s="4">
        <v>660.4</v>
      </c>
      <c r="L31" s="4">
        <v>1244.5999999999999</v>
      </c>
      <c r="M31" s="4">
        <v>1245</v>
      </c>
    </row>
    <row r="32" spans="7:15" x14ac:dyDescent="0.3">
      <c r="H32" s="19"/>
      <c r="J32" s="1">
        <v>20</v>
      </c>
      <c r="K32" s="1">
        <f>0.03937*H11</f>
        <v>19.999960000000002</v>
      </c>
      <c r="L32" s="1">
        <f>0.03937*H11</f>
        <v>19.999960000000002</v>
      </c>
      <c r="M32" s="1">
        <v>49</v>
      </c>
    </row>
    <row r="33" spans="7:15" x14ac:dyDescent="0.3">
      <c r="H33" s="19"/>
      <c r="J33" s="1"/>
      <c r="K33" s="1"/>
      <c r="L33" s="1"/>
      <c r="M33" s="1"/>
    </row>
    <row r="34" spans="7:15" x14ac:dyDescent="0.3">
      <c r="H34" s="19"/>
      <c r="J34" s="46" t="s">
        <v>54</v>
      </c>
      <c r="K34" s="46"/>
      <c r="L34" s="46"/>
      <c r="M34" s="46"/>
    </row>
    <row r="35" spans="7:15" x14ac:dyDescent="0.3">
      <c r="G35" t="s">
        <v>45</v>
      </c>
      <c r="H35" s="17">
        <f>(H28+H31)/2</f>
        <v>19.999960000000002</v>
      </c>
      <c r="K35" s="1" t="s">
        <v>48</v>
      </c>
      <c r="L35" s="1" t="s">
        <v>49</v>
      </c>
      <c r="M35" s="1" t="s">
        <v>50</v>
      </c>
    </row>
    <row r="36" spans="7:15" x14ac:dyDescent="0.3">
      <c r="H36" s="6"/>
      <c r="K36" s="1">
        <v>-3.0200000000000002E-4</v>
      </c>
      <c r="L36" s="1">
        <v>3.4410000000000003E-2</v>
      </c>
      <c r="M36" s="1">
        <v>0.4325</v>
      </c>
    </row>
    <row r="37" spans="7:15" x14ac:dyDescent="0.3">
      <c r="G37" t="s">
        <v>52</v>
      </c>
      <c r="H37" s="6"/>
    </row>
    <row r="38" spans="7:15" x14ac:dyDescent="0.3">
      <c r="G38" t="s">
        <v>51</v>
      </c>
      <c r="H38" s="17">
        <f>(K36*(H35*H35))+(L36*H35)+M36</f>
        <v>0.99989910679951688</v>
      </c>
      <c r="J38" s="1"/>
      <c r="K38" s="1"/>
      <c r="L38" s="1"/>
      <c r="M38" s="1"/>
    </row>
    <row r="41" spans="7:15" x14ac:dyDescent="0.3">
      <c r="G41" s="45" t="s">
        <v>53</v>
      </c>
      <c r="H41" s="45"/>
      <c r="I41" s="45"/>
      <c r="J41" s="45"/>
      <c r="K41" s="45"/>
      <c r="L41" s="45"/>
      <c r="M41" s="45"/>
      <c r="N41" s="45"/>
      <c r="O41" s="45"/>
    </row>
    <row r="42" spans="7:15" x14ac:dyDescent="0.3">
      <c r="K42" s="46" t="s">
        <v>55</v>
      </c>
      <c r="L42" s="46"/>
      <c r="M42" s="5"/>
      <c r="N42" s="5"/>
    </row>
    <row r="43" spans="7:15" x14ac:dyDescent="0.3">
      <c r="K43" s="6"/>
      <c r="L43" s="6" t="s">
        <v>70</v>
      </c>
      <c r="M43" s="6"/>
      <c r="N43" s="1"/>
    </row>
    <row r="44" spans="7:15" x14ac:dyDescent="0.3">
      <c r="G44" s="1" t="s">
        <v>82</v>
      </c>
      <c r="H44" s="17">
        <f>(12.552/50)*H23*(10^(L44+(L45*(LOG(H7,10)))+((L46*(H15))/((L47*(H6^7))+(L48*(H6^6))+(L49*(H6^5))+(L50*(H6^4))+(L51*(H6^3))+(L52*(H6^2))+(L53*(H6))))+((L54*(LOG(H6,10))+(L55*(LOG(H8,10)))+(L56*(LOG(H22,10)))+(LOG((1/H38),10))))))</f>
        <v>33.17792647085232</v>
      </c>
      <c r="I44" t="s">
        <v>75</v>
      </c>
      <c r="K44" s="1" t="s">
        <v>56</v>
      </c>
      <c r="L44" s="4">
        <v>0.75336400000000003</v>
      </c>
      <c r="M44" s="5"/>
      <c r="N44" s="5"/>
    </row>
    <row r="45" spans="7:15" x14ac:dyDescent="0.3">
      <c r="H45" s="6"/>
      <c r="K45" s="1" t="s">
        <v>57</v>
      </c>
      <c r="L45" s="4">
        <v>0.56599999999999995</v>
      </c>
      <c r="M45" s="5"/>
      <c r="N45" s="1"/>
    </row>
    <row r="46" spans="7:15" x14ac:dyDescent="0.3">
      <c r="H46" s="17">
        <f>H44/4.184</f>
        <v>7.9297147396874568</v>
      </c>
      <c r="I46" t="s">
        <v>139</v>
      </c>
      <c r="K46" s="1" t="s">
        <v>58</v>
      </c>
      <c r="L46" s="4">
        <v>1.7526360000000001</v>
      </c>
      <c r="M46" s="5"/>
    </row>
    <row r="47" spans="7:15" x14ac:dyDescent="0.3">
      <c r="J47" s="1"/>
      <c r="K47" s="1" t="s">
        <v>59</v>
      </c>
      <c r="L47" s="4">
        <v>0</v>
      </c>
      <c r="M47" s="5"/>
      <c r="N47" s="1"/>
    </row>
    <row r="48" spans="7:15" x14ac:dyDescent="0.3">
      <c r="K48" s="1" t="s">
        <v>60</v>
      </c>
      <c r="L48" s="4">
        <v>0</v>
      </c>
      <c r="M48" s="5"/>
      <c r="N48" s="1"/>
    </row>
    <row r="49" spans="7:15" x14ac:dyDescent="0.3">
      <c r="J49" s="1"/>
      <c r="K49" s="1" t="s">
        <v>61</v>
      </c>
      <c r="L49" s="4">
        <v>-4.7829999999999997E-9</v>
      </c>
      <c r="M49" s="5"/>
      <c r="N49" s="1"/>
    </row>
    <row r="50" spans="7:15" x14ac:dyDescent="0.3">
      <c r="H50" s="1"/>
      <c r="I50" s="1"/>
      <c r="K50" s="1" t="s">
        <v>62</v>
      </c>
      <c r="L50" s="4">
        <v>1.962E-6</v>
      </c>
      <c r="M50" s="5"/>
      <c r="N50" s="1"/>
    </row>
    <row r="51" spans="7:15" x14ac:dyDescent="0.3">
      <c r="H51" s="1"/>
      <c r="I51" s="1"/>
      <c r="J51" s="1"/>
      <c r="K51" s="1" t="s">
        <v>63</v>
      </c>
      <c r="L51" s="4">
        <v>-2.2900000000000001E-4</v>
      </c>
      <c r="M51" s="5"/>
      <c r="N51" s="1"/>
    </row>
    <row r="52" spans="7:15" x14ac:dyDescent="0.3">
      <c r="H52" s="1"/>
      <c r="I52" s="1"/>
      <c r="J52" s="1"/>
      <c r="K52" s="1" t="s">
        <v>64</v>
      </c>
      <c r="L52" s="4">
        <v>3.1410000000000001E-3</v>
      </c>
      <c r="M52" s="5"/>
      <c r="N52" s="1"/>
    </row>
    <row r="53" spans="7:15" x14ac:dyDescent="0.3">
      <c r="H53" s="1"/>
      <c r="I53" s="1"/>
      <c r="J53" s="1"/>
      <c r="K53" s="1" t="s">
        <v>65</v>
      </c>
      <c r="L53" s="4">
        <v>1.0920000000000001</v>
      </c>
      <c r="M53" s="5"/>
      <c r="N53" s="1"/>
    </row>
    <row r="54" spans="7:15" x14ac:dyDescent="0.3">
      <c r="H54" s="1"/>
      <c r="I54" s="5"/>
      <c r="J54" s="1"/>
      <c r="K54" s="1" t="s">
        <v>66</v>
      </c>
      <c r="L54" s="4">
        <v>0</v>
      </c>
      <c r="M54" s="5"/>
      <c r="N54" s="5"/>
    </row>
    <row r="55" spans="7:15" x14ac:dyDescent="0.3">
      <c r="H55" s="1"/>
      <c r="I55" s="1"/>
      <c r="J55" s="1"/>
      <c r="K55" s="1" t="s">
        <v>67</v>
      </c>
      <c r="L55" s="4">
        <v>-1.5980000000000001</v>
      </c>
      <c r="M55" s="5"/>
      <c r="N55" s="5"/>
    </row>
    <row r="56" spans="7:15" x14ac:dyDescent="0.3">
      <c r="H56" s="1"/>
      <c r="I56" s="1"/>
      <c r="J56" s="1"/>
      <c r="K56" s="1" t="s">
        <v>69</v>
      </c>
      <c r="L56" s="4">
        <v>0.95699999999999996</v>
      </c>
      <c r="M56" s="5"/>
      <c r="N56" s="5"/>
    </row>
    <row r="59" spans="7:15" x14ac:dyDescent="0.3">
      <c r="G59" s="45" t="s">
        <v>71</v>
      </c>
      <c r="H59" s="45"/>
      <c r="I59" s="45"/>
      <c r="J59" s="45"/>
      <c r="K59" s="45"/>
      <c r="L59" s="45"/>
      <c r="M59" s="45"/>
      <c r="N59" s="45"/>
      <c r="O59" s="45"/>
    </row>
    <row r="61" spans="7:15" x14ac:dyDescent="0.3">
      <c r="G61" t="s">
        <v>72</v>
      </c>
      <c r="H61" s="17">
        <f>H44</f>
        <v>33.17792647085232</v>
      </c>
      <c r="I61" t="s">
        <v>75</v>
      </c>
    </row>
    <row r="62" spans="7:15" x14ac:dyDescent="0.3">
      <c r="H62" s="6"/>
    </row>
    <row r="63" spans="7:15" x14ac:dyDescent="0.3">
      <c r="H63" s="17">
        <f>H61/4.184</f>
        <v>7.9297147396874568</v>
      </c>
      <c r="I63" t="s">
        <v>139</v>
      </c>
    </row>
    <row r="73" spans="7:15" x14ac:dyDescent="0.3">
      <c r="G73" s="45" t="s">
        <v>76</v>
      </c>
      <c r="H73" s="45"/>
      <c r="I73" s="45"/>
      <c r="J73" s="45"/>
      <c r="K73" s="45"/>
      <c r="L73" s="45"/>
      <c r="M73" s="45"/>
      <c r="N73" s="45"/>
      <c r="O73" s="45"/>
    </row>
    <row r="75" spans="7:15" x14ac:dyDescent="0.3">
      <c r="G75" t="s">
        <v>77</v>
      </c>
      <c r="H75" s="17">
        <f>10^((((L44+(L45*(LOG(H7,10)))))+(((L46*(H15))))/((L47*(H6^7))+(L48*(H6^6))+(L49*(H6^5))+(L50*(H6^4))+(L51*(H6^3))+(L52*(H6^2))+(L53*(H6)))+(L56*(LOG(H22,10)))+(LOG((1/H38),10))-(LOG((20/H23))))/(-L55))</f>
        <v>1987.1659814878731</v>
      </c>
      <c r="I75" t="s">
        <v>17</v>
      </c>
    </row>
    <row r="76" spans="7:15" x14ac:dyDescent="0.3">
      <c r="I76" s="2"/>
    </row>
    <row r="83" spans="7:15" x14ac:dyDescent="0.3">
      <c r="G83" s="45" t="s">
        <v>86</v>
      </c>
      <c r="H83" s="45"/>
      <c r="I83" s="45"/>
      <c r="J83" s="45"/>
      <c r="K83" s="45"/>
      <c r="L83" s="45"/>
      <c r="M83" s="45"/>
      <c r="N83" s="45"/>
      <c r="O83" s="45"/>
    </row>
    <row r="84" spans="7:15" x14ac:dyDescent="0.3">
      <c r="G84" s="2"/>
      <c r="I84" s="2"/>
    </row>
    <row r="85" spans="7:15" x14ac:dyDescent="0.3">
      <c r="G85" t="s">
        <v>87</v>
      </c>
      <c r="H85" s="17">
        <f>H75</f>
        <v>1987.1659814878731</v>
      </c>
      <c r="I85" t="s">
        <v>17</v>
      </c>
      <c r="J85">
        <f>H85/1000</f>
        <v>1.987165981487873</v>
      </c>
      <c r="K85" t="s">
        <v>153</v>
      </c>
      <c r="L85" s="2"/>
    </row>
    <row r="86" spans="7:15" x14ac:dyDescent="0.3">
      <c r="H86" s="6"/>
      <c r="L86" s="2"/>
    </row>
    <row r="87" spans="7:15" x14ac:dyDescent="0.3">
      <c r="H87" s="22">
        <f>H85/25.4</f>
        <v>78.234881160939892</v>
      </c>
      <c r="I87" t="s">
        <v>140</v>
      </c>
    </row>
    <row r="88" spans="7:15" s="35" customFormat="1" x14ac:dyDescent="0.3"/>
    <row r="90" spans="7:15" x14ac:dyDescent="0.3">
      <c r="G90" s="34" t="s">
        <v>90</v>
      </c>
      <c r="H90" s="34"/>
      <c r="I90" s="34"/>
      <c r="J90" s="34"/>
      <c r="K90" s="34"/>
      <c r="L90" s="34"/>
      <c r="M90" s="34"/>
      <c r="N90" s="34"/>
      <c r="O90" s="34"/>
    </row>
    <row r="93" spans="7:15" x14ac:dyDescent="0.3">
      <c r="G93" t="s">
        <v>91</v>
      </c>
      <c r="H93" s="17">
        <f>(M94*H5^6)+(M95*H5^5)+(M96*H5^4)+(M97*H5^3)+(M98*H5^2)+(M99*H5)+M100</f>
        <v>0.25295533336077158</v>
      </c>
      <c r="L93" s="7" t="s">
        <v>102</v>
      </c>
      <c r="M93" s="7"/>
    </row>
    <row r="94" spans="7:15" x14ac:dyDescent="0.3">
      <c r="H94" s="6"/>
      <c r="L94" t="s">
        <v>0</v>
      </c>
      <c r="M94" s="4">
        <v>0</v>
      </c>
    </row>
    <row r="95" spans="7:15" x14ac:dyDescent="0.3">
      <c r="H95" s="6"/>
      <c r="L95" t="s">
        <v>1</v>
      </c>
      <c r="M95" s="4">
        <v>-1.4269000000000001E-6</v>
      </c>
    </row>
    <row r="96" spans="7:15" x14ac:dyDescent="0.3">
      <c r="G96" t="s">
        <v>52</v>
      </c>
      <c r="H96" s="17">
        <f>1-(0.5*H93)</f>
        <v>0.87352233331961426</v>
      </c>
      <c r="L96" t="s">
        <v>2</v>
      </c>
      <c r="M96" s="4">
        <v>8.3137E-5</v>
      </c>
    </row>
    <row r="97" spans="7:15" x14ac:dyDescent="0.3">
      <c r="L97" t="s">
        <v>3</v>
      </c>
      <c r="M97" s="4">
        <v>-1.9381999999999999E-3</v>
      </c>
    </row>
    <row r="98" spans="7:15" x14ac:dyDescent="0.3">
      <c r="L98" t="s">
        <v>4</v>
      </c>
      <c r="M98" s="4">
        <v>2.2366E-2</v>
      </c>
    </row>
    <row r="99" spans="7:15" x14ac:dyDescent="0.3">
      <c r="L99" t="s">
        <v>5</v>
      </c>
      <c r="M99" s="4">
        <v>-0.12645000000000001</v>
      </c>
    </row>
    <row r="100" spans="7:15" x14ac:dyDescent="0.3">
      <c r="L100" t="s">
        <v>6</v>
      </c>
      <c r="M100" s="4">
        <v>0.30225999999999997</v>
      </c>
    </row>
    <row r="102" spans="7:15" x14ac:dyDescent="0.3">
      <c r="G102" s="34" t="s">
        <v>92</v>
      </c>
      <c r="H102" s="34"/>
      <c r="I102" s="34"/>
      <c r="J102" s="34"/>
      <c r="K102" s="34"/>
      <c r="L102" s="34"/>
      <c r="M102" s="34"/>
      <c r="N102" s="34"/>
      <c r="O102" s="34"/>
    </row>
    <row r="105" spans="7:15" x14ac:dyDescent="0.3">
      <c r="G105" t="s">
        <v>93</v>
      </c>
      <c r="H105" t="s">
        <v>94</v>
      </c>
      <c r="I105" s="17">
        <f>H22*H96</f>
        <v>24.002580361833786</v>
      </c>
      <c r="J105" t="s">
        <v>16</v>
      </c>
    </row>
    <row r="107" spans="7:15" x14ac:dyDescent="0.3">
      <c r="H107" t="s">
        <v>108</v>
      </c>
      <c r="I107" s="6">
        <v>200</v>
      </c>
      <c r="J107" t="s">
        <v>100</v>
      </c>
    </row>
    <row r="110" spans="7:15" x14ac:dyDescent="0.3">
      <c r="G110" s="34" t="s">
        <v>109</v>
      </c>
      <c r="H110" s="34"/>
      <c r="I110" s="34"/>
      <c r="J110" s="34"/>
      <c r="K110" s="34"/>
      <c r="L110" s="34"/>
      <c r="M110" s="34"/>
      <c r="N110" s="34"/>
      <c r="O110" s="34"/>
    </row>
    <row r="111" spans="7:15" x14ac:dyDescent="0.3">
      <c r="K111" s="7" t="s">
        <v>55</v>
      </c>
      <c r="L111" s="7"/>
      <c r="M111" s="5"/>
      <c r="N111" s="5"/>
    </row>
    <row r="112" spans="7:15" x14ac:dyDescent="0.3">
      <c r="K112" s="6"/>
      <c r="L112" s="6" t="s">
        <v>70</v>
      </c>
      <c r="M112" s="6"/>
      <c r="N112" s="1"/>
    </row>
    <row r="113" spans="7:15" x14ac:dyDescent="0.3">
      <c r="G113" s="1" t="s">
        <v>82</v>
      </c>
      <c r="H113" s="17">
        <f>(12.552/50)*I107*(10^(L113+(L114*(LOG(H7,10)))+((L115*(H15))/((L116*(H6^7))+(L117*(H6^6))+(L118*(H6^5))+(L119*(H6^4))+(L120*(H6^3))+(L121*(H6^2))+(L122*(H6))))+((L123*(LOG(H6,10))+(L124*(LOG(H8,10)))+(L125*(LOG(I105,10)))+(LOG((1/H38),10))))))</f>
        <v>34.703172959601559</v>
      </c>
      <c r="I113" t="s">
        <v>75</v>
      </c>
      <c r="K113" s="1" t="s">
        <v>56</v>
      </c>
      <c r="L113" s="4">
        <v>0.75336400000000003</v>
      </c>
      <c r="M113" s="5"/>
      <c r="N113" s="5"/>
    </row>
    <row r="114" spans="7:15" x14ac:dyDescent="0.3">
      <c r="H114" s="6"/>
      <c r="K114" s="1" t="s">
        <v>57</v>
      </c>
      <c r="L114" s="4">
        <v>0.56599999999999995</v>
      </c>
      <c r="M114" s="5"/>
      <c r="N114" s="5"/>
    </row>
    <row r="115" spans="7:15" x14ac:dyDescent="0.3">
      <c r="H115" s="17">
        <f>H113/4.184</f>
        <v>8.2942573995223601</v>
      </c>
      <c r="I115" t="s">
        <v>139</v>
      </c>
      <c r="K115" s="1" t="s">
        <v>58</v>
      </c>
      <c r="L115" s="4">
        <v>1.7526360000000001</v>
      </c>
      <c r="M115" s="5"/>
      <c r="N115" s="5"/>
    </row>
    <row r="116" spans="7:15" x14ac:dyDescent="0.3">
      <c r="J116" s="1"/>
      <c r="K116" s="1" t="s">
        <v>59</v>
      </c>
      <c r="L116" s="4">
        <v>0</v>
      </c>
      <c r="M116" s="5"/>
      <c r="N116" s="5"/>
    </row>
    <row r="117" spans="7:15" x14ac:dyDescent="0.3">
      <c r="K117" s="1" t="s">
        <v>60</v>
      </c>
      <c r="L117" s="4">
        <v>0</v>
      </c>
      <c r="M117" s="5"/>
      <c r="N117" s="5"/>
    </row>
    <row r="118" spans="7:15" x14ac:dyDescent="0.3">
      <c r="J118" s="1"/>
      <c r="K118" s="1" t="s">
        <v>61</v>
      </c>
      <c r="L118" s="4">
        <v>-4.7829999999999997E-9</v>
      </c>
      <c r="M118" s="5"/>
      <c r="N118" s="5"/>
    </row>
    <row r="119" spans="7:15" x14ac:dyDescent="0.3">
      <c r="H119" s="1"/>
      <c r="I119" s="1"/>
      <c r="J119" s="1"/>
      <c r="K119" s="1" t="s">
        <v>62</v>
      </c>
      <c r="L119" s="4">
        <v>1.962E-6</v>
      </c>
      <c r="M119" s="5"/>
      <c r="N119" s="5"/>
    </row>
    <row r="120" spans="7:15" x14ac:dyDescent="0.3">
      <c r="H120" s="1"/>
      <c r="I120" s="1"/>
      <c r="J120" s="1"/>
      <c r="K120" s="1" t="s">
        <v>63</v>
      </c>
      <c r="L120" s="4">
        <v>-2.2900000000000001E-4</v>
      </c>
      <c r="M120" s="5"/>
      <c r="N120" s="5"/>
    </row>
    <row r="121" spans="7:15" x14ac:dyDescent="0.3">
      <c r="H121" s="1"/>
      <c r="I121" s="1"/>
      <c r="J121" s="1"/>
      <c r="K121" s="1" t="s">
        <v>64</v>
      </c>
      <c r="L121" s="4">
        <v>3.1410000000000001E-3</v>
      </c>
      <c r="M121" s="5"/>
      <c r="N121" s="5"/>
    </row>
    <row r="122" spans="7:15" x14ac:dyDescent="0.3">
      <c r="H122" s="1"/>
      <c r="I122" s="1"/>
      <c r="J122" s="1"/>
      <c r="K122" s="1" t="s">
        <v>65</v>
      </c>
      <c r="L122" s="4">
        <v>1.0920000000000001</v>
      </c>
      <c r="M122" s="5"/>
      <c r="N122" s="5"/>
    </row>
    <row r="123" spans="7:15" x14ac:dyDescent="0.3">
      <c r="H123" s="1"/>
      <c r="I123" s="1"/>
      <c r="J123" s="1"/>
      <c r="K123" s="1" t="s">
        <v>66</v>
      </c>
      <c r="L123" s="4">
        <v>0</v>
      </c>
      <c r="M123" s="5"/>
      <c r="N123" s="5"/>
    </row>
    <row r="124" spans="7:15" x14ac:dyDescent="0.3">
      <c r="H124" s="1"/>
      <c r="I124" s="1"/>
      <c r="J124" s="1"/>
      <c r="K124" s="1" t="s">
        <v>67</v>
      </c>
      <c r="L124" s="4">
        <v>-1.5980000000000001</v>
      </c>
      <c r="M124" s="5"/>
      <c r="N124" s="5"/>
    </row>
    <row r="125" spans="7:15" x14ac:dyDescent="0.3">
      <c r="H125" s="1"/>
      <c r="I125" s="1"/>
      <c r="J125" s="1"/>
      <c r="K125" s="1" t="s">
        <v>69</v>
      </c>
      <c r="L125" s="4">
        <v>0.95699999999999996</v>
      </c>
      <c r="M125" s="5"/>
      <c r="N125" s="5"/>
    </row>
    <row r="128" spans="7:15" x14ac:dyDescent="0.3">
      <c r="G128" s="34" t="s">
        <v>110</v>
      </c>
      <c r="H128" s="34"/>
      <c r="I128" s="34"/>
      <c r="J128" s="34"/>
      <c r="K128" s="34"/>
      <c r="L128" s="34"/>
      <c r="M128" s="34"/>
      <c r="N128" s="34"/>
      <c r="O128" s="34"/>
    </row>
    <row r="130" spans="7:15" x14ac:dyDescent="0.3">
      <c r="G130" t="s">
        <v>72</v>
      </c>
      <c r="H130" s="17">
        <f>H113</f>
        <v>34.703172959601559</v>
      </c>
      <c r="I130" t="s">
        <v>75</v>
      </c>
    </row>
    <row r="131" spans="7:15" x14ac:dyDescent="0.3">
      <c r="H131" s="6"/>
    </row>
    <row r="132" spans="7:15" x14ac:dyDescent="0.3">
      <c r="H132" s="17">
        <f>H130/4.184</f>
        <v>8.2942573995223601</v>
      </c>
      <c r="I132" t="s">
        <v>139</v>
      </c>
    </row>
    <row r="134" spans="7:15" x14ac:dyDescent="0.3">
      <c r="G134" s="34" t="s">
        <v>111</v>
      </c>
      <c r="H134" s="34"/>
      <c r="I134" s="34"/>
      <c r="J134" s="34"/>
      <c r="K134" s="34"/>
      <c r="L134" s="34"/>
      <c r="M134" s="34"/>
      <c r="N134" s="34"/>
      <c r="O134" s="34"/>
    </row>
    <row r="136" spans="7:15" x14ac:dyDescent="0.3">
      <c r="G136" t="s">
        <v>77</v>
      </c>
      <c r="H136" s="8">
        <f>10^((((L44+(L45*(LOG(H7,10)))))+(((L46*(H15))))/((L47*(H6^7))+(L48*(H6^6))+(L49*(H6^5))+(L50*(H6^4))+(L51*(H6^3))+(L52*(H6^2))+(L53*(H6)))+(L56*(LOG(I105,10)))+(LOG((1/H38),10))-(LOG((20/I107))))/(-L55))</f>
        <v>2043.8516884251546</v>
      </c>
      <c r="I136" t="s">
        <v>17</v>
      </c>
    </row>
    <row r="137" spans="7:15" x14ac:dyDescent="0.3">
      <c r="H137" s="6"/>
    </row>
    <row r="138" spans="7:15" x14ac:dyDescent="0.3">
      <c r="H138" s="22">
        <f>H136/25.4</f>
        <v>80.466601906502149</v>
      </c>
      <c r="I138" t="s">
        <v>140</v>
      </c>
    </row>
    <row r="140" spans="7:15" x14ac:dyDescent="0.3">
      <c r="G140" s="34" t="s">
        <v>112</v>
      </c>
      <c r="H140" s="34"/>
      <c r="I140" s="34"/>
      <c r="J140" s="34"/>
      <c r="K140" s="34"/>
      <c r="L140" s="34"/>
      <c r="M140" s="34"/>
      <c r="N140" s="34"/>
      <c r="O140" s="34"/>
    </row>
    <row r="141" spans="7:15" x14ac:dyDescent="0.3">
      <c r="G141" s="2"/>
      <c r="I141" s="2"/>
    </row>
    <row r="142" spans="7:15" x14ac:dyDescent="0.3">
      <c r="G142" t="s">
        <v>87</v>
      </c>
      <c r="H142" s="8">
        <f>H136</f>
        <v>2043.8516884251546</v>
      </c>
      <c r="I142" t="s">
        <v>17</v>
      </c>
      <c r="L142" s="2"/>
    </row>
    <row r="143" spans="7:15" x14ac:dyDescent="0.3">
      <c r="H143" s="6"/>
      <c r="L143" s="2"/>
    </row>
    <row r="144" spans="7:15" x14ac:dyDescent="0.3">
      <c r="H144" s="22">
        <f>H142/25.4</f>
        <v>80.466601906502149</v>
      </c>
      <c r="I144" t="s">
        <v>140</v>
      </c>
    </row>
  </sheetData>
  <mergeCells count="11">
    <mergeCell ref="G1:O1"/>
    <mergeCell ref="G3:I3"/>
    <mergeCell ref="G19:O19"/>
    <mergeCell ref="G25:O25"/>
    <mergeCell ref="J26:M26"/>
    <mergeCell ref="G83:O83"/>
    <mergeCell ref="J34:M34"/>
    <mergeCell ref="G41:O41"/>
    <mergeCell ref="G59:O59"/>
    <mergeCell ref="G73:O73"/>
    <mergeCell ref="K42:L4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N40"/>
  <sheetViews>
    <sheetView zoomScale="55" zoomScaleNormal="55" workbookViewId="0">
      <selection activeCell="H41" sqref="H41"/>
    </sheetView>
  </sheetViews>
  <sheetFormatPr defaultRowHeight="14.4" x14ac:dyDescent="0.3"/>
  <cols>
    <col min="1" max="1" width="5.109375" bestFit="1" customWidth="1"/>
    <col min="2" max="2" width="10.6640625" bestFit="1" customWidth="1"/>
    <col min="3" max="3" width="4.33203125" bestFit="1" customWidth="1"/>
    <col min="4" max="4" width="6.6640625" bestFit="1" customWidth="1"/>
    <col min="5" max="5" width="6.44140625" bestFit="1" customWidth="1"/>
    <col min="6" max="6" width="12.33203125" bestFit="1" customWidth="1"/>
    <col min="7" max="9" width="12" bestFit="1" customWidth="1"/>
    <col min="10" max="10" width="6.6640625" bestFit="1" customWidth="1"/>
    <col min="11" max="11" width="9.88671875" bestFit="1" customWidth="1"/>
    <col min="12" max="12" width="6.6640625" bestFit="1" customWidth="1"/>
    <col min="13" max="13" width="12" bestFit="1" customWidth="1"/>
    <col min="14" max="14" width="11" bestFit="1" customWidth="1"/>
    <col min="15" max="15" width="2.88671875" bestFit="1" customWidth="1"/>
    <col min="16" max="16" width="7.6640625" bestFit="1" customWidth="1"/>
    <col min="17" max="18" width="7.5546875" bestFit="1" customWidth="1"/>
    <col min="19" max="19" width="12" bestFit="1" customWidth="1"/>
    <col min="20" max="20" width="11.33203125" bestFit="1" customWidth="1"/>
    <col min="21" max="21" width="12" bestFit="1" customWidth="1"/>
    <col min="39" max="39" width="5.88671875" bestFit="1" customWidth="1"/>
    <col min="40" max="40" width="18.6640625" bestFit="1" customWidth="1"/>
  </cols>
  <sheetData>
    <row r="1" spans="1:40" ht="15" thickBot="1" x14ac:dyDescent="0.35"/>
    <row r="2" spans="1:40" ht="15.6" x14ac:dyDescent="0.35">
      <c r="A2" s="9" t="s">
        <v>113</v>
      </c>
      <c r="B2" s="10" t="s">
        <v>114</v>
      </c>
      <c r="C2" s="49" t="s">
        <v>115</v>
      </c>
      <c r="D2" s="50"/>
      <c r="E2" s="10" t="s">
        <v>116</v>
      </c>
      <c r="F2" s="10" t="s">
        <v>117</v>
      </c>
      <c r="G2" s="10" t="s">
        <v>118</v>
      </c>
      <c r="H2" s="10" t="s">
        <v>119</v>
      </c>
      <c r="I2" s="11" t="s">
        <v>120</v>
      </c>
      <c r="J2" s="10" t="s">
        <v>0</v>
      </c>
      <c r="K2" s="49" t="s">
        <v>1</v>
      </c>
      <c r="L2" s="50"/>
      <c r="M2" s="10" t="s">
        <v>121</v>
      </c>
      <c r="N2" s="10" t="s">
        <v>122</v>
      </c>
      <c r="O2" s="10" t="s">
        <v>123</v>
      </c>
      <c r="P2" s="10" t="s">
        <v>124</v>
      </c>
      <c r="Q2" s="10" t="s">
        <v>125</v>
      </c>
      <c r="R2" s="10" t="s">
        <v>126</v>
      </c>
      <c r="S2" s="10" t="s">
        <v>127</v>
      </c>
      <c r="T2" s="10" t="s">
        <v>128</v>
      </c>
      <c r="U2" s="12" t="s">
        <v>129</v>
      </c>
    </row>
    <row r="3" spans="1:40" ht="15" thickBot="1" x14ac:dyDescent="0.35">
      <c r="A3" s="16">
        <v>1</v>
      </c>
      <c r="B3" s="13">
        <v>45</v>
      </c>
      <c r="C3" s="13" t="s">
        <v>130</v>
      </c>
      <c r="D3" s="14">
        <f>IF(C3=$AM$5,-0.097,-0.153)</f>
        <v>-9.7000000000000003E-2</v>
      </c>
      <c r="E3" s="13">
        <v>0.48</v>
      </c>
      <c r="F3" s="13">
        <v>32</v>
      </c>
      <c r="G3" s="14">
        <f t="shared" ref="G3" si="0">IF(E3&gt;1,0.00402+0.983*LOG10(B3),(D3+(0.662*LOG10(B3))+(0.0966*E3)+(0.000526*F3)+(0.5588*E3*LOG10(B3))-(0.00304*F3*LOG10(B3))))</f>
        <v>1.3432334440740898</v>
      </c>
      <c r="H3" s="14">
        <f>10^G3</f>
        <v>22.041109090652206</v>
      </c>
      <c r="I3" s="14">
        <f>0.85*H3</f>
        <v>18.734942727054374</v>
      </c>
      <c r="J3" s="14">
        <f>IF(C3=$AM$5,-0.555,-0.792)</f>
        <v>-0.55500000000000005</v>
      </c>
      <c r="K3" s="13" t="s">
        <v>131</v>
      </c>
      <c r="L3" s="14">
        <f>IF(K3=$AN$5,-0.113,0)</f>
        <v>-0.113</v>
      </c>
      <c r="M3" s="14">
        <f>J3+L3+1.081*G3+0.0011*F3</f>
        <v>0.81923535304409101</v>
      </c>
      <c r="N3" s="14">
        <f>10^M3</f>
        <v>6.5953121184233066</v>
      </c>
      <c r="O3" s="14">
        <f>IF(E3&gt;1,1,1.5)</f>
        <v>1.5</v>
      </c>
      <c r="P3" s="13">
        <v>6.13E-2</v>
      </c>
      <c r="Q3" s="13">
        <v>609.6</v>
      </c>
      <c r="R3" s="13">
        <v>1.4730000000000001</v>
      </c>
      <c r="S3" s="14">
        <f>4.184*O3*N3*P3/0.2*610^R3/Q3^R3</f>
        <v>12.698966869596394</v>
      </c>
      <c r="T3" s="14">
        <f>O3*N3*P3/0.2*610^R3/Q3^R3</f>
        <v>3.0351259248557345</v>
      </c>
      <c r="U3" s="15">
        <f>(4.184*O3*N3*(P3/0.2)*(610^R3/5))^(1/R3)/1000</f>
        <v>1.1477760773335306</v>
      </c>
    </row>
    <row r="4" spans="1:40" ht="15" thickBot="1" x14ac:dyDescent="0.35">
      <c r="A4" s="16">
        <v>2</v>
      </c>
      <c r="B4" s="13">
        <v>45</v>
      </c>
      <c r="C4" s="13" t="s">
        <v>130</v>
      </c>
      <c r="D4" s="14">
        <f>IF(C4=$AM$5,-0.097,-0.153)</f>
        <v>-9.7000000000000003E-2</v>
      </c>
      <c r="E4" s="13">
        <v>0.48</v>
      </c>
      <c r="F4" s="13">
        <v>32</v>
      </c>
      <c r="G4" s="14">
        <f t="shared" ref="G4" si="1">IF(E4&gt;1,0.00402+0.983*LOG10(B4),(D4+(0.662*LOG10(B4))+(0.0966*E4)+(0.000526*F4)+(0.5588*E4*LOG10(B4))-(0.00304*F4*LOG10(B4))))</f>
        <v>1.3432334440740898</v>
      </c>
      <c r="H4" s="14">
        <f>10^G4</f>
        <v>22.041109090652206</v>
      </c>
      <c r="I4" s="14">
        <f>0.85*H4</f>
        <v>18.734942727054374</v>
      </c>
      <c r="J4" s="14">
        <f>IF(C4=$AM$5,-0.555,-0.792)</f>
        <v>-0.55500000000000005</v>
      </c>
      <c r="K4" s="13" t="s">
        <v>131</v>
      </c>
      <c r="L4" s="14">
        <f>IF(K4=$AN$5,-0.113,0)</f>
        <v>-0.113</v>
      </c>
      <c r="M4" s="14">
        <f>J4+L4+1.081*G4+0.0011*F4</f>
        <v>0.81923535304409101</v>
      </c>
      <c r="N4" s="14">
        <f>10^M4</f>
        <v>6.5953121184233066</v>
      </c>
      <c r="O4" s="14">
        <f>IF(E4&gt;1,1,1.5)</f>
        <v>1.5</v>
      </c>
      <c r="P4" s="13">
        <v>0.31900000000000001</v>
      </c>
      <c r="Q4" s="13">
        <v>609.6</v>
      </c>
      <c r="R4" s="13">
        <v>1.4730000000000001</v>
      </c>
      <c r="S4" s="14">
        <f>4.184*O4*N4*P4/0.2*610^R4/Q4^R4</f>
        <v>66.084346352385808</v>
      </c>
      <c r="T4" s="14">
        <f>O4*N4*P4/0.2*610^R4/Q4^R4</f>
        <v>15.794537847128538</v>
      </c>
      <c r="U4" s="15">
        <f>(4.184*O4*N4*(P4/0.2)*(610^R4/5))^(1/R4)/1000</f>
        <v>3.5169335847678984</v>
      </c>
      <c r="AM4" t="s">
        <v>132</v>
      </c>
      <c r="AN4" t="s">
        <v>133</v>
      </c>
    </row>
    <row r="5" spans="1:40" x14ac:dyDescent="0.3">
      <c r="AM5" t="s">
        <v>130</v>
      </c>
      <c r="AN5" t="s">
        <v>131</v>
      </c>
    </row>
    <row r="40" spans="8:8" x14ac:dyDescent="0.3">
      <c r="H40">
        <f>1.3*2500</f>
        <v>3250</v>
      </c>
    </row>
  </sheetData>
  <mergeCells count="2">
    <mergeCell ref="C2:D2"/>
    <mergeCell ref="K2:L2"/>
  </mergeCells>
  <dataValidations count="2">
    <dataValidation type="list" allowBlank="1" showInputMessage="1" showErrorMessage="1" sqref="K3:K8" xr:uid="{00000000-0002-0000-0200-000000000000}">
      <formula1>$AN$4:$AN$5</formula1>
    </dataValidation>
    <dataValidation type="list" allowBlank="1" showInputMessage="1" showErrorMessage="1" sqref="C3:C8" xr:uid="{00000000-0002-0000-0200-000001000000}">
      <formula1>$AM$4:$AM$5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F08D8-9FE0-459E-A7F7-41FEFA45F858}">
  <dimension ref="G10:S29"/>
  <sheetViews>
    <sheetView zoomScale="53" workbookViewId="0">
      <selection activeCell="S11" sqref="S11"/>
    </sheetView>
  </sheetViews>
  <sheetFormatPr defaultRowHeight="14.4" x14ac:dyDescent="0.3"/>
  <sheetData>
    <row r="10" spans="12:19" x14ac:dyDescent="0.3">
      <c r="S10">
        <f>500*1.1</f>
        <v>550</v>
      </c>
    </row>
    <row r="15" spans="12:19" x14ac:dyDescent="0.3">
      <c r="P15">
        <f>83*6</f>
        <v>498</v>
      </c>
    </row>
    <row r="16" spans="12:19" x14ac:dyDescent="0.3">
      <c r="L16">
        <v>3500</v>
      </c>
      <c r="M16">
        <f>L16*1.3</f>
        <v>4550</v>
      </c>
    </row>
    <row r="23" spans="7:14" x14ac:dyDescent="0.3">
      <c r="L23">
        <f>700*0.8</f>
        <v>560</v>
      </c>
      <c r="M23">
        <f>L23*6</f>
        <v>3360</v>
      </c>
      <c r="N23">
        <f>M23*1.3</f>
        <v>4368</v>
      </c>
    </row>
    <row r="28" spans="7:14" x14ac:dyDescent="0.3">
      <c r="G28">
        <v>2782</v>
      </c>
      <c r="H28">
        <f>G28*1.1</f>
        <v>3060.2000000000003</v>
      </c>
    </row>
    <row r="29" spans="7:14" x14ac:dyDescent="0.3">
      <c r="G29">
        <f>G28*0.8</f>
        <v>2225.6</v>
      </c>
      <c r="H29">
        <f>1.3*G29</f>
        <v>2893.28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LEE METHOD</vt:lpstr>
      <vt:lpstr>MV- 2018</vt:lpstr>
      <vt:lpstr>LV - 2018</vt:lpstr>
      <vt:lpstr>2002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ezhilaniruthank</dc:creator>
  <cp:lastModifiedBy>mahendran K</cp:lastModifiedBy>
  <dcterms:created xsi:type="dcterms:W3CDTF">2018-11-29T05:15:18Z</dcterms:created>
  <dcterms:modified xsi:type="dcterms:W3CDTF">2024-04-09T04:47:23Z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2023-09-16T10:36:38Z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b2897108-8e2d-4ddd-9bda-9a2d0ba6b927</vt:lpwstr>
  </property>
  <property fmtid="{D5CDD505-2E9C-101B-9397-08002B2CF9AE}" pid="7" name="MSIP_Label_defa4170-0d19-0005-0004-bc88714345d2_ActionId">
    <vt:lpwstr>c5baefe3-fdde-40db-bc85-ea896486fa42</vt:lpwstr>
  </property>
  <property fmtid="{D5CDD505-2E9C-101B-9397-08002B2CF9AE}" pid="8" name="MSIP_Label_defa4170-0d19-0005-0004-bc88714345d2_ContentBits">
    <vt:lpwstr>0</vt:lpwstr>
  </property>
</Properties>
</file>