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30cf01c8789a4091/Desktop/New Folder/"/>
    </mc:Choice>
  </mc:AlternateContent>
  <xr:revisionPtr revIDLastSave="529" documentId="8_{2045B050-14BE-42E3-BFC9-61A961DF44A3}" xr6:coauthVersionLast="47" xr6:coauthVersionMax="47" xr10:uidLastSave="{55DE106A-CABE-409E-8696-3AA44166FBBE}"/>
  <bookViews>
    <workbookView xWindow="-108" yWindow="-108" windowWidth="23256" windowHeight="12456" tabRatio="804" activeTab="1" xr2:uid="{01E8D126-8D5D-4F08-A46D-08936641DB40}"/>
  </bookViews>
  <sheets>
    <sheet name="Transmission line " sheetId="1" r:id="rId1"/>
    <sheet name="Transformer calculations" sheetId="2" r:id="rId2"/>
    <sheet name="C factor=1.1" sheetId="5" r:id="rId3"/>
    <sheet name="Cable Calculations" sheetId="3" r:id="rId4"/>
    <sheet name="Grid 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8" i="4" l="1"/>
  <c r="B4" i="4"/>
  <c r="B4" i="3"/>
  <c r="H6" i="3" s="1"/>
  <c r="B72" i="5"/>
  <c r="B68" i="5"/>
  <c r="B63" i="5"/>
  <c r="B59" i="5"/>
  <c r="B26" i="5"/>
  <c r="B25" i="5"/>
  <c r="B24" i="5"/>
  <c r="B17" i="5"/>
  <c r="B11" i="5"/>
  <c r="B63" i="2"/>
  <c r="B58" i="2"/>
  <c r="B54" i="2"/>
  <c r="B49" i="2"/>
  <c r="B48" i="2"/>
  <c r="B47" i="2"/>
  <c r="B26" i="2"/>
  <c r="D31" i="2" s="1"/>
  <c r="D32" i="2" s="1"/>
  <c r="B32" i="2" s="1"/>
  <c r="B25" i="2"/>
  <c r="B36" i="2" s="1"/>
  <c r="B24" i="2"/>
  <c r="B35" i="2" s="1"/>
  <c r="A42" i="4"/>
  <c r="B11" i="4"/>
  <c r="B28" i="3"/>
  <c r="B12" i="3"/>
  <c r="B16" i="3" s="1"/>
  <c r="B19" i="3" s="1"/>
  <c r="B10" i="3"/>
  <c r="B17" i="2"/>
  <c r="B11" i="2"/>
  <c r="B36" i="1"/>
  <c r="B34" i="1"/>
  <c r="B14" i="1"/>
  <c r="B18" i="1" s="1"/>
  <c r="B12" i="1"/>
  <c r="B11" i="1"/>
  <c r="B9" i="3" l="1"/>
  <c r="B15" i="3" s="1"/>
  <c r="B18" i="3" s="1"/>
  <c r="D31" i="5"/>
  <c r="D32" i="5" s="1"/>
  <c r="B32" i="5" s="1"/>
  <c r="B35" i="5" s="1"/>
  <c r="B37" i="2"/>
  <c r="B18" i="4"/>
  <c r="B14" i="4"/>
  <c r="B22" i="3"/>
  <c r="B26" i="3" s="1"/>
  <c r="B31" i="3" s="1"/>
  <c r="B27" i="1"/>
  <c r="B21" i="1"/>
  <c r="B17" i="1"/>
  <c r="B47" i="4" l="1"/>
  <c r="B32" i="4"/>
  <c r="B37" i="4"/>
  <c r="B37" i="5"/>
  <c r="B50" i="5" s="1"/>
  <c r="B36" i="5"/>
  <c r="B49" i="5" s="1"/>
  <c r="B51" i="5" s="1"/>
  <c r="B26" i="1"/>
  <c r="B29" i="1" s="1"/>
  <c r="B32" i="1" s="1"/>
  <c r="B20" i="1"/>
  <c r="B39" i="4" l="1"/>
  <c r="B48" i="4" s="1"/>
  <c r="B54" i="4" s="1"/>
  <c r="B21" i="4"/>
  <c r="B46" i="4"/>
  <c r="B52" i="4" s="1"/>
  <c r="B53" i="4"/>
</calcChain>
</file>

<file path=xl/sharedStrings.xml><?xml version="1.0" encoding="utf-8"?>
<sst xmlns="http://schemas.openxmlformats.org/spreadsheetml/2006/main" count="228" uniqueCount="130">
  <si>
    <t>transmission line  calculations</t>
  </si>
  <si>
    <t>voltage,v</t>
  </si>
  <si>
    <t xml:space="preserve">MVA </t>
  </si>
  <si>
    <t>R</t>
  </si>
  <si>
    <t>X</t>
  </si>
  <si>
    <t>Length</t>
  </si>
  <si>
    <t>km</t>
  </si>
  <si>
    <t>ohms/km</t>
  </si>
  <si>
    <t>ohms</t>
  </si>
  <si>
    <t>Zb</t>
  </si>
  <si>
    <t>base value</t>
  </si>
  <si>
    <t>zb=(kvb)^2/MVAb</t>
  </si>
  <si>
    <t>pu</t>
  </si>
  <si>
    <t>Rtl</t>
  </si>
  <si>
    <t>Xtl</t>
  </si>
  <si>
    <t>Rg</t>
  </si>
  <si>
    <t>Xg</t>
  </si>
  <si>
    <t>Rt=Rg+R</t>
  </si>
  <si>
    <t>Xt=Xg+X</t>
  </si>
  <si>
    <t>Zt=sqrt(R^2+X^2)</t>
  </si>
  <si>
    <t>Zt</t>
  </si>
  <si>
    <t>If=Vpf/Zt</t>
  </si>
  <si>
    <t>If</t>
  </si>
  <si>
    <t>Vpf</t>
  </si>
  <si>
    <t>Ib=MVAb/sqrt(3)*v</t>
  </si>
  <si>
    <t>Ib</t>
  </si>
  <si>
    <t>KV</t>
  </si>
  <si>
    <t>Iactual</t>
  </si>
  <si>
    <t>transformer calculations</t>
  </si>
  <si>
    <t>MVA</t>
  </si>
  <si>
    <t>V at HV side</t>
  </si>
  <si>
    <t>kv</t>
  </si>
  <si>
    <t>V at LV side</t>
  </si>
  <si>
    <t>full load current at HV side</t>
  </si>
  <si>
    <t>HV FLA</t>
  </si>
  <si>
    <t>full load current at the LV side</t>
  </si>
  <si>
    <t>LV FLA</t>
  </si>
  <si>
    <t>(MVA*1000)/sqrt(3)*Vhv</t>
  </si>
  <si>
    <t>(MVA*1000)/SQRT(3)*Vlv</t>
  </si>
  <si>
    <t>length</t>
  </si>
  <si>
    <t>actual values</t>
  </si>
  <si>
    <t>Zb=(KVb)^2/MVAb</t>
  </si>
  <si>
    <t>R cable</t>
  </si>
  <si>
    <t>X cable</t>
  </si>
  <si>
    <t>sqrt(R)^2+(X)^2</t>
  </si>
  <si>
    <t>Vpf/Zt</t>
  </si>
  <si>
    <t>MVAb/(sqrt(3)*V)</t>
  </si>
  <si>
    <t>I actual</t>
  </si>
  <si>
    <t>Rt=Rg+Rc</t>
  </si>
  <si>
    <t>Xt=Xg+Xc</t>
  </si>
  <si>
    <t>Rref</t>
  </si>
  <si>
    <t>R=Rref(1+alpha(T-Tref))</t>
  </si>
  <si>
    <t>T</t>
  </si>
  <si>
    <t>Tref</t>
  </si>
  <si>
    <t>alpha</t>
  </si>
  <si>
    <t>Vl</t>
  </si>
  <si>
    <t>Vph</t>
  </si>
  <si>
    <t>Vph=Vl/sqrt(3)</t>
  </si>
  <si>
    <t>3ph Isc</t>
  </si>
  <si>
    <t>kA</t>
  </si>
  <si>
    <t>3ph X/R</t>
  </si>
  <si>
    <t>1ph Isc</t>
  </si>
  <si>
    <t>1ph X/R</t>
  </si>
  <si>
    <t>MVA for  3ph</t>
  </si>
  <si>
    <t>sqrt(3)*Vl*Isc</t>
  </si>
  <si>
    <t>MVA for 1ph</t>
  </si>
  <si>
    <t>Vph*Isc</t>
  </si>
  <si>
    <t>Impedance value for 3ph</t>
  </si>
  <si>
    <t>Z1</t>
  </si>
  <si>
    <t>Z1=Vph/Isc</t>
  </si>
  <si>
    <t>X/R</t>
  </si>
  <si>
    <t>we know that    Z=sqrt(R)^2+(X)^2</t>
  </si>
  <si>
    <t>=R^2+(4R)^2</t>
  </si>
  <si>
    <t>=R^2(1+(4)^2</t>
  </si>
  <si>
    <t>=sqrt(R)^2*(17)</t>
  </si>
  <si>
    <t>Z</t>
  </si>
  <si>
    <t>=SQRT(17)*R</t>
  </si>
  <si>
    <t>z</t>
  </si>
  <si>
    <t>Impedance value for 1ph</t>
  </si>
  <si>
    <t>Zo=(3Vph/Isc)-2Z1</t>
  </si>
  <si>
    <t>Zo</t>
  </si>
  <si>
    <t>Ro</t>
  </si>
  <si>
    <t>Xo</t>
  </si>
  <si>
    <t>MVAb</t>
  </si>
  <si>
    <t>per unit values</t>
  </si>
  <si>
    <t>Zpu</t>
  </si>
  <si>
    <t>Xpu</t>
  </si>
  <si>
    <t>Rpu</t>
  </si>
  <si>
    <t>for % values</t>
  </si>
  <si>
    <t>Z%</t>
  </si>
  <si>
    <t>R%</t>
  </si>
  <si>
    <t>X%</t>
  </si>
  <si>
    <t>Imp of T/F ZT</t>
  </si>
  <si>
    <t>Rest of T/F RT</t>
  </si>
  <si>
    <t>React of T/F XT</t>
  </si>
  <si>
    <t>To convert (%) to (pu) values</t>
  </si>
  <si>
    <t>KT=0.95(Cmax/1+0.6*XT)</t>
  </si>
  <si>
    <t>Cmax</t>
  </si>
  <si>
    <t>KT</t>
  </si>
  <si>
    <t>=14.0235673*R</t>
  </si>
  <si>
    <t>Z/14.03566885</t>
  </si>
  <si>
    <t xml:space="preserve">Impedance correction factor as per IEC 60909 </t>
  </si>
  <si>
    <t>impedance corretion factor with ZT,XT,RT</t>
  </si>
  <si>
    <t>ZT*KT</t>
  </si>
  <si>
    <t>RT*KT</t>
  </si>
  <si>
    <t>XT*KT</t>
  </si>
  <si>
    <t>ZT</t>
  </si>
  <si>
    <t>RT</t>
  </si>
  <si>
    <t>XT</t>
  </si>
  <si>
    <t xml:space="preserve">For 220KV Rating Grid the R and X values are </t>
  </si>
  <si>
    <t>RG</t>
  </si>
  <si>
    <t>XG</t>
  </si>
  <si>
    <t xml:space="preserve"> RT=RG+(RT*KT)</t>
  </si>
  <si>
    <t>XT=XG+(XT*KT)</t>
  </si>
  <si>
    <t>ZT=SQRT(R)^2+(X)^2</t>
  </si>
  <si>
    <t>for 3ph fault currrent</t>
  </si>
  <si>
    <t>assume ,Vpf</t>
  </si>
  <si>
    <t>Base value of current,Ib =MVAb/sqrt(3)*Vlv</t>
  </si>
  <si>
    <t>pu=actual/base</t>
  </si>
  <si>
    <t>actual=pu*base</t>
  </si>
  <si>
    <t>By considering c factor =1.1</t>
  </si>
  <si>
    <t>RT=1.1*RG+RT*XT</t>
  </si>
  <si>
    <t>XT=1.1*XG+XT*KT</t>
  </si>
  <si>
    <t>For 3ph fault current</t>
  </si>
  <si>
    <t>assume Vpf=1</t>
  </si>
  <si>
    <t>If=Vpf/ZT</t>
  </si>
  <si>
    <t>base value of current,Ib=MVAb/sqrt(3)*Vlv</t>
  </si>
  <si>
    <t>KA</t>
  </si>
  <si>
    <t>for C factor =1.1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</si>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</sst>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u val="double"/>
      <sz val="11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0" fontId="0" fillId="3" borderId="0" xfId="0" applyFill="1"/>
    <xf numFmtId="0" fontId="1" fillId="4" borderId="0" xfId="0" applyFont="1" applyFill="1"/>
    <xf numFmtId="0" fontId="0" fillId="4" borderId="0" xfId="0" applyFill="1"/>
    <xf numFmtId="0" fontId="0" fillId="5" borderId="0" xfId="0" applyFill="1"/>
    <xf numFmtId="0" fontId="2" fillId="0" borderId="0" xfId="0" applyFont="1"/>
    <xf numFmtId="0" fontId="0" fillId="6" borderId="0" xfId="0" applyFill="1"/>
    <xf numFmtId="0" fontId="0" fillId="0" borderId="0" xfId="0" quotePrefix="1"/>
    <xf numFmtId="0" fontId="2" fillId="6" borderId="0" xfId="0" applyFont="1" applyFill="1"/>
    <xf numFmtId="0" fontId="0" fillId="2" borderId="0" xfId="0" applyFill="1" applyAlignment="1">
      <alignment horizontal="center"/>
    </xf>
    <xf numFmtId="0" fontId="0" fillId="7" borderId="0" xfId="0" applyFill="1"/>
    <xf numFmtId="0" fontId="0" fillId="8" borderId="0" xfId="0" applyFill="1"/>
    <xf numFmtId="0" fontId="0" fillId="9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33BD0-25D3-4461-91FC-5C291F8A5C01}">
  <dimension ref="A1:F36"/>
  <sheetViews>
    <sheetView zoomScale="107" workbookViewId="0">
      <selection activeCell="B29" sqref="B29"/>
    </sheetView>
  </sheetViews>
  <sheetFormatPr defaultRowHeight="14.4" x14ac:dyDescent="0.3"/>
  <sheetData>
    <row r="1" spans="1:6" x14ac:dyDescent="0.3">
      <c r="A1" t="s">
        <v>0</v>
      </c>
    </row>
    <row r="3" spans="1:6" x14ac:dyDescent="0.3">
      <c r="A3" t="s">
        <v>1</v>
      </c>
      <c r="B3">
        <v>11</v>
      </c>
      <c r="C3" t="s">
        <v>26</v>
      </c>
    </row>
    <row r="4" spans="1:6" x14ac:dyDescent="0.3">
      <c r="A4" t="s">
        <v>2</v>
      </c>
      <c r="B4">
        <v>100</v>
      </c>
    </row>
    <row r="7" spans="1:6" x14ac:dyDescent="0.3">
      <c r="A7" t="s">
        <v>3</v>
      </c>
      <c r="B7">
        <v>2.3120000000000002E-2</v>
      </c>
      <c r="C7" t="s">
        <v>7</v>
      </c>
    </row>
    <row r="8" spans="1:6" x14ac:dyDescent="0.3">
      <c r="A8" t="s">
        <v>4</v>
      </c>
      <c r="B8">
        <v>0.33144000000000001</v>
      </c>
      <c r="C8" t="s">
        <v>7</v>
      </c>
    </row>
    <row r="9" spans="1:6" x14ac:dyDescent="0.3">
      <c r="A9" t="s">
        <v>5</v>
      </c>
      <c r="B9">
        <v>1</v>
      </c>
      <c r="C9" t="s">
        <v>6</v>
      </c>
    </row>
    <row r="11" spans="1:6" x14ac:dyDescent="0.3">
      <c r="A11" t="s">
        <v>3</v>
      </c>
      <c r="B11">
        <f>B7*B9</f>
        <v>2.3120000000000002E-2</v>
      </c>
      <c r="C11" t="s">
        <v>8</v>
      </c>
    </row>
    <row r="12" spans="1:6" x14ac:dyDescent="0.3">
      <c r="A12" t="s">
        <v>4</v>
      </c>
      <c r="B12">
        <f>B8*B9</f>
        <v>0.33144000000000001</v>
      </c>
      <c r="C12" t="s">
        <v>8</v>
      </c>
    </row>
    <row r="14" spans="1:6" x14ac:dyDescent="0.3">
      <c r="A14" t="s">
        <v>9</v>
      </c>
      <c r="B14">
        <f>B3^2/B4</f>
        <v>1.21</v>
      </c>
      <c r="C14" t="s">
        <v>12</v>
      </c>
      <c r="D14" s="1" t="s">
        <v>10</v>
      </c>
      <c r="E14" s="1" t="s">
        <v>11</v>
      </c>
      <c r="F14" s="1"/>
    </row>
    <row r="17" spans="1:4" x14ac:dyDescent="0.3">
      <c r="A17" t="s">
        <v>3</v>
      </c>
      <c r="B17">
        <f>B11/B14</f>
        <v>1.9107438016528928E-2</v>
      </c>
    </row>
    <row r="18" spans="1:4" x14ac:dyDescent="0.3">
      <c r="A18" t="s">
        <v>4</v>
      </c>
      <c r="B18">
        <f>B12/B14</f>
        <v>0.27391735537190087</v>
      </c>
    </row>
    <row r="20" spans="1:4" x14ac:dyDescent="0.3">
      <c r="A20" t="s">
        <v>13</v>
      </c>
      <c r="B20">
        <f>B17*100</f>
        <v>1.9107438016528928</v>
      </c>
    </row>
    <row r="21" spans="1:4" x14ac:dyDescent="0.3">
      <c r="A21" t="s">
        <v>14</v>
      </c>
      <c r="B21">
        <f>B18*100</f>
        <v>27.391735537190087</v>
      </c>
    </row>
    <row r="23" spans="1:4" x14ac:dyDescent="0.3">
      <c r="A23" t="s">
        <v>15</v>
      </c>
      <c r="B23">
        <v>9.3487510000000006E-3</v>
      </c>
    </row>
    <row r="24" spans="1:4" x14ac:dyDescent="0.3">
      <c r="A24" t="s">
        <v>16</v>
      </c>
      <c r="B24">
        <v>0.13088251100000001</v>
      </c>
    </row>
    <row r="26" spans="1:4" x14ac:dyDescent="0.3">
      <c r="A26" t="s">
        <v>17</v>
      </c>
      <c r="B26">
        <f>B23+B17</f>
        <v>2.8456189016528931E-2</v>
      </c>
    </row>
    <row r="27" spans="1:4" x14ac:dyDescent="0.3">
      <c r="A27" t="s">
        <v>18</v>
      </c>
      <c r="B27">
        <f>B24+B18</f>
        <v>0.40479986637190091</v>
      </c>
    </row>
    <row r="28" spans="1:4" x14ac:dyDescent="0.3">
      <c r="A28" s="1" t="s">
        <v>19</v>
      </c>
      <c r="B28" s="1"/>
    </row>
    <row r="29" spans="1:4" x14ac:dyDescent="0.3">
      <c r="A29" t="s">
        <v>20</v>
      </c>
      <c r="B29">
        <f>SQRT(B26^2+B27^2)</f>
        <v>0.40579882516839949</v>
      </c>
    </row>
    <row r="31" spans="1:4" x14ac:dyDescent="0.3">
      <c r="A31" s="1" t="s">
        <v>21</v>
      </c>
      <c r="C31" t="s">
        <v>23</v>
      </c>
      <c r="D31">
        <v>1</v>
      </c>
    </row>
    <row r="32" spans="1:4" x14ac:dyDescent="0.3">
      <c r="A32" t="s">
        <v>22</v>
      </c>
      <c r="B32">
        <f>D31/B29</f>
        <v>2.464275246694017</v>
      </c>
    </row>
    <row r="33" spans="1:6" x14ac:dyDescent="0.3">
      <c r="E33" s="1" t="s">
        <v>24</v>
      </c>
      <c r="F33" s="1"/>
    </row>
    <row r="34" spans="1:6" x14ac:dyDescent="0.3">
      <c r="A34" t="s">
        <v>25</v>
      </c>
      <c r="B34">
        <f>(B4)/(SQRT(3)*B3)</f>
        <v>5.2486388108147795</v>
      </c>
    </row>
    <row r="36" spans="1:6" x14ac:dyDescent="0.3">
      <c r="A36" t="s">
        <v>27</v>
      </c>
      <c r="B36">
        <f>B32*B34</f>
        <v>12.934090700328383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B9311-DC52-4578-B9B7-471E0269C752}">
  <dimension ref="A1:D63"/>
  <sheetViews>
    <sheetView tabSelected="1" topLeftCell="A20" zoomScale="156" workbookViewId="0">
      <selection activeCell="A60" sqref="A60:B61"/>
    </sheetView>
  </sheetViews>
  <sheetFormatPr defaultRowHeight="14.4" x14ac:dyDescent="0.3"/>
  <cols>
    <col min="1" max="1" width="12.88671875" customWidth="1"/>
    <col min="2" max="2" width="11.5546875" customWidth="1"/>
  </cols>
  <sheetData>
    <row r="1" spans="1:4" x14ac:dyDescent="0.3">
      <c r="A1" s="3" t="s">
        <v>28</v>
      </c>
      <c r="B1" s="4"/>
      <c r="C1" s="4"/>
    </row>
    <row r="3" spans="1:4" x14ac:dyDescent="0.3">
      <c r="A3" t="s">
        <v>29</v>
      </c>
      <c r="B3">
        <v>100</v>
      </c>
    </row>
    <row r="4" spans="1:4" x14ac:dyDescent="0.3">
      <c r="A4" t="s">
        <v>30</v>
      </c>
      <c r="B4">
        <v>220</v>
      </c>
      <c r="C4" t="s">
        <v>31</v>
      </c>
    </row>
    <row r="5" spans="1:4" x14ac:dyDescent="0.3">
      <c r="A5" t="s">
        <v>32</v>
      </c>
      <c r="B5">
        <v>33</v>
      </c>
      <c r="C5" t="s">
        <v>31</v>
      </c>
      <c r="D5" s="2"/>
    </row>
    <row r="7" spans="1:4" x14ac:dyDescent="0.3">
      <c r="A7" s="5" t="s">
        <v>33</v>
      </c>
      <c r="B7" s="5"/>
      <c r="C7" s="5"/>
    </row>
    <row r="9" spans="1:4" x14ac:dyDescent="0.3">
      <c r="A9" t="s">
        <v>34</v>
      </c>
      <c r="B9" s="1" t="s">
        <v>37</v>
      </c>
      <c r="C9" s="1"/>
      <c r="D9" s="1"/>
    </row>
    <row r="11" spans="1:4" x14ac:dyDescent="0.3">
      <c r="B11">
        <f>(B3*1000)/(SQRT(3)*B4)</f>
        <v>262.43194054073899</v>
      </c>
    </row>
    <row r="13" spans="1:4" x14ac:dyDescent="0.3">
      <c r="A13" s="5" t="s">
        <v>35</v>
      </c>
      <c r="B13" s="5"/>
      <c r="C13" s="5"/>
    </row>
    <row r="15" spans="1:4" x14ac:dyDescent="0.3">
      <c r="A15" t="s">
        <v>36</v>
      </c>
      <c r="B15" s="1" t="s">
        <v>38</v>
      </c>
      <c r="C15" s="1"/>
      <c r="D15" s="1"/>
    </row>
    <row r="17" spans="1:4" x14ac:dyDescent="0.3">
      <c r="B17">
        <f>(B3*1000)/(SQRT(3)*B5)</f>
        <v>1749.5462702715934</v>
      </c>
    </row>
    <row r="19" spans="1:4" x14ac:dyDescent="0.3">
      <c r="A19" t="s">
        <v>92</v>
      </c>
      <c r="B19">
        <v>10</v>
      </c>
    </row>
    <row r="20" spans="1:4" x14ac:dyDescent="0.3">
      <c r="A20" t="s">
        <v>93</v>
      </c>
      <c r="B20">
        <v>0.995</v>
      </c>
    </row>
    <row r="21" spans="1:4" x14ac:dyDescent="0.3">
      <c r="A21" t="s">
        <v>94</v>
      </c>
      <c r="B21">
        <v>9.9499999999999993</v>
      </c>
    </row>
    <row r="23" spans="1:4" x14ac:dyDescent="0.3">
      <c r="A23" s="9" t="s">
        <v>95</v>
      </c>
      <c r="B23" s="7"/>
    </row>
    <row r="24" spans="1:4" x14ac:dyDescent="0.3">
      <c r="A24" t="s">
        <v>106</v>
      </c>
      <c r="B24">
        <f>B19/100</f>
        <v>0.1</v>
      </c>
      <c r="C24" t="s">
        <v>12</v>
      </c>
    </row>
    <row r="25" spans="1:4" x14ac:dyDescent="0.3">
      <c r="A25" t="s">
        <v>107</v>
      </c>
      <c r="B25">
        <f>B20/100</f>
        <v>9.9500000000000005E-3</v>
      </c>
      <c r="C25" t="s">
        <v>12</v>
      </c>
    </row>
    <row r="26" spans="1:4" x14ac:dyDescent="0.3">
      <c r="A26" t="s">
        <v>108</v>
      </c>
      <c r="B26">
        <f>B21/100</f>
        <v>9.9499999999999991E-2</v>
      </c>
      <c r="C26" t="s">
        <v>12</v>
      </c>
    </row>
    <row r="28" spans="1:4" x14ac:dyDescent="0.3">
      <c r="A28" s="7" t="s">
        <v>101</v>
      </c>
      <c r="B28" s="7"/>
      <c r="C28" s="7"/>
      <c r="D28" s="7"/>
    </row>
    <row r="29" spans="1:4" x14ac:dyDescent="0.3">
      <c r="A29" s="10" t="s">
        <v>96</v>
      </c>
      <c r="B29" s="10"/>
      <c r="C29" s="10"/>
    </row>
    <row r="30" spans="1:4" x14ac:dyDescent="0.3">
      <c r="A30" s="10"/>
      <c r="B30" s="10"/>
      <c r="C30" s="10"/>
    </row>
    <row r="31" spans="1:4" x14ac:dyDescent="0.3">
      <c r="A31" t="s">
        <v>97</v>
      </c>
      <c r="B31">
        <v>1.1000000000000001</v>
      </c>
      <c r="D31">
        <f>0.6*B26</f>
        <v>5.9699999999999989E-2</v>
      </c>
    </row>
    <row r="32" spans="1:4" x14ac:dyDescent="0.3">
      <c r="A32" t="s">
        <v>98</v>
      </c>
      <c r="B32">
        <f>0.95*(B31/D32)</f>
        <v>0.98612814947626681</v>
      </c>
      <c r="D32">
        <f>1+D31</f>
        <v>1.0597000000000001</v>
      </c>
    </row>
    <row r="34" spans="1:4" x14ac:dyDescent="0.3">
      <c r="A34" s="11" t="s">
        <v>102</v>
      </c>
      <c r="B34" s="11"/>
      <c r="C34" s="11"/>
      <c r="D34" s="11"/>
    </row>
    <row r="35" spans="1:4" x14ac:dyDescent="0.3">
      <c r="A35" t="s">
        <v>103</v>
      </c>
      <c r="B35">
        <f>B24*B32</f>
        <v>9.8612814947626692E-2</v>
      </c>
    </row>
    <row r="36" spans="1:4" x14ac:dyDescent="0.3">
      <c r="A36" t="s">
        <v>104</v>
      </c>
      <c r="B36">
        <f>B25*B32</f>
        <v>9.8119750872888555E-3</v>
      </c>
    </row>
    <row r="37" spans="1:4" x14ac:dyDescent="0.3">
      <c r="A37" t="s">
        <v>105</v>
      </c>
      <c r="B37">
        <f>B26*B32</f>
        <v>9.8119750872888545E-2</v>
      </c>
    </row>
    <row r="39" spans="1:4" x14ac:dyDescent="0.3">
      <c r="A39" s="12" t="s">
        <v>109</v>
      </c>
      <c r="B39" s="12"/>
      <c r="C39" s="12"/>
      <c r="D39" s="12"/>
    </row>
    <row r="40" spans="1:4" x14ac:dyDescent="0.3">
      <c r="A40" t="s">
        <v>110</v>
      </c>
      <c r="B40">
        <v>4.6743799999999998E-4</v>
      </c>
    </row>
    <row r="41" spans="1:4" x14ac:dyDescent="0.3">
      <c r="A41" t="s">
        <v>111</v>
      </c>
      <c r="B41">
        <v>6.5441259999999999E-3</v>
      </c>
    </row>
    <row r="43" spans="1:4" x14ac:dyDescent="0.3">
      <c r="A43" s="1" t="s">
        <v>114</v>
      </c>
      <c r="B43" s="1"/>
    </row>
    <row r="44" spans="1:4" x14ac:dyDescent="0.3">
      <c r="A44" s="1" t="s">
        <v>112</v>
      </c>
      <c r="B44" s="1"/>
    </row>
    <row r="45" spans="1:4" x14ac:dyDescent="0.3">
      <c r="A45" s="1" t="s">
        <v>113</v>
      </c>
      <c r="B45" s="1"/>
    </row>
    <row r="47" spans="1:4" x14ac:dyDescent="0.3">
      <c r="A47" t="s">
        <v>107</v>
      </c>
      <c r="B47">
        <f>B40+(B36)</f>
        <v>1.0279413087288856E-2</v>
      </c>
      <c r="C47" t="s">
        <v>8</v>
      </c>
    </row>
    <row r="48" spans="1:4" x14ac:dyDescent="0.3">
      <c r="A48" t="s">
        <v>108</v>
      </c>
      <c r="B48">
        <f>B41+(B37)</f>
        <v>0.10466387687288854</v>
      </c>
      <c r="C48" t="s">
        <v>8</v>
      </c>
    </row>
    <row r="49" spans="1:4" x14ac:dyDescent="0.3">
      <c r="A49" t="s">
        <v>106</v>
      </c>
      <c r="B49">
        <f>SQRT((B47)^2+(B48)^2)</f>
        <v>0.10516745435486349</v>
      </c>
      <c r="C49" t="s">
        <v>8</v>
      </c>
    </row>
    <row r="51" spans="1:4" x14ac:dyDescent="0.3">
      <c r="A51" s="4" t="s">
        <v>115</v>
      </c>
      <c r="B51" s="4"/>
    </row>
    <row r="52" spans="1:4" x14ac:dyDescent="0.3">
      <c r="A52" t="s">
        <v>116</v>
      </c>
      <c r="B52">
        <v>1</v>
      </c>
    </row>
    <row r="54" spans="1:4" x14ac:dyDescent="0.3">
      <c r="A54" t="s">
        <v>22</v>
      </c>
      <c r="B54">
        <f>B52/B49</f>
        <v>9.5086451044610154</v>
      </c>
      <c r="C54" t="s">
        <v>12</v>
      </c>
    </row>
    <row r="56" spans="1:4" x14ac:dyDescent="0.3">
      <c r="A56" s="12" t="s">
        <v>117</v>
      </c>
      <c r="B56" s="12"/>
      <c r="C56" s="12"/>
      <c r="D56" s="12"/>
    </row>
    <row r="58" spans="1:4" x14ac:dyDescent="0.3">
      <c r="A58" t="s">
        <v>25</v>
      </c>
      <c r="B58">
        <f>B3/((SQRT(3))*B5)</f>
        <v>1.7495462702715934</v>
      </c>
    </row>
    <row r="60" spans="1:4" x14ac:dyDescent="0.3">
      <c r="A60" s="13" t="s">
        <v>118</v>
      </c>
      <c r="B60" s="13"/>
    </row>
    <row r="61" spans="1:4" x14ac:dyDescent="0.3">
      <c r="A61" s="13" t="s">
        <v>119</v>
      </c>
      <c r="B61" s="13"/>
    </row>
    <row r="63" spans="1:4" x14ac:dyDescent="0.3">
      <c r="A63" t="s">
        <v>27</v>
      </c>
      <c r="B63">
        <f>B54*B58</f>
        <v>16.635814577846016</v>
      </c>
      <c r="C63" t="s">
        <v>59</v>
      </c>
    </row>
  </sheetData>
  <mergeCells count="1">
    <mergeCell ref="A29:C3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70083-3037-4BED-93B2-F82E4FF1C465}">
  <dimension ref="A1:D72"/>
  <sheetViews>
    <sheetView topLeftCell="A45" zoomScale="122" workbookViewId="0">
      <selection activeCell="G73" sqref="G73"/>
    </sheetView>
  </sheetViews>
  <sheetFormatPr defaultRowHeight="14.4" x14ac:dyDescent="0.3"/>
  <cols>
    <col min="1" max="1" width="12.88671875" customWidth="1"/>
  </cols>
  <sheetData>
    <row r="1" spans="1:4" x14ac:dyDescent="0.3">
      <c r="A1" s="3" t="s">
        <v>28</v>
      </c>
      <c r="B1" s="4"/>
      <c r="C1" s="4"/>
    </row>
    <row r="3" spans="1:4" x14ac:dyDescent="0.3">
      <c r="A3" t="s">
        <v>29</v>
      </c>
      <c r="B3">
        <v>100</v>
      </c>
    </row>
    <row r="4" spans="1:4" x14ac:dyDescent="0.3">
      <c r="A4" t="s">
        <v>30</v>
      </c>
      <c r="B4">
        <v>220</v>
      </c>
      <c r="C4" t="s">
        <v>31</v>
      </c>
    </row>
    <row r="5" spans="1:4" x14ac:dyDescent="0.3">
      <c r="A5" t="s">
        <v>32</v>
      </c>
      <c r="B5">
        <v>33</v>
      </c>
      <c r="C5" t="s">
        <v>31</v>
      </c>
      <c r="D5" s="2"/>
    </row>
    <row r="7" spans="1:4" x14ac:dyDescent="0.3">
      <c r="A7" s="5" t="s">
        <v>33</v>
      </c>
      <c r="B7" s="5"/>
      <c r="C7" s="5"/>
    </row>
    <row r="9" spans="1:4" x14ac:dyDescent="0.3">
      <c r="A9" t="s">
        <v>34</v>
      </c>
      <c r="B9" s="1" t="s">
        <v>37</v>
      </c>
      <c r="C9" s="1"/>
      <c r="D9" s="1"/>
    </row>
    <row r="11" spans="1:4" x14ac:dyDescent="0.3">
      <c r="B11">
        <f>(B3*1000)/(SQRT(3)*B4)</f>
        <v>262.43194054073899</v>
      </c>
    </row>
    <row r="13" spans="1:4" x14ac:dyDescent="0.3">
      <c r="A13" s="5" t="s">
        <v>35</v>
      </c>
      <c r="B13" s="5"/>
      <c r="C13" s="5"/>
    </row>
    <row r="15" spans="1:4" x14ac:dyDescent="0.3">
      <c r="A15" t="s">
        <v>36</v>
      </c>
      <c r="B15" s="1" t="s">
        <v>38</v>
      </c>
      <c r="C15" s="1"/>
      <c r="D15" s="1"/>
    </row>
    <row r="17" spans="1:4" x14ac:dyDescent="0.3">
      <c r="B17">
        <f>(B3*1000)/(SQRT(3)*B5)</f>
        <v>1749.5462702715934</v>
      </c>
    </row>
    <row r="19" spans="1:4" x14ac:dyDescent="0.3">
      <c r="A19" t="s">
        <v>92</v>
      </c>
      <c r="B19">
        <v>10</v>
      </c>
    </row>
    <row r="20" spans="1:4" x14ac:dyDescent="0.3">
      <c r="A20" t="s">
        <v>93</v>
      </c>
      <c r="B20">
        <v>0.995</v>
      </c>
    </row>
    <row r="21" spans="1:4" x14ac:dyDescent="0.3">
      <c r="A21" t="s">
        <v>94</v>
      </c>
      <c r="B21">
        <v>9.9499999999999993</v>
      </c>
    </row>
    <row r="23" spans="1:4" x14ac:dyDescent="0.3">
      <c r="A23" s="9" t="s">
        <v>95</v>
      </c>
      <c r="B23" s="7"/>
    </row>
    <row r="24" spans="1:4" x14ac:dyDescent="0.3">
      <c r="A24" t="s">
        <v>106</v>
      </c>
      <c r="B24">
        <f>B19/100</f>
        <v>0.1</v>
      </c>
      <c r="C24" t="s">
        <v>12</v>
      </c>
    </row>
    <row r="25" spans="1:4" x14ac:dyDescent="0.3">
      <c r="A25" t="s">
        <v>107</v>
      </c>
      <c r="B25">
        <f>B20/100</f>
        <v>9.9500000000000005E-3</v>
      </c>
      <c r="C25" t="s">
        <v>12</v>
      </c>
    </row>
    <row r="26" spans="1:4" x14ac:dyDescent="0.3">
      <c r="A26" t="s">
        <v>108</v>
      </c>
      <c r="B26">
        <f>B21/100</f>
        <v>9.9499999999999991E-2</v>
      </c>
      <c r="C26" t="s">
        <v>12</v>
      </c>
    </row>
    <row r="28" spans="1:4" x14ac:dyDescent="0.3">
      <c r="A28" s="7" t="s">
        <v>101</v>
      </c>
      <c r="B28" s="7"/>
      <c r="C28" s="7"/>
      <c r="D28" s="7"/>
    </row>
    <row r="29" spans="1:4" x14ac:dyDescent="0.3">
      <c r="A29" s="10" t="s">
        <v>96</v>
      </c>
      <c r="B29" s="10"/>
      <c r="C29" s="10"/>
    </row>
    <row r="30" spans="1:4" x14ac:dyDescent="0.3">
      <c r="A30" s="10"/>
      <c r="B30" s="10"/>
      <c r="C30" s="10"/>
    </row>
    <row r="31" spans="1:4" x14ac:dyDescent="0.3">
      <c r="A31" t="s">
        <v>97</v>
      </c>
      <c r="B31">
        <v>1.1000000000000001</v>
      </c>
      <c r="D31">
        <f>0.6*B26</f>
        <v>5.9699999999999989E-2</v>
      </c>
    </row>
    <row r="32" spans="1:4" x14ac:dyDescent="0.3">
      <c r="A32" t="s">
        <v>98</v>
      </c>
      <c r="B32">
        <f>0.95*(B31/D32)</f>
        <v>0.98612814947626681</v>
      </c>
      <c r="D32">
        <f>1+D31</f>
        <v>1.0597000000000001</v>
      </c>
    </row>
    <row r="34" spans="1:4" x14ac:dyDescent="0.3">
      <c r="A34" s="11" t="s">
        <v>102</v>
      </c>
      <c r="B34" s="11"/>
      <c r="C34" s="11"/>
      <c r="D34" s="11"/>
    </row>
    <row r="35" spans="1:4" x14ac:dyDescent="0.3">
      <c r="A35" t="s">
        <v>103</v>
      </c>
      <c r="B35">
        <f>B24*B32</f>
        <v>9.8612814947626692E-2</v>
      </c>
    </row>
    <row r="36" spans="1:4" x14ac:dyDescent="0.3">
      <c r="A36" t="s">
        <v>104</v>
      </c>
      <c r="B36">
        <f>B25*B32</f>
        <v>9.8119750872888555E-3</v>
      </c>
    </row>
    <row r="37" spans="1:4" x14ac:dyDescent="0.3">
      <c r="A37" t="s">
        <v>105</v>
      </c>
      <c r="B37">
        <f>B26*B32</f>
        <v>9.8119750872888545E-2</v>
      </c>
    </row>
    <row r="39" spans="1:4" x14ac:dyDescent="0.3">
      <c r="A39" s="12" t="s">
        <v>109</v>
      </c>
      <c r="B39" s="12"/>
      <c r="C39" s="12"/>
      <c r="D39" s="12"/>
    </row>
    <row r="40" spans="1:4" x14ac:dyDescent="0.3">
      <c r="A40" t="s">
        <v>110</v>
      </c>
      <c r="B40">
        <v>4.6743799999999998E-4</v>
      </c>
    </row>
    <row r="41" spans="1:4" x14ac:dyDescent="0.3">
      <c r="A41" t="s">
        <v>111</v>
      </c>
      <c r="B41">
        <v>6.5441259999999999E-3</v>
      </c>
    </row>
    <row r="43" spans="1:4" x14ac:dyDescent="0.3">
      <c r="A43" s="13" t="s">
        <v>120</v>
      </c>
      <c r="B43" s="13"/>
      <c r="C43" s="13"/>
    </row>
    <row r="44" spans="1:4" x14ac:dyDescent="0.3">
      <c r="C44">
        <v>1.1000000000000001</v>
      </c>
    </row>
    <row r="45" spans="1:4" x14ac:dyDescent="0.3">
      <c r="A45" s="11" t="s">
        <v>121</v>
      </c>
      <c r="B45" s="11"/>
    </row>
    <row r="46" spans="1:4" x14ac:dyDescent="0.3">
      <c r="A46" s="11" t="s">
        <v>122</v>
      </c>
      <c r="B46" s="11"/>
    </row>
    <row r="47" spans="1:4" x14ac:dyDescent="0.3">
      <c r="A47" s="11" t="s">
        <v>114</v>
      </c>
      <c r="B47" s="11"/>
    </row>
    <row r="49" spans="1:4" x14ac:dyDescent="0.3">
      <c r="A49" s="11" t="s">
        <v>107</v>
      </c>
      <c r="B49">
        <f>C44*B40+B36</f>
        <v>1.0326156887288855E-2</v>
      </c>
    </row>
    <row r="50" spans="1:4" x14ac:dyDescent="0.3">
      <c r="A50" s="11" t="s">
        <v>108</v>
      </c>
      <c r="B50">
        <f>C44*B41+B37</f>
        <v>0.10531828947288854</v>
      </c>
    </row>
    <row r="51" spans="1:4" x14ac:dyDescent="0.3">
      <c r="A51" s="11" t="s">
        <v>106</v>
      </c>
      <c r="B51">
        <f>SQRT((B49)^2+(B50)^2)</f>
        <v>0.10582330373578425</v>
      </c>
    </row>
    <row r="53" spans="1:4" x14ac:dyDescent="0.3">
      <c r="A53" s="1" t="s">
        <v>123</v>
      </c>
      <c r="B53" s="1"/>
    </row>
    <row r="54" spans="1:4" x14ac:dyDescent="0.3">
      <c r="A54" s="11" t="s">
        <v>124</v>
      </c>
    </row>
    <row r="55" spans="1:4" x14ac:dyDescent="0.3">
      <c r="A55" s="11"/>
    </row>
    <row r="56" spans="1:4" x14ac:dyDescent="0.3">
      <c r="A56" s="11" t="s">
        <v>23</v>
      </c>
      <c r="B56">
        <v>1</v>
      </c>
    </row>
    <row r="57" spans="1:4" x14ac:dyDescent="0.3">
      <c r="A57" s="1" t="s">
        <v>125</v>
      </c>
    </row>
    <row r="59" spans="1:4" x14ac:dyDescent="0.3">
      <c r="A59" s="11" t="s">
        <v>22</v>
      </c>
      <c r="B59">
        <f>B56/B51</f>
        <v>9.4497144267652367</v>
      </c>
    </row>
    <row r="61" spans="1:4" x14ac:dyDescent="0.3">
      <c r="A61" s="1" t="s">
        <v>126</v>
      </c>
      <c r="B61" s="1"/>
      <c r="C61" s="1"/>
      <c r="D61" s="1"/>
    </row>
    <row r="63" spans="1:4" x14ac:dyDescent="0.3">
      <c r="A63" t="s">
        <v>25</v>
      </c>
      <c r="B63">
        <f>B3/((SQRT(3))*B5)</f>
        <v>1.7495462702715934</v>
      </c>
      <c r="C63" t="s">
        <v>127</v>
      </c>
    </row>
    <row r="65" spans="1:3" x14ac:dyDescent="0.3">
      <c r="A65" s="13" t="s">
        <v>118</v>
      </c>
      <c r="B65" s="13"/>
    </row>
    <row r="66" spans="1:3" x14ac:dyDescent="0.3">
      <c r="A66" s="13" t="s">
        <v>119</v>
      </c>
      <c r="B66" s="13"/>
    </row>
    <row r="68" spans="1:3" x14ac:dyDescent="0.3">
      <c r="A68" t="s">
        <v>27</v>
      </c>
      <c r="B68">
        <f>B59*B63</f>
        <v>16.532712630478787</v>
      </c>
      <c r="C68" t="s">
        <v>127</v>
      </c>
    </row>
    <row r="70" spans="1:3" x14ac:dyDescent="0.3">
      <c r="A70" s="12" t="s">
        <v>128</v>
      </c>
      <c r="B70" s="12"/>
    </row>
    <row r="71" spans="1:3" x14ac:dyDescent="0.3">
      <c r="B71">
        <v>1.1000000000000001</v>
      </c>
    </row>
    <row r="72" spans="1:3" x14ac:dyDescent="0.3">
      <c r="A72" t="s">
        <v>27</v>
      </c>
      <c r="B72">
        <f>B71*B68</f>
        <v>18.185983893526668</v>
      </c>
      <c r="C72" t="s">
        <v>127</v>
      </c>
    </row>
  </sheetData>
  <mergeCells count="1">
    <mergeCell ref="A29:C3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5F4EF-AAD0-46AE-9123-F9B2ABB52C81}">
  <dimension ref="A1:I31"/>
  <sheetViews>
    <sheetView topLeftCell="A6" zoomScale="85" zoomScaleNormal="85" workbookViewId="0">
      <selection activeCell="H6" sqref="H6"/>
    </sheetView>
  </sheetViews>
  <sheetFormatPr defaultRowHeight="14.4" x14ac:dyDescent="0.3"/>
  <cols>
    <col min="6" max="6" width="11.88671875" customWidth="1"/>
  </cols>
  <sheetData>
    <row r="1" spans="1:9" x14ac:dyDescent="0.3">
      <c r="H1" t="s">
        <v>52</v>
      </c>
      <c r="I1">
        <v>20</v>
      </c>
    </row>
    <row r="2" spans="1:9" x14ac:dyDescent="0.3">
      <c r="A2" t="s">
        <v>50</v>
      </c>
      <c r="B2">
        <v>0.159</v>
      </c>
      <c r="H2" t="s">
        <v>53</v>
      </c>
      <c r="I2">
        <v>70</v>
      </c>
    </row>
    <row r="3" spans="1:9" x14ac:dyDescent="0.3">
      <c r="A3" t="s">
        <v>129</v>
      </c>
      <c r="B3">
        <v>11</v>
      </c>
      <c r="C3" t="s">
        <v>31</v>
      </c>
      <c r="D3">
        <v>100</v>
      </c>
      <c r="E3" t="s">
        <v>29</v>
      </c>
      <c r="H3" t="s">
        <v>54</v>
      </c>
      <c r="I3">
        <v>3.9300000000000003E-3</v>
      </c>
    </row>
    <row r="4" spans="1:9" x14ac:dyDescent="0.3">
      <c r="A4" t="s">
        <v>3</v>
      </c>
      <c r="B4">
        <f>(B2)*(1+(I3*(I1-I2)))</f>
        <v>0.1277565</v>
      </c>
      <c r="C4" t="s">
        <v>7</v>
      </c>
      <c r="F4" s="1" t="s">
        <v>51</v>
      </c>
      <c r="G4" s="1"/>
      <c r="H4" s="1"/>
    </row>
    <row r="5" spans="1:9" x14ac:dyDescent="0.3">
      <c r="A5" t="s">
        <v>4</v>
      </c>
      <c r="B5">
        <v>9.6199999999999994E-2</v>
      </c>
      <c r="C5" t="s">
        <v>7</v>
      </c>
    </row>
    <row r="6" spans="1:9" x14ac:dyDescent="0.3">
      <c r="A6" t="s">
        <v>39</v>
      </c>
      <c r="B6">
        <v>1</v>
      </c>
      <c r="C6" t="s">
        <v>6</v>
      </c>
      <c r="H6" t="b">
        <f>B4=(B2)*(1+(I3*(I1-I2)))</f>
        <v>1</v>
      </c>
    </row>
    <row r="9" spans="1:9" x14ac:dyDescent="0.3">
      <c r="A9" t="s">
        <v>3</v>
      </c>
      <c r="B9" s="1">
        <f>B4*B6</f>
        <v>0.1277565</v>
      </c>
      <c r="C9" s="1" t="s">
        <v>8</v>
      </c>
      <c r="D9" t="s">
        <v>40</v>
      </c>
    </row>
    <row r="10" spans="1:9" x14ac:dyDescent="0.3">
      <c r="A10" t="s">
        <v>4</v>
      </c>
      <c r="B10" s="1">
        <f>B5*B6</f>
        <v>9.6199999999999994E-2</v>
      </c>
      <c r="C10" s="1" t="s">
        <v>8</v>
      </c>
    </row>
    <row r="12" spans="1:9" x14ac:dyDescent="0.3">
      <c r="A12" t="s">
        <v>9</v>
      </c>
      <c r="B12">
        <f>(B3)^2/D3</f>
        <v>1.21</v>
      </c>
      <c r="C12" t="s">
        <v>10</v>
      </c>
      <c r="D12" s="1" t="s">
        <v>41</v>
      </c>
      <c r="E12" s="1"/>
    </row>
    <row r="15" spans="1:9" x14ac:dyDescent="0.3">
      <c r="A15" t="s">
        <v>42</v>
      </c>
      <c r="B15">
        <f>B9/B12</f>
        <v>0.10558388429752066</v>
      </c>
    </row>
    <row r="16" spans="1:9" x14ac:dyDescent="0.3">
      <c r="A16" t="s">
        <v>43</v>
      </c>
      <c r="B16">
        <f>B10/B12</f>
        <v>7.9504132231404956E-2</v>
      </c>
      <c r="D16" t="s">
        <v>15</v>
      </c>
      <c r="E16">
        <v>9.3487510000000006E-3</v>
      </c>
    </row>
    <row r="17" spans="1:6" x14ac:dyDescent="0.3">
      <c r="D17" t="s">
        <v>16</v>
      </c>
      <c r="E17">
        <v>0.13088251100000001</v>
      </c>
    </row>
    <row r="18" spans="1:6" x14ac:dyDescent="0.3">
      <c r="A18" t="s">
        <v>48</v>
      </c>
      <c r="B18">
        <f>E16+B15</f>
        <v>0.11493263529752067</v>
      </c>
    </row>
    <row r="19" spans="1:6" x14ac:dyDescent="0.3">
      <c r="A19" t="s">
        <v>49</v>
      </c>
      <c r="B19">
        <f>E17+B16</f>
        <v>0.21038664323140496</v>
      </c>
    </row>
    <row r="20" spans="1:6" x14ac:dyDescent="0.3">
      <c r="D20" t="s">
        <v>20</v>
      </c>
      <c r="E20" s="1" t="s">
        <v>44</v>
      </c>
      <c r="F20" s="1"/>
    </row>
    <row r="22" spans="1:6" x14ac:dyDescent="0.3">
      <c r="A22" t="s">
        <v>20</v>
      </c>
      <c r="B22">
        <f>SQRT((B18)^2+(B19)^2)</f>
        <v>0.23973328994240947</v>
      </c>
    </row>
    <row r="24" spans="1:6" x14ac:dyDescent="0.3">
      <c r="D24" t="s">
        <v>23</v>
      </c>
      <c r="E24">
        <v>1</v>
      </c>
    </row>
    <row r="25" spans="1:6" x14ac:dyDescent="0.3">
      <c r="D25" t="s">
        <v>22</v>
      </c>
      <c r="E25" s="1" t="s">
        <v>45</v>
      </c>
    </row>
    <row r="26" spans="1:6" x14ac:dyDescent="0.3">
      <c r="A26" t="s">
        <v>22</v>
      </c>
      <c r="B26">
        <f>E24/B22</f>
        <v>4.1713022010427814</v>
      </c>
    </row>
    <row r="27" spans="1:6" x14ac:dyDescent="0.3">
      <c r="D27" t="s">
        <v>25</v>
      </c>
      <c r="E27" s="1" t="s">
        <v>46</v>
      </c>
      <c r="F27" s="1"/>
    </row>
    <row r="28" spans="1:6" x14ac:dyDescent="0.3">
      <c r="A28" t="s">
        <v>25</v>
      </c>
      <c r="B28">
        <f>D3/(SQRT(3)*B3)</f>
        <v>5.2486388108147795</v>
      </c>
    </row>
    <row r="31" spans="1:6" x14ac:dyDescent="0.3">
      <c r="A31" t="s">
        <v>47</v>
      </c>
      <c r="B31">
        <f>B26*B28</f>
        <v>21.893658624030255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3016F3-3E0F-458C-9942-3C47BE02BAD1}">
  <dimension ref="A2:F54"/>
  <sheetViews>
    <sheetView topLeftCell="A23" zoomScale="153" workbookViewId="0">
      <selection activeCell="F31" sqref="F31"/>
    </sheetView>
  </sheetViews>
  <sheetFormatPr defaultRowHeight="14.4" x14ac:dyDescent="0.3"/>
  <cols>
    <col min="1" max="1" width="10.88671875" bestFit="1" customWidth="1"/>
    <col min="2" max="2" width="8.88671875" customWidth="1"/>
  </cols>
  <sheetData>
    <row r="2" spans="1:6" x14ac:dyDescent="0.3">
      <c r="A2" t="s">
        <v>83</v>
      </c>
      <c r="B2">
        <v>100</v>
      </c>
    </row>
    <row r="3" spans="1:6" x14ac:dyDescent="0.3">
      <c r="A3" t="s">
        <v>55</v>
      </c>
      <c r="B3">
        <v>11</v>
      </c>
      <c r="C3" t="s">
        <v>31</v>
      </c>
      <c r="D3" s="1" t="s">
        <v>57</v>
      </c>
      <c r="E3" s="1"/>
    </row>
    <row r="4" spans="1:6" x14ac:dyDescent="0.3">
      <c r="A4" t="s">
        <v>56</v>
      </c>
      <c r="B4">
        <f>B3/SQRT(3)</f>
        <v>6.3508529610858835</v>
      </c>
      <c r="C4" t="s">
        <v>31</v>
      </c>
    </row>
    <row r="6" spans="1:6" x14ac:dyDescent="0.3">
      <c r="A6" t="s">
        <v>58</v>
      </c>
      <c r="B6">
        <v>40</v>
      </c>
      <c r="C6" t="s">
        <v>59</v>
      </c>
      <c r="D6" t="s">
        <v>61</v>
      </c>
      <c r="E6">
        <v>40</v>
      </c>
      <c r="F6" t="s">
        <v>59</v>
      </c>
    </row>
    <row r="7" spans="1:6" x14ac:dyDescent="0.3">
      <c r="A7" t="s">
        <v>60</v>
      </c>
      <c r="B7">
        <v>14</v>
      </c>
      <c r="D7" t="s">
        <v>62</v>
      </c>
      <c r="E7">
        <v>14</v>
      </c>
    </row>
    <row r="10" spans="1:6" x14ac:dyDescent="0.3">
      <c r="A10" t="s">
        <v>63</v>
      </c>
      <c r="B10" s="1" t="s">
        <v>64</v>
      </c>
      <c r="C10" s="1"/>
    </row>
    <row r="11" spans="1:6" x14ac:dyDescent="0.3">
      <c r="B11">
        <f>SQRT(3)*B3*B6</f>
        <v>762.10235533030595</v>
      </c>
      <c r="C11" t="s">
        <v>29</v>
      </c>
    </row>
    <row r="13" spans="1:6" x14ac:dyDescent="0.3">
      <c r="A13" t="s">
        <v>65</v>
      </c>
      <c r="B13" s="1" t="s">
        <v>66</v>
      </c>
    </row>
    <row r="14" spans="1:6" x14ac:dyDescent="0.3">
      <c r="B14">
        <f>B4*E6</f>
        <v>254.03411844343535</v>
      </c>
      <c r="C14" t="s">
        <v>29</v>
      </c>
    </row>
    <row r="16" spans="1:6" x14ac:dyDescent="0.3">
      <c r="A16" s="6" t="s">
        <v>67</v>
      </c>
      <c r="B16" s="6"/>
    </row>
    <row r="17" spans="1:3" x14ac:dyDescent="0.3">
      <c r="A17" s="7" t="s">
        <v>69</v>
      </c>
    </row>
    <row r="18" spans="1:3" x14ac:dyDescent="0.3">
      <c r="A18" t="s">
        <v>68</v>
      </c>
      <c r="B18">
        <f>B4/B6</f>
        <v>0.15877132402714708</v>
      </c>
    </row>
    <row r="20" spans="1:3" x14ac:dyDescent="0.3">
      <c r="A20" t="s">
        <v>70</v>
      </c>
      <c r="B20">
        <v>14</v>
      </c>
    </row>
    <row r="21" spans="1:3" x14ac:dyDescent="0.3">
      <c r="A21" t="s">
        <v>4</v>
      </c>
      <c r="B21">
        <f>B20*B32</f>
        <v>0.15836783843452246</v>
      </c>
    </row>
    <row r="23" spans="1:3" x14ac:dyDescent="0.3">
      <c r="A23" s="7" t="s">
        <v>71</v>
      </c>
      <c r="B23" s="7"/>
      <c r="C23" s="7"/>
    </row>
    <row r="26" spans="1:3" x14ac:dyDescent="0.3">
      <c r="B26" s="8" t="s">
        <v>72</v>
      </c>
    </row>
    <row r="27" spans="1:3" x14ac:dyDescent="0.3">
      <c r="B27" s="8" t="s">
        <v>73</v>
      </c>
    </row>
    <row r="28" spans="1:3" x14ac:dyDescent="0.3">
      <c r="A28" t="s">
        <v>75</v>
      </c>
      <c r="B28" s="8" t="s">
        <v>74</v>
      </c>
    </row>
    <row r="29" spans="1:3" x14ac:dyDescent="0.3">
      <c r="B29" s="8" t="s">
        <v>76</v>
      </c>
    </row>
    <row r="30" spans="1:3" x14ac:dyDescent="0.3">
      <c r="A30" t="s">
        <v>77</v>
      </c>
      <c r="B30" s="8" t="s">
        <v>99</v>
      </c>
    </row>
    <row r="31" spans="1:3" x14ac:dyDescent="0.3">
      <c r="A31" t="s">
        <v>3</v>
      </c>
      <c r="B31" t="s">
        <v>100</v>
      </c>
    </row>
    <row r="32" spans="1:3" x14ac:dyDescent="0.3">
      <c r="A32" t="s">
        <v>3</v>
      </c>
      <c r="B32">
        <f>B18/SQRT((B20*B20)+1)</f>
        <v>1.1311988459608747E-2</v>
      </c>
    </row>
    <row r="34" spans="1:3" x14ac:dyDescent="0.3">
      <c r="A34" s="6" t="s">
        <v>78</v>
      </c>
      <c r="B34" s="6"/>
      <c r="C34" s="6"/>
    </row>
    <row r="35" spans="1:3" x14ac:dyDescent="0.3">
      <c r="A35" s="7" t="s">
        <v>79</v>
      </c>
      <c r="B35" s="7"/>
    </row>
    <row r="37" spans="1:3" x14ac:dyDescent="0.3">
      <c r="A37" t="s">
        <v>80</v>
      </c>
      <c r="B37">
        <f>(3*B4/E6)-2*B18</f>
        <v>0.15877132402714705</v>
      </c>
    </row>
    <row r="38" spans="1:3" x14ac:dyDescent="0.3">
      <c r="A38" t="s">
        <v>81</v>
      </c>
      <c r="B38">
        <f>B18/SQRT((B20*B20)+1)</f>
        <v>1.1311988459608747E-2</v>
      </c>
    </row>
    <row r="39" spans="1:3" x14ac:dyDescent="0.3">
      <c r="A39" t="s">
        <v>82</v>
      </c>
      <c r="B39">
        <f>B20*B32</f>
        <v>0.15836783843452246</v>
      </c>
    </row>
    <row r="41" spans="1:3" x14ac:dyDescent="0.3">
      <c r="A41" s="1" t="s">
        <v>41</v>
      </c>
      <c r="B41" s="1"/>
    </row>
    <row r="42" spans="1:3" x14ac:dyDescent="0.3">
      <c r="A42">
        <f>(B3)^2/B2</f>
        <v>1.21</v>
      </c>
    </row>
    <row r="44" spans="1:3" x14ac:dyDescent="0.3">
      <c r="A44" s="6" t="s">
        <v>84</v>
      </c>
    </row>
    <row r="46" spans="1:3" x14ac:dyDescent="0.3">
      <c r="A46" t="s">
        <v>85</v>
      </c>
      <c r="B46">
        <f>B37/A42</f>
        <v>0.13121597027036946</v>
      </c>
    </row>
    <row r="47" spans="1:3" x14ac:dyDescent="0.3">
      <c r="A47" t="s">
        <v>87</v>
      </c>
      <c r="B47">
        <f>B38/A42</f>
        <v>9.34875079306508E-3</v>
      </c>
    </row>
    <row r="48" spans="1:3" x14ac:dyDescent="0.3">
      <c r="A48" t="s">
        <v>86</v>
      </c>
      <c r="B48">
        <f>B39/A42</f>
        <v>0.13088251110291113</v>
      </c>
    </row>
    <row r="50" spans="1:2" x14ac:dyDescent="0.3">
      <c r="A50" s="6" t="s">
        <v>88</v>
      </c>
    </row>
    <row r="52" spans="1:2" x14ac:dyDescent="0.3">
      <c r="A52" t="s">
        <v>89</v>
      </c>
      <c r="B52">
        <f>B46*100</f>
        <v>13.121597027036946</v>
      </c>
    </row>
    <row r="53" spans="1:2" x14ac:dyDescent="0.3">
      <c r="A53" t="s">
        <v>90</v>
      </c>
      <c r="B53">
        <f>B47*100</f>
        <v>0.93487507930650804</v>
      </c>
    </row>
    <row r="54" spans="1:2" x14ac:dyDescent="0.3">
      <c r="A54" t="s">
        <v>91</v>
      </c>
      <c r="B54">
        <f>B48*100</f>
        <v>13.088251110291113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Transmission line </vt:lpstr>
      <vt:lpstr>Transformer calculations</vt:lpstr>
      <vt:lpstr>C factor=1.1</vt:lpstr>
      <vt:lpstr>Cable Calculations</vt:lpstr>
      <vt:lpstr>Grid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Narendra Meesala</dc:creator>
  <cp:lastModifiedBy>Narendra Meesala</cp:lastModifiedBy>
  <dcterms:created xsi:type="dcterms:W3CDTF">2025-05-28T10:42:58Z</dcterms:created>
  <dcterms:modified xsi:type="dcterms:W3CDTF">2025-05-30T17:26:45Z</dcterms:modified>
</cp:coreProperties>
</file>