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jin\OneDrive\Desktop\UTA Assignments\Module-1 Challenge\"/>
    </mc:Choice>
  </mc:AlternateContent>
  <xr:revisionPtr revIDLastSave="0" documentId="13_ncr:1_{C65BEB90-082E-42E6-990B-ACC9BACA384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rowdfunding" sheetId="1" r:id="rId1"/>
    <sheet name="Sheet1" sheetId="3" r:id="rId2"/>
    <sheet name="Sheet2" sheetId="17" r:id="rId3"/>
    <sheet name="Sheet3" sheetId="14" r:id="rId4"/>
    <sheet name="Sheet4" sheetId="15" r:id="rId5"/>
    <sheet name="Sheet5" sheetId="18" r:id="rId6"/>
  </sheets>
  <calcPr calcId="191029"/>
  <pivotCaches>
    <pivotCache cacheId="33" r:id="rId7"/>
    <pivotCache cacheId="3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12" i="15"/>
  <c r="H13" i="15"/>
  <c r="H2" i="15"/>
  <c r="G3" i="15"/>
  <c r="G4" i="15"/>
  <c r="G5" i="15"/>
  <c r="G6" i="15"/>
  <c r="G7" i="15"/>
  <c r="G8" i="15"/>
  <c r="G9" i="15"/>
  <c r="G10" i="15"/>
  <c r="G11" i="15"/>
  <c r="G12" i="15"/>
  <c r="G13" i="15"/>
  <c r="G2" i="15"/>
  <c r="F3" i="15"/>
  <c r="F4" i="15"/>
  <c r="F5" i="15"/>
  <c r="F6" i="15"/>
  <c r="F7" i="15"/>
  <c r="F8" i="15"/>
  <c r="F9" i="15"/>
  <c r="F10" i="15"/>
  <c r="F11" i="15"/>
  <c r="F12" i="15"/>
  <c r="F13" i="15"/>
  <c r="F2" i="15"/>
  <c r="M15" i="18"/>
  <c r="M14" i="18"/>
  <c r="M13" i="18"/>
  <c r="M12" i="18"/>
  <c r="M11" i="18"/>
  <c r="M10" i="18"/>
  <c r="I15" i="18"/>
  <c r="I14" i="18"/>
  <c r="I13" i="18"/>
  <c r="I12" i="18"/>
  <c r="I11" i="18"/>
  <c r="I10" i="1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E5" i="15"/>
  <c r="E2" i="15"/>
  <c r="C2" i="15"/>
  <c r="E3" i="15"/>
  <c r="E4" i="15"/>
  <c r="E6" i="15"/>
  <c r="E7" i="15"/>
  <c r="E8" i="15"/>
  <c r="E9" i="15"/>
  <c r="E10" i="15"/>
  <c r="E11" i="15"/>
  <c r="E12" i="15"/>
  <c r="E13" i="15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B13" i="15"/>
  <c r="B12" i="15"/>
  <c r="B11" i="15"/>
  <c r="B10" i="15"/>
  <c r="B9" i="15"/>
  <c r="B8" i="15"/>
  <c r="B7" i="15"/>
  <c r="B6" i="15"/>
  <c r="B5" i="15"/>
  <c r="B4" i="15"/>
  <c r="B3" i="15"/>
  <c r="B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<sst xmlns="http://schemas.openxmlformats.org/spreadsheetml/2006/main" count="7068" uniqueCount="2114">
  <si>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</si>
  <si>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</si>
  <si>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</si>
  <si>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</si>
  <si>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</si>
  <si>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</si>
  <si>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</si>
  <si>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</si>
  <si>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</si>
  <si>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</si>
  <si>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</si>
  <si>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</si>
  <si>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</si>
  <si>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</si>
  <si>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</si>
  <si>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</si>
  <si>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</si>
  <si>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</si>
  <si>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</si>
  <si>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</si>
  <si>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</si>
  <si>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</si>
  <si>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</si>
  <si>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</si>
  <si>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</si>
  <si>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</si>
  <si>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</si>
  <si>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</si>
  <si>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</si>
  <si>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</si>
  <si>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</si>
  <si>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</si>
  <si>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</si>
  <si>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</si>
  <si>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</si>
  <si>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</si>
  <si>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</si>
  <si>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</si>
  <si>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</si>
  <si>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</si>
  <si>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</si>
  <si>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</si>
  <si>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</si>
  <si>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</si>
  <si>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</si>
  <si>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</si>
  <si>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</si>
  <si>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</si>
  <si>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</si>
  <si>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</si>
  <si>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</si>
  <si>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</si>
  <si>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</si>
  <si>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</si>
  <si>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</si>
  <si>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</si>
  <si>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</si>
  <si>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</si>
  <si>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</si>
  <si>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</si>
  <si>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</si>
  <si>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</si>
  <si>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</si>
  <si>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</si>
  <si>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</si>
  <si>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</si>
  <si>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</si>
  <si>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</si>
  <si>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</si>
  <si>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</si>
  <si>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</si>
  <si>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</si>
  <si>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</si>
  <si>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</si>
  <si>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</si>
  <si>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</si>
  <si>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</si>
  <si>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</si>
  <si>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</si>
  <si>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</si>
  <si>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</si>
  <si>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</si>
  <si>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</si>
  <si>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</si>
  <si>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</si>
  <si>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</si>
  <si>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</si>
  <si>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</si>
  <si>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</si>
  <si>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</si>
  <si>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</si>
  <si>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</si>
  <si>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</si>
  <si>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</si>
  <si>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</si>
  <si>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</si>
  <si>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</si>
  <si>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</si>
  <si>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</si>
  <si>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</si>
  <si>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</si>
  <si>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</si>
  <si>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</si>
  <si>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</si>
  <si>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</si>
  <si>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</si>
  <si>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</si>
  <si>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</si>
  <si>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</si>
  <si>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</si>
  <si>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</si>
  <si>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</si>
  <si>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</si>
  <si>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</si>
  <si>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</si>
  <si>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</si>
  <si>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</si>
  <si>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</si>
  <si>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</si>
  <si>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</si>
  <si>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</si>
  <si>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</si>
  <si>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</si>
  <si>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</si>
  <si>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</si>
  <si>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</si>
  <si>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</si>
  <si>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</si>
  <si>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</si>
  <si>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</si>
  <si>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</si>
  <si>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</si>
  <si>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</si>
  <si>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</si>
  <si>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</si>
  <si>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</si>
  <si>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</si>
  <si>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</si>
  <si>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</si>
  <si>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</si>
  <si>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</si>
  <si>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</si>
  <si>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</si>
  <si>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</si>
  <si>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</si>
  <si>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</si>
  <si>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</si>
  <si>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</si>
  <si>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</si>
  <si>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</si>
  <si>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</si>
  <si>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</si>
  <si>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</si>
  <si>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</si>
  <si>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</si>
  <si>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</si>
  <si>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</si>
  <si>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</si>
  <si>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</si>
  <si>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</si>
  <si>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</si>
  <si>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</si>
  <si>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</si>
  <si>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</si>
  <si>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</si>
  <si>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</si>
  <si>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</si>
  <si>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</si>
  <si>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</si>
  <si>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</si>
  <si>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</si>
  <si>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</si>
  <si>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</si>
  <si>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</si>
  <si>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</si>
  <si>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</si>
  <si>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</si>
  <si>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</si>
  <si>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</si>
  <si>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</si>
  <si>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</si>
  <si>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</si>
  <si>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</si>
  <si>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</si>
  <si>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</si>
  <si>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</si>
  <si>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</si>
  <si>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</si>
  <si>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</si>
  <si>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</si>
  <si>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</si>
  <si>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</si>
  <si>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</si>
  <si>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</si>
  <si>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</si>
  <si>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</si>
  <si>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</si>
  <si>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</si>
  <si>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</si>
  <si>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</si>
  <si>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</si>
  <si>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</si>
  <si>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</si>
  <si>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</si>
  <si>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</si>
  <si>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</si>
  <si>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</si>
  <si>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</si>
  <si>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</si>
  <si>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</si>
  <si>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</si>
  <si>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</si>
  <si>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</si>
  <si>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</si>
  <si>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</si>
  <si>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</si>
  <si>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</si>
  <si>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</si>
  <si>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</si>
  <si>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</si>
  <si>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</si>
  <si>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</si>
  <si>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</si>
  <si>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</si>
  <si>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</si>
  <si>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</si>
  <si>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</si>
  <si>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</si>
  <si>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</si>
  <si>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</si>
  <si>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</si>
  <si>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</si>
  <si>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</si>
  <si>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</si>
  <si>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</si>
  <si>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</si>
  <si>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</si>
  <si>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</si>
  <si>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</si>
  <si>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</si>
  <si>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</si>
  <si>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</si>
  <si>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</si>
  <si>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</si>
  <si>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</si>
  <si>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</si>
  <si>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</si>
  <si>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</si>
  <si>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</si>
  <si>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</si>
  <si>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</si>
  <si>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</si>
  <si>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</si>
  <si>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</si>
  <si>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</si>
  <si>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</si>
  <si>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</si>
  <si>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</si>
  <si>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</si>
  <si>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</si>
  <si>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</si>
  <si>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</si>
  <si>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</si>
  <si>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</si>
  <si>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</si>
  <si>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</si>
  <si>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</si>
  <si>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</si>
  <si>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</si>
  <si>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</si>
  <si>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</si>
  <si>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</si>
  <si>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</si>
  <si>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</si>
  <si>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</si>
  <si>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</si>
  <si>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</si>
  <si>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</si>
  <si>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</si>
  <si>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</si>
  <si>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</si>
  <si>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</si>
  <si>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</si>
  <si>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</si>
  <si>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</si>
  <si>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</si>
  <si>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</si>
  <si>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</si>
  <si>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</si>
  <si>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</si>
  <si>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</si>
  <si>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</si>
  <si>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</si>
  <si>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</si>
  <si>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</si>
  <si>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</si>
  <si>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</si>
  <si>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</si>
  <si>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</si>
  <si>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</si>
  <si>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</si>
  <si>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</si>
  <si>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</si>
  <si>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</si>
  <si>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</si>
  <si>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</si>
  <si>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</si>
  <si>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</si>
  <si>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</si>
  <si>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</si>
  <si>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</si>
  <si>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</si>
  <si>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</si>
  <si>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</si>
  <si>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</si>
  <si>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</si>
  <si>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</si>
  <si>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</si>
  <si>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</si>
  <si>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</si>
  <si>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</si>
  <si>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</si>
  <si>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</si>
  <si>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</si>
  <si>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</si>
  <si>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</si>
  <si>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</si>
  <si>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</si>
  <si>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</si>
  <si>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</si>
  <si>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</si>
  <si>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</si>
  <si>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</si>
  <si>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</si>
  <si>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</si>
  <si>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</si>
  <si>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</si>
  <si>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</si>
  <si>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</si>
  <si>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</si>
  <si>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</si>
  <si>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</si>
  <si>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</si>
  <si>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</si>
  <si>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</si>
  <si>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</si>
  <si>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</si>
  <si>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</si>
  <si>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</si>
  <si>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</si>
  <si>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</si>
  <si>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</si>
  <si>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</si>
  <si>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</si>
  <si>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</si>
  <si>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</si>
  <si>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</si>
  <si>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</si>
  <si>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</si>
  <si>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</si>
  <si>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</si>
  <si>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</si>
  <si>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</si>
  <si>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</si>
  <si>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</si>
  <si>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</si>
  <si>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</si>
  <si>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</si>
  <si>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</si>
  <si>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</si>
  <si>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</si>
  <si>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</si>
  <si>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</si>
  <si>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</si>
  <si>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</si>
  <si>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</si>
  <si>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</si>
  <si>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</si>
  <si>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</si>
  <si>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</si>
  <si>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</si>
  <si>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</si>
  <si>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</si>
  <si>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</si>
  <si>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</si>
  <si>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</si>
  <si>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</si>
  <si>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</si>
  <si>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</si>
  <si>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</si>
  <si>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</si>
  <si>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</si>
  <si>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</si>
  <si>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</si>
  <si>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</si>
  <si>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</si>
  <si>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</si>
  <si>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</si>
  <si>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</si>
  <si>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</si>
  <si>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</si>
  <si>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</si>
  <si>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</si>
  <si>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</si>
  <si>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</si>
  <si>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</si>
  <si>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</si>
  <si>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</si>
  <si>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</si>
  <si>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</si>
  <si>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</si>
  <si>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</si>
  <si>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</si>
  <si>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</si>
  <si>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</si>
  <si>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</si>
  <si>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</si>
  <si>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</si>
  <si>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</si>
  <si>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</si>
  <si>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</si>
  <si>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</si>
  <si>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</si>
  <si>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</si>
  <si>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</si>
  <si>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</si>
  <si>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</si>
  <si>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</si>
  <si>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</si>
  <si>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</si>
  <si>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</si>
  <si>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</si>
  <si>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</si>
  <si>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</si>
  <si>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</si>
  <si>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</si>
  <si>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</si>
  <si>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</si>
  <si>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</si>
  <si>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</si>
  <si>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</si>
  <si>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</si>
  <si>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</si>
  <si>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</si>
  <si>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</si>
  <si>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</si>
  <si>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</si>
  <si>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</si>
  <si>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</si>
  <si>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</si>
  <si>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</si>
  <si>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</si>
  <si>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</si>
  <si>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</si>
  <si>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</si>
  <si>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</si>
  <si>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</si>
  <si>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</si>
  <si>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</si>
  <si>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</si>
  <si>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</si>
  <si>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</si>
  <si>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</si>
  <si>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</si>
  <si>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</si>
  <si>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</si>
  <si>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</si>
  <si>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</si>
  <si>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</si>
  <si>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</si>
  <si>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</si>
  <si>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</si>
  <si>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</si>
  <si>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</si>
  <si>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</si>
  <si>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</si>
  <si>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</si>
  <si>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</si>
  <si>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</si>
  <si>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</si>
  <si>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</si>
  <si>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</si>
  <si>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</si>
  <si>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</si>
  <si>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</si>
  <si>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</si>
  <si>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</si>
  <si>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</si>
  <si>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</si>
  <si>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</si>
  <si>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</si>
  <si>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</si>
  <si>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</si>
  <si>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</si>
  <si>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</si>
  <si>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</si>
  <si>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</si>
  <si>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</si>
  <si>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</si>
  <si>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</si>
  <si>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</si>
  <si>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</si>
  <si>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</si>
  <si>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</si>
  <si>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</si>
  <si>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</si>
  <si>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</si>
  <si>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</si>
  <si>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</si>
  <si>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</si>
  <si>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</si>
  <si>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</si>
  <si>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</si>
  <si>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</si>
  <si>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</si>
  <si>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</si>
  <si>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</si>
  <si>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</si>
  <si>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</si>
  <si>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</si>
  <si>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</si>
  <si>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</si>
  <si>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</si>
  <si>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</si>
  <si>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</si>
  <si>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</si>
  <si>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</si>
  <si>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</si>
  <si>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</si>
  <si>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</si>
  <si>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</si>
  <si>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</si>
  <si>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</si>
  <si>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</si>
  <si>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</si>
  <si>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</si>
  <si>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</si>
  <si>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</si>
  <si>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</si>
  <si>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</si>
  <si>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</si>
  <si>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</si>
  <si>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</si>
  <si>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</si>
  <si>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</si>
  <si>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</si>
  <si>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</si>
  <si>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</si>
  <si>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</si>
  <si>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</si>
  <si>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</si>
  <si>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</si>
  <si>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</si>
  <si>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</si>
  <si>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</si>
  <si>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</si>
  <si>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</si>
  <si>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</si>
  <si>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</si>
  <si>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</si>
  <si>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</si>
  <si>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</si>
  <si>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</si>
  <si>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</si>
  <si>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</si>
  <si>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</si>
  <si>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</si>
  <si>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</si>
  <si>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</si>
  <si>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</si>
  <si>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</si>
  <si>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</si>
  <si>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</si>
  <si>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</si>
  <si>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</si>
  <si>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</si>
  <si>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</si>
  <si>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</si>
  <si>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</si>
  <si>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</si>
  <si>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</si>
  <si>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</si>
  <si>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</si>
  <si>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</si>
  <si>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</si>
  <si>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</si>
  <si>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</si>
  <si>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</si>
  <si>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</si>
  <si>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</si>
  <si>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</si>
  <si>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</si>
  <si>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</si>
  <si>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</si>
  <si>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</si>
  <si>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</si>
  <si>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</si>
  <si>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</si>
  <si>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</si>
  <si>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</si>
  <si>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</si>
  <si>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</si>
  <si>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</si>
  <si>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</si>
  <si>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</si>
  <si>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</si>
  <si>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</si>
  <si>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</si>
  <si>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</si>
  <si>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</si>
  <si>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</si>
  <si>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</si>
  <si>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</si>
  <si>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</si>
  <si>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</si>
  <si>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</si>
  <si>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</si>
  <si>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</si>
  <si>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</si>
  <si>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</si>
  <si>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</si>
  <si>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</si>
  <si>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</si>
  <si>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</si>
  <si>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</si>
  <si>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</si>
  <si>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</si>
  <si>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</si>
  <si>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</si>
  <si>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</si>
  <si>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</si>
  <si>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</si>
  <si>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</si>
  <si>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</si>
  <si>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</si>
  <si>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</si>
  <si>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</si>
  <si>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</si>
  <si>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</si>
  <si>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</si>
  <si>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</si>
  <si>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</si>
  <si>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</si>
  <si>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</si>
  <si>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</si>
  <si>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</si>
  <si>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</si>
  <si>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</si>
  <si>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</si>
  <si>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</si>
  <si>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</si>
  <si>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</si>
  <si>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</si>
  <si>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</si>
  <si>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</si>
  <si>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</si>
  <si>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</si>
  <si>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</si>
  <si>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</si>
  <si>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</si>
  <si>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</si>
  <si>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</si>
  <si>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</si>
  <si>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</si>
  <si>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</si>
  <si>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</si>
  <si>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</si>
  <si>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</si>
  <si>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</si>
  <si>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</si>
  <si>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</si>
  <si>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</si>
  <si>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</si>
  <si>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</si>
  <si>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</si>
  <si>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</si>
  <si>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</si>
  <si>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</si>
  <si>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</si>
  <si>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</si>
  <si>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</si>
  <si>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</si>
  <si>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</si>
  <si>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</si>
  <si>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</si>
  <si>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</si>
  <si>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</si>
  <si>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</si>
  <si>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</si>
  <si>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</si>
  <si>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</si>
  <si>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</si>
  <si>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</si>
  <si>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</si>
  <si>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</si>
  <si>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</si>
  <si>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</si>
  <si>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</si>
  <si>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</si>
  <si>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</si>
  <si>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</si>
  <si>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</si>
  <si>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</si>
  <si>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</si>
  <si>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</si>
  <si>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</si>
  <si>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</si>
  <si>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</si>
  <si>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</si>
  <si>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</si>
  <si>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</si>
  <si>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</si>
  <si>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</si>
  <si>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</si>
  <si>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</si>
  <si>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</si>
  <si>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</si>
  <si>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</si>
  <si>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</si>
  <si>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</si>
  <si>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</si>
  <si>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</si>
  <si>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</si>
  <si>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</si>
  <si>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</si>
  <si>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</si>
  <si>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</si>
  <si>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</si>
  <si>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</si>
  <si>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</si>
  <si>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</si>
  <si>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</si>
  <si>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</si>
  <si>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</si>
  <si>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</si>
  <si>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</si>
  <si>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</si>
  <si>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</si>
  <si>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</si>
  <si>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</si>
  <si>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</si>
  <si>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</si>
  <si>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</si>
  <si>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</si>
  <si>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</si>
  <si>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</si>
  <si>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</si>
  <si>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</si>
  <si>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</si>
  <si>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</si>
  <si>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</si>
  <si>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</si>
  <si>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</si>
  <si>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</si>
  <si>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</si>
  <si>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</si>
  <si>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</si>
  <si>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</si>
  <si>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</si>
  <si>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</si>
  <si>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</si>
  <si>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</si>
  <si>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</si>
  <si>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</si>
  <si>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</si>
  <si>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</si>
  <si>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</si>
  <si>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</si>
  <si>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</si>
  <si>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</si>
  <si>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</si>
  <si>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</si>
  <si>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</si>
  <si>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</si>
  <si>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</si>
  <si>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</si>
  <si>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</si>
  <si>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</si>
  <si>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</si>
  <si>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</si>
  <si>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</si>
  <si>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</si>
  <si>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</si>
  <si>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</si>
  <si>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</si>
  <si>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</si>
  <si>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</si>
  <si>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</si>
  <si>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</si>
  <si>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</si>
  <si>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</si>
  <si>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</si>
  <si>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</si>
  <si>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</si>
  <si>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</si>
  <si>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</si>
  <si>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</si>
  <si>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</si>
  <si>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</si>
  <si>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</si>
  <si>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</si>
  <si>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</si>
  <si>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</si>
  <si>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</si>
  <si>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</si>
  <si>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</si>
  <si>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</si>
  <si>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</si>
  <si>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</si>
  <si>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</si>
  <si>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</si>
  <si>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</si>
  <si>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</si>
  <si>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</si>
  <si>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</si>
  <si>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</si>
  <si>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</si>
  <si>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</si>
  <si>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</si>
  <si>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</si>
  <si>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</si>
  <si>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</si>
  <si>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</si>
  <si>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</si>
  <si>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</si>
  <si>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</si>
  <si>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</si>
  <si>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</si>
  <si>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</si>
  <si>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</si>
  <si>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</si>
  <si>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</si>
  <si>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</si>
  <si>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</si>
  <si>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</si>
  <si>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</si>
  <si>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</si>
  <si>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</si>
  <si>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</si>
  <si>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</si>
  <si>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</si>
  <si>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</si>
  <si>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</si>
  <si>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</si>
  <si>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</si>
  <si>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</si>
  <si>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</si>
  <si>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</si>
  <si>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</si>
  <si>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</si>
  <si>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</si>
  <si>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</si>
  <si>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</si>
  <si>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</si>
  <si>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</si>
  <si>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</si>
  <si>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</si>
  <si>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</si>
  <si>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</si>
  <si>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</si>
  <si>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</si>
  <si>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</si>
  <si>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</si>
  <si>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</si>
  <si>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</si>
  <si>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</si>
  <si>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</si>
  <si>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</si>
  <si>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</si>
  <si>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</si>
  <si>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</si>
  <si>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</si>
  <si>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</si>
  <si>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</si>
  <si>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</si>
  <si>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</si>
  <si>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</si>
  <si>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</si>
  <si>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</si>
  <si>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</si>
  <si>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</si>
  <si>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</si>
  <si>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</si>
  <si>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</si>
  <si>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</si>
  <si>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</si>
  <si>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</si>
  <si>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</si>
  <si>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</si>
  <si>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</si>
  <si>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</si>
  <si>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</si>
  <si>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</si>
  <si>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</si>
  <si>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</si>
  <si>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</si>
  <si>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</si>
  <si>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</si>
  <si>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</si>
  <si>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</si>
  <si>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</si>
  <si>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</si>
  <si>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</si>
  <si>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</si>
  <si>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</si>
  <si>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</si>
  <si>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</si>
  <si>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</si>
  <si>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</si>
  <si>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</si>
  <si>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</si>
  <si>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</si>
  <si>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</si>
  <si>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</si>
  <si>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</si>
  <si>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</si>
  <si>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</si>
  <si>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</si>
  <si>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</si>
  <si>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</si>
  <si>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</si>
  <si>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</si>
  <si>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</si>
  <si>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</si>
  <si>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</si>
  <si>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</si>
  <si>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</si>
  <si>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</si>
  <si>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</si>
  <si>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</si>
  <si>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</si>
  <si>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</si>
  <si>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</si>
  <si>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</si>
  <si>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</si>
  <si>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</si>
  <si>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</si>
  <si>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</si>
  <si>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</si>
  <si>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</si>
  <si>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</si>
  <si>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</si>
  <si>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</si>
  <si>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</si>
  <si>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</si>
  <si>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</si>
  <si>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</si>
  <si>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</si>
  <si>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</si>
  <si>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</si>
  <si>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</si>
  <si>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</si>
  <si>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</si>
  <si>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</si>
  <si>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</si>
  <si>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</si>
  <si>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</si>
  <si>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</si>
  <si>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</si>
  <si>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</si>
  <si>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</si>
  <si>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</si>
  <si>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</si>
  <si>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</si>
  <si>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</si>
  <si>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</si>
  <si>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</si>
  <si>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</si>
  <si>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</si>
  <si>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</si>
  <si>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</si>
  <si>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</si>
  <si>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</si>
  <si>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</si>
  <si>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</si>
  <si>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</si>
  <si>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</si>
  <si>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</si>
  <si>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</si>
  <si>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</si>
  <si>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</si>
  <si>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</si>
  <si>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</si>
  <si>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</si>
  <si>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</si>
  <si>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</si>
  <si>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</si>
  <si>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</si>
  <si>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</si>
  <si>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</si>
  <si>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</si>
  <si>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</si>
  <si>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</si>
  <si>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</si>
  <si>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</si>
  <si>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</si>
  <si>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</si>
  <si>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</si>
  <si>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</si>
  <si>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</si>
  <si>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</si>
  <si>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</si>
  <si>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</si>
  <si>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</si>
  <si>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</si>
  <si>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</si>
  <si>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</si>
  <si>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</si>
  <si>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</si>
  <si>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</si>
  <si>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</si>
  <si>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</si>
  <si>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</si>
  <si>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</si>
  <si>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</si>
  <si>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</si>
  <si>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</si>
  <si>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</si>
  <si>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</si>
  <si>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</si>
  <si>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</si>
  <si>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</si>
  <si>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</si>
  <si>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</si>
  <si>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</si>
  <si>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</si>
  <si>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</si>
  <si>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</si>
  <si>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</si>
  <si>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</si>
  <si>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</si>
  <si>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</si>
  <si>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</si>
  <si>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</si>
  <si>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</si>
  <si>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</si>
  <si>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</si>
  <si>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</si>
  <si>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</si>
  <si>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</si>
  <si>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</si>
  <si>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</si>
  <si>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</si>
  <si>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</si>
  <si>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</si>
  <si>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</si>
  <si>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</si>
  <si>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</si>
  <si>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</si>
  <si>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</si>
  <si>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</si>
  <si>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</si>
  <si>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</si>
  <si>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</si>
  <si>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</si>
  <si>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</si>
  <si>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</si>
  <si>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</si>
  <si>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</si>
  <si>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</si>
  <si>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</si>
  <si>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</si>
  <si>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</si>
  <si>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</si>
  <si>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</si>
  <si>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</si>
  <si>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</si>
  <si>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</si>
  <si>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</si>
  <si>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</si>
  <si>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</si>
  <si>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</si>
  <si>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</si>
  <si>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</si>
  <si>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</si>
  <si>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</si>
  <si>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</si>
  <si>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</si>
  <si>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</si>
  <si>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</si>
  <si>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</si>
  <si>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</si>
  <si>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</si>
  <si>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</si>
  <si>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</si>
  <si>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</si>
  <si>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</si>
  <si>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</si>
  <si>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</si>
  <si>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</si>
  <si>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</si>
  <si>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</si>
  <si>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</si>
  <si>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</si>
  <si>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</si>
  <si>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</si>
  <si>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</si>
  <si>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</si>
  <si>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</si>
  <si>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</si>
  <si>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</si>
  <si>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</si>
  <si>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</si>
  <si>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</si>
  <si>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</si>
  <si>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</si>
  <si>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</si>
  <si>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</si>
  <si>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</si>
  <si>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</si>
  <si>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</si>
  <si>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</si>
  <si>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</si>
  <si>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</si>
  <si>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</si>
  <si>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</si>
  <si>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</si>
  <si>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</si>
  <si>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</si>
  <si>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</si>
  <si>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</si>
  <si>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</si>
  <si>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</si>
  <si>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</si>
  <si>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</si>
  <si>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</si>
  <si>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</si>
  <si>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</si>
  <si>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</si>
  <si>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</si>
  <si>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</si>
  <si>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</si>
  <si>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</si>
  <si>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</si>
  <si>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</si>
  <si>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</si>
  <si>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</si>
  <si>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</si>
  <si>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</si>
  <si>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</si>
  <si>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</si>
  <si>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</si>
  <si>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</si>
  <si>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</si>
  <si>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</si>
  <si>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</si>
  <si>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</si>
  <si>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</si>
  <si>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</si>
  <si>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</si>
  <si>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</si>
  <si>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</si>
  <si>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</si>
  <si>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</si>
  <si>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</si>
  <si>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</si>
  <si>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</si>
  <si>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</si>
  <si>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</si>
  <si>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</si>
  <si>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</si>
  <si>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</si>
  <si>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</si>
  <si>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</si>
  <si>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</si>
  <si>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</si>
  <si>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</si>
  <si>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</si>
  <si>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</si>
  <si>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</si>
  <si>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</si>
  <si>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</si>
  <si>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</si>
  <si>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</si>
  <si>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</si>
  <si>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</si>
  <si>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</si>
  <si>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</si>
  <si>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</si>
  <si>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</si>
  <si>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</si>
  <si>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</si>
  <si>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</si>
  <si>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</si>
  <si>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</si>
  <si>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</si>
  <si>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</si>
  <si>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</si>
  <si>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</si>
  <si>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</si>
  <si>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</si>
  <si>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</si>
  <si>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</si>
  <si>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</si>
  <si>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</si>
  <si>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</si>
  <si>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</si>
  <si>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</si>
  <si>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</si>
  <si>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</si>
  <si>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</si>
  <si>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</si>
  <si>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</si>
  <si>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</si>
  <si>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</si>
  <si>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</si>
  <si>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</si>
  <si>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</si>
  <si>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</si>
  <si>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</si>
  <si>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</si>
  <si>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</si>
  <si>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</si>
  <si>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</si>
  <si>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</si>
  <si>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</si>
  <si>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</si>
  <si>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</si>
  <si>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</si>
  <si>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</si>
  <si>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</si>
  <si>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</si>
  <si>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</si>
  <si>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</si>
  <si>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</si>
  <si>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</si>
  <si>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</si>
  <si>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</si>
  <si>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</si>
  <si>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</si>
  <si>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</si>
  <si>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</si>
  <si>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</si>
  <si>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</si>
  <si>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</si>
  <si>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</si>
  <si>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</si>
  <si>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</si>
  <si>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</si>
  <si>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</si>
  <si>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</si>
  <si>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</si>
  <si>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</si>
  <si>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</si>
  <si>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</si>
  <si>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</si>
  <si>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</si>
  <si>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</si>
  <si>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</si>
  <si>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</si>
  <si>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</si>
  <si>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</si>
  <si>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</si>
  <si>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</si>
  <si>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</si>
  <si>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</si>
  <si>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</si>
  <si>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</si>
  <si>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</si>
  <si>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</si>
  <si>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</si>
  <si>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</si>
  <si>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</si>
  <si>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</si>
  <si>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</si>
  <si>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</si>
  <si>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</si>
  <si>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</si>
  <si>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</si>
  <si>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</si>
  <si>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</si>
  <si>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</si>
  <si>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</si>
  <si>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</si>
  <si>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</si>
  <si>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</si>
  <si>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</si>
  <si>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</si>
  <si>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</si>
  <si>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</si>
  <si>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</si>
  <si>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</si>
  <si>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</si>
  <si>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</si>
  <si>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</si>
  <si>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</si>
  <si>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</si>
  <si>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</si>
  <si>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</si>
  <si>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</si>
  <si>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</si>
  <si>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</si>
  <si>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</si>
  <si>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</si>
  <si>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</si>
  <si>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</si>
  <si>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</si>
  <si>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</si>
  <si>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</si>
  <si>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</si>
  <si>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</si>
  <si>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</si>
  <si>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</si>
  <si>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</si>
  <si>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</si>
  <si>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</si>
  <si>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</si>
  <si>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</si>
  <si>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</si>
  <si>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</si>
  <si>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</si>
  <si>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</si>
  <si>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</si>
  <si>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</si>
  <si>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</si>
  <si>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</si>
  <si>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</si>
  <si>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</si>
  <si>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</si>
  <si>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</si>
  <si>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</si>
  <si>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</si>
  <si>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</si>
  <si>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</si>
  <si>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</si>
  <si>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</si>
  <si>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</si>
  <si>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</si>
  <si>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</si>
  <si>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</si>
  <si>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</si>
  <si>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</si>
  <si>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</si>
  <si>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</si>
  <si>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</si>
  <si>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</si>
  <si>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</si>
  <si>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</si>
  <si>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</si>
  <si>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</si>
  <si>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</si>
  <si>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</si>
  <si>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</si>
  <si>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</si>
  <si>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</si>
  <si>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</si>
  <si>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</si>
  <si>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</si>
  <si>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</si>
  <si>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</si>
  <si>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</si>
  <si>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</si>
  <si>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</si>
  <si>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</si>
  <si>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</si>
  <si>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</si>
  <si>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</si>
  <si>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</si>
  <si>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</si>
  <si>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</si>
  <si>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</si>
  <si>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</si>
  <si>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</si>
  <si>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</si>
  <si>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</si>
  <si>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</si>
  <si>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</si>
  <si>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</si>
  <si>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</si>
  <si>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</si>
  <si>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</si>
  <si>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</si>
  <si>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</si>
  <si>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</si>
  <si>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</si>
  <si>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</si>
  <si>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</si>
  <si>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</si>
  <si>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</si>
  <si>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</si>
  <si>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</si>
  <si>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</si>
  <si>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</si>
  <si>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</si>
  <si>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</si>
  <si>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</si>
  <si>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</si>
  <si>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</si>
  <si>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</si>
  <si>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</si>
  <si>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</si>
  <si>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</si>
  <si>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</si>
  <si>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</si>
  <si>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</si>
  <si>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</si>
  <si>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</si>
  <si>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</si>
  <si>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</si>
  <si>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</si>
  <si>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</si>
  <si>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</si>
  <si>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</si>
  <si>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</si>
  <si>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</si>
  <si>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</si>
  <si>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</si>
  <si>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</si>
  <si>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</si>
  <si>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</si>
  <si>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</si>
  <si>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</si>
  <si>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</si>
  <si>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</si>
  <si>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</si>
  <si>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</si>
  <si>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</si>
  <si>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</si>
  <si>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</si>
  <si>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</si>
  <si>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</si>
  <si>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</si>
  <si>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</si>
  <si>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</si>
  <si>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</si>
  <si>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</si>
  <si>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</si>
  <si>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</si>
  <si>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</si>
  <si>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</si>
  <si>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</si>
  <si>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</si>
  <si>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</si>
  <si>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</si>
  <si>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</si>
  <si>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</si>
  <si>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</si>
  <si>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</si>
  <si>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</si>
  <si>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</si>
  <si>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</si>
  <si>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</si>
  <si>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</si>
  <si>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</si>
  <si>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</si>
  <si>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</si>
  <si>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</si>
  <si>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</si>
  <si>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</si>
  <si>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</si>
  <si>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</si>
  <si>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</si>
  <si>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</si>
  <si>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</si>
  <si>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</si>
  <si>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</si>
  <si>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</si>
  <si>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</si>
  <si>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</si>
  <si>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</si>
  <si>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</si>
  <si>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</si>
  <si>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</si>
  <si>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</si>
  <si>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</si>
  <si>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</si>
  <si>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</si>
  <si>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</si>
  <si>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</si>
  <si>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</si>
  <si>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</si>
  <si>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</si>
  <si>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</si>
  <si>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</si>
  <si>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</si>
  <si>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</si>
  <si>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</si>
  <si>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</si>
  <si>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</si>
  <si>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</si>
  <si>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</si>
  <si>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</si>
  <si>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</si>
  <si>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</si>
  <si>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</si>
  <si>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</si>
  <si>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</si>
  <si>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</si>
  <si>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</si>
  <si>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</si>
  <si>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</si>
  <si>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</si>
  <si>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</si>
  <si>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</si>
  <si>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</si>
  <si>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</si>
  <si>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</si>
  <si>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</si>
  <si>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</si>
  <si>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</si>
  <si>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</si>
  <si>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</si>
  <si>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</si>
  <si>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</si>
  <si>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</si>
  <si>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</si>
  <si>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</si>
  <si>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</si>
  <si>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</si>
  <si>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</si>
  <si>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</si>
  <si>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</si>
  <si>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</si>
  <si>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</si>
  <si>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</si>
  <si>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</si>
  <si>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</si>
  <si>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</si>
  <si>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</si>
  <si>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</si>
  <si>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</si>
  <si>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</si>
  <si>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</si>
  <si>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</si>
  <si>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</si>
  <si>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</si>
  <si>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</si>
  <si>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</si>
  <si>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</si>
  <si>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</si>
  <si>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</si>
  <si>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</si>
  <si>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</si>
  <si>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</si>
  <si>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</si>
  <si>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</si>
  <si>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</si>
  <si>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</si>
  <si>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</si>
  <si>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</si>
  <si>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</si>
  <si>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</si>
  <si>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</si>
  <si>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</si>
  <si>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</si>
  <si>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</si>
  <si>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</si>
  <si>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</si>
  <si>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</si>
  <si>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</si>
  <si>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</si>
  <si>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</si>
  <si>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</si>
  <si>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</si>
  <si>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</si>
  <si>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</si>
  <si>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</si>
  <si>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</si>
  <si>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</si>
  <si>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</si>
  <si>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</si>
  <si>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</si>
  <si>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</si>
  <si>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</si>
  <si>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</si>
  <si>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</si>
  <si>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</si>
  <si>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</si>
  <si>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</si>
  <si>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</si>
  <si>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</si>
  <si>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</si>
  <si>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</si>
  <si>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</si>
  <si>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</si>
  <si>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</si>
  <si>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</si>
  <si>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</si>
  <si>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</si>
  <si>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</si>
  <si>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</si>
  <si>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</si>
  <si>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</si>
  <si>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</si>
  <si>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</si>
  <si>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</si>
  <si>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</si>
  <si>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</si>
  <si>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</si>
  <si>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</si>
  <si>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</si>
  <si>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</si>
  <si>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</si>
  <si>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</si>
  <si>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</si>
  <si>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</si>
  <si>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</si>
  <si>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</si>
  <si>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</si>
  <si>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</si>
  <si>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</si>
  <si>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</si>
  <si>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</si>
  <si>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</si>
  <si>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</si>
  <si>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</si>
  <si>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</si>
  <si>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</si>
  <si>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</si>
  <si>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</si>
  <si>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</si>
  <si>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</si>
  <si>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</si>
  <si>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</si>
  <si>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</si>
  <si>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</si>
  <si>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</si>
  <si>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</si>
  <si>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</si>
  <si>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</si>
  <si>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</si>
  <si>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</si>
  <si>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</si>
  <si>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</si>
  <si>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</si>
  <si>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</si>
  <si>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</si>
  <si>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</si>
  <si>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</si>
  <si>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</si>
  <si>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</si>
  <si>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</si>
  <si>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</si>
  <si>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</si>
  <si>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</si>
  <si>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</si>
  <si>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</si>
  <si>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</si>
  <si>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</si>
  <si>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</si>
  <si>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</si>
  <si>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</si>
  <si>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</si>
  <si>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</si>
  <si>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</si>
  <si>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</si>
  <si>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</si>
  <si>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</si>
  <si>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</si>
  <si>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</si>
  <si>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</si>
  <si>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</si>
  <si>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</si>
  <si>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</si>
  <si>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</si>
  <si>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</si>
  <si>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</si>
  <si>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</si>
  <si>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</si>
  <si>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</si>
  <si>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</si>
  <si>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</si>
  <si>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</si>
  <si>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</si>
  <si>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</si>
  <si>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</si>
  <si>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</si>
  <si>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</si>
  <si>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</si>
  <si>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</si>
  <si>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</si>
  <si>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</si>
  <si>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</si>
  <si>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</si>
  <si>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</si>
  <si>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</si>
  <si>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</si>
  <si>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</si>
  <si>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</si>
  <si>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</si>
  <si>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</si>
  <si>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</si>
  <si>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</si>
  <si>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</si>
  <si>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</si>
  <si>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</si>
  <si>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</si>
  <si>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</si>
  <si>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</si>
  <si>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</si>
  <si>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</si>
  <si>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</si>
  <si>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</si>
  <si>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</si>
  <si>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</si>
  <si>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</si>
  <si>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</si>
  <si>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</si>
  <si>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</si>
  <si>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</si>
  <si>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</si>
  <si>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</si>
  <si>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</si>
  <si>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</si>
  <si>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</si>
  <si>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</si>
  <si>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</si>
  <si>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</si>
  <si>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</si>
  <si>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</si>
  <si>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</si>
  <si>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</si>
  <si>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</si>
  <si>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</si>
  <si>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</si>
  <si>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</si>
  <si>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</si>
  <si>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</si>
  <si>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</si>
  <si>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</si>
  <si>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</si>
  <si>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</si>
  <si>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</si>
  <si>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</si>
  <si>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</si>
  <si>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</si>
  <si>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</si>
  <si>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</si>
  <si>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</si>
  <si>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</si>
  <si>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</si>
  <si>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</si>
  <si>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</si>
  <si>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</si>
  <si>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</si>
  <si>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</si>
  <si>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</si>
  <si>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</si>
  <si>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</si>
  <si>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</si>
  <si>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</si>
  <si>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</si>
  <si>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</si>
  <si>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</si>
  <si>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</si>
  <si>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</si>
  <si>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</si>
  <si>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</si>
  <si>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</si>
  <si>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</si>
  <si>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</si>
  <si>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</si>
  <si>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</si>
  <si>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</si>
  <si>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</si>
  <si>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</si>
  <si>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</si>
  <si>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</si>
  <si>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</si>
  <si>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</si>
  <si>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</si>
  <si>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</si>
  <si>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</si>
  <si>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</si>
  <si>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</si>
  <si>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</si>
  <si>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</si>
  <si>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</si>
  <si>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</si>
  <si>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</si>
  <si>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</si>
  <si>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</si>
  <si>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</si>
  <si>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</si>
  <si>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</si>
  <si>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</si>
  <si>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</si>
  <si>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</si>
  <si>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</si>
  <si>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</si>
  <si>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</si>
  <si>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</si>
  <si>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</si>
  <si>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</si>
  <si>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</si>
  <si>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</si>
  <si>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</si>
  <si>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</si>
  <si>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</si>
  <si>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</si>
  <si>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</si>
  <si>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</si>
  <si>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</si>
  <si>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</si>
  <si>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</si>
  <si>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</si>
  <si>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</si>
  <si>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</si>
  <si>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</si>
  <si>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</si>
  <si>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</si>
  <si>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</si>
  <si>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</si>
  <si>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</si>
  <si>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</si>
  <si>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</si>
  <si>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</si>
  <si>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</si>
  <si>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</si>
  <si>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</si>
  <si>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</si>
  <si>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</si>
  <si>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</si>
  <si>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</si>
  <si>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</si>
  <si>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</si>
  <si>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</si>
  <si>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</si>
  <si>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</si>
  <si>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</si>
  <si>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</si>
  <si>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</si>
  <si>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</si>
  <si>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</si>
  <si>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</si>
  <si>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</si>
  <si>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</si>
  <si>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</si>
  <si>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</si>
  <si>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</si>
  <si>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</si>
  <si>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</si>
  <si>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</si>
  <si>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</si>
  <si>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</si>
  <si>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</si>
  <si>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</si>
  <si>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</si>
  <si>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</si>
  <si>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</si>
  <si>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</si>
  <si>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</si>
  <si>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</si>
  <si>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</si>
  <si>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</si>
  <si>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</si>
  <si>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</si>
  <si>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</si>
  <si>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</si>
  <si>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</si>
  <si>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</si>
  <si>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</si>
  <si>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</si>
  <si>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</si>
  <si>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</si>
  <si>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</si>
  <si>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</si>
  <si>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</si>
  <si>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</si>
  <si>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</si>
  <si>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</si>
  <si>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</si>
  <si>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</si>
  <si>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</si>
  <si>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</si>
  <si>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</si>
  <si>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</si>
  <si>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</si>
  <si>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</si>
  <si>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</si>
  <si>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</si>
  <si>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</si>
  <si>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</si>
  <si>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</si>
  <si>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</si>
  <si>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</si>
  <si>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</si>
  <si>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</si>
  <si>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</si>
  <si>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</si>
  <si>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</si>
  <si>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</si>
  <si>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</si>
  <si>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</si>
  <si>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</si>
  <si>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</si>
  <si>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</si>
  <si>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</si>
  <si>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</si>
  <si>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</si>
  <si>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</si>
  <si>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</si>
  <si>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</si>
  <si>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</si>
  <si>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</si>
  <si>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</si>
  <si>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</si>
  <si>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</si>
  <si>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</si>
  <si>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</si>
  <si>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</si>
  <si>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</si>
  <si>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</si>
  <si>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</si>
  <si>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</si>
  <si>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</si>
  <si>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</si>
  <si>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</si>
  <si>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</si>
  <si>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</si>
  <si>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</si>
  <si>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</si>
  <si>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</si>
  <si>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</si>
  <si>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</si>
  <si>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</si>
  <si>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</si>
  <si>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</si>
  <si>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</si>
  <si>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</si>
  <si>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</si>
  <si>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</si>
  <si>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</si>
  <si>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</si>
  <si>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</si>
  <si>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</si>
  <si>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</si>
  <si>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</si>
  <si>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</si>
  <si>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</si>
  <si>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</si>
  <si>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</si>
  <si>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</si>
  <si>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</si>
  <si>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</si>
  <si>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</si>
  <si>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</si>
  <si>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</si>
  <si>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</si>
  <si>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</si>
  <si>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</si>
  <si>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</si>
  <si>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</si>
  <si>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</si>
  <si>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</si>
  <si>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</si>
  <si>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</si>
  <si>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</si>
  <si>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</si>
  <si>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</si>
  <si>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</si>
  <si>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</si>
  <si>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</si>
  <si>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</si>
  <si>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</si>
  <si>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</si>
  <si>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</si>
  <si>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</si>
  <si>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</si>
  <si>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</si>
  <si>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</si>
  <si>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</si>
  <si>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</si>
  <si>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</si>
  <si>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</si>
  <si>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</si>
  <si>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</si>
  <si>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</si>
  <si>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</si>
  <si>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</si>
  <si>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</si>
  <si>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</si>
  <si>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</si>
  <si>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</si>
  <si>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</si>
  <si>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</si>
  <si>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</si>
  <si>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</si>
  <si>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</si>
  <si>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</si>
  <si>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</si>
  <si>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</si>
  <si>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</si>
  <si>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</si>
  <si>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</si>
  <si>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</si>
  <si>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</si>
  <si>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</si>
  <si>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</si>
  <si>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</si>
  <si>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</si>
  <si>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</si>
  <si>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</si>
  <si>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</si>
  <si>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</si>
  <si>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</si>
  <si>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</si>
  <si>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</si>
  <si>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</si>
  <si>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</si>
  <si>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</si>
  <si>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</si>
  <si>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</si>
  <si>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</si>
  <si>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</si>
  <si>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</si>
  <si>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</si>
  <si>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</si>
  <si>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</si>
  <si>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</si>
  <si>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</si>
  <si>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</si>
  <si>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</si>
  <si>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</si>
  <si>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</si>
  <si>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</si>
  <si>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</si>
  <si>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</si>
  <si>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</si>
  <si>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</si>
  <si>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</si>
  <si>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</si>
  <si>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</si>
  <si>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</si>
  <si>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</si>
  <si>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</si>
  <si>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</si>
  <si>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</si>
  <si>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</si>
  <si>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</si>
  <si>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</si>
  <si>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</si>
  <si>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</si>
  <si>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</si>
  <si>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</si>
  <si>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</si>
  <si>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</si>
  <si>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</si>
  <si>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</si>
  <si>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</si>
  <si>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</si>
  <si>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</si>
  <si>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</si>
  <si>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</si>
  <si>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</si>
  <si>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</si>
  <si>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</si>
  <si>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</si>
  <si>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</si>
  <si>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</si>
  <si>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</si>
  <si>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</si>
  <si>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</si>
  <si>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</si>
  <si>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</si>
  <si>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</si>
  <si>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</si>
  <si>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</si>
  <si>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</si>
  <si>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</si>
  <si>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</si>
  <si>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</si>
  <si>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</si>
  <si>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</si>
  <si>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</si>
  <si>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</si>
  <si>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</si>
  <si>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</si>
  <si>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</si>
  <si>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</si>
  <si>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</si>
  <si>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</si>
  <si>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</si>
  <si>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</si>
  <si>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</si>
  <si>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</si>
  <si>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</si>
  <si>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</si>
  <si>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</si>
  <si>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</si>
  <si>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</si>
  <si>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</si>
  <si>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</si>
  <si>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</si>
  <si>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</si>
  <si>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</si>
  <si>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</si>
  <si>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</si>
  <si>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</si>
  <si>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</si>
  <si>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</si>
  <si>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</si>
  <si>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</si>
  <si>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</si>
  <si>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</si>
  <si>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</si>
  <si>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</si>
  <si>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</si>
  <si>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</si>
  <si>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</si>
  <si>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</si>
  <si>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</si>
  <si>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</si>
  <si>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</si>
  <si>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</si>
  <si>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</si>
  <si>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</si>
  <si>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</si>
  <si>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</si>
  <si>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</si>
  <si>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</si>
  <si>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</si>
  <si>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Failed Campaigns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</si>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</sst>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9"/>
      <color theme="1"/>
      <name val="Calibri"/>
      <family val="2"/>
      <scheme val="minor"/>
    </font>
    <font>
      <sz val="9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66FF99"/>
        </patternFill>
      </fill>
    </dxf>
    <dxf>
      <fill>
        <patternFill>
          <bgColor rgb="FFFF99C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  <dxf>
      <fill>
        <patternFill>
          <bgColor rgb="FFFF99C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  <dxf>
      <fill>
        <patternFill>
          <bgColor rgb="FFFF99C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99"/>
      <color rgb="FFFF66CC"/>
      <color rgb="FFFFFF66"/>
      <color rgb="FFFF99CC"/>
      <color rgb="FFFFCCCC"/>
      <color rgb="FF66FF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[CrowdfundingBook-Analysis.xlsx]Sheet1!PivotTable4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6-4ACE-A29B-C39E4A267BE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6-4ACE-A29B-C39E4A267BE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6-4ACE-A29B-C39E4A267BE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6-4ACE-A29B-C39E4A26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291423"/>
        <c:axId val="840291903"/>
      </c:barChart>
      <c:catAx>
        <c:axId val="8402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1903"/>
        <c:crosses val="autoZero"/>
        <c:auto val="1"/>
        <c:lblAlgn val="ctr"/>
        <c:lblOffset val="100"/>
        <c:noMultiLvlLbl val="0"/>
      </c:catAx>
      <c:valAx>
        <c:axId val="8402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[CrowdfundingBook-Analysis.xlsx]Sheet2!PivotTable1</c:name>
    <c:fmtId val="0"/>
  </c:pivotSource>
  <c:chart>
    <c:autoTitleDeleted val="0"/>
    <c:pivotFmts>
      <c:pivotFmt>
        <c:idx val="0"/>
        <c:spPr>
          <a:solidFill>
            <a:srgbClr val="FFF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659221808136348E-2"/>
          <c:y val="0.19288109911434634"/>
          <c:w val="0.81117957385972295"/>
          <c:h val="0.60455586618167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E-4880-9A17-2EF42965F6C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E-4880-9A17-2EF42965F6C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E-4880-9A17-2EF42965F6C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E-4880-9A17-2EF42965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301471"/>
        <c:axId val="843303391"/>
      </c:barChart>
      <c:catAx>
        <c:axId val="84330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03391"/>
        <c:crosses val="autoZero"/>
        <c:auto val="1"/>
        <c:lblAlgn val="ctr"/>
        <c:lblOffset val="100"/>
        <c:noMultiLvlLbl val="0"/>
      </c:catAx>
      <c:valAx>
        <c:axId val="8433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[CrowdfundingBook-Analysis.xlsx]Sheet3!PivotTable16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188820299245308E-2"/>
          <c:y val="7.0657149742042291E-2"/>
          <c:w val="0.73729538063864997"/>
          <c:h val="0.8489779923146441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5-40AB-B8B3-436B4D93F6C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B5-40AB-B8B3-436B4D93F6C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B5-40AB-B8B3-436B4D9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520032"/>
        <c:axId val="1283582768"/>
      </c:lineChart>
      <c:catAx>
        <c:axId val="11785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82768"/>
        <c:crosses val="autoZero"/>
        <c:auto val="1"/>
        <c:lblAlgn val="ctr"/>
        <c:lblOffset val="100"/>
        <c:noMultiLvlLbl val="0"/>
      </c:catAx>
      <c:valAx>
        <c:axId val="1283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20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18578495149478E-2"/>
          <c:y val="0.19733801223202851"/>
          <c:w val="0.9098013935919943"/>
          <c:h val="0.48627260134149897"/>
        </c:manualLayout>
      </c:layout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9-40A1-8BE1-BB66869B2891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9-40A1-8BE1-BB66869B2891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9-40A1-8BE1-BB66869B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80160"/>
        <c:axId val="1100174400"/>
      </c:lineChart>
      <c:catAx>
        <c:axId val="11001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74400"/>
        <c:crosses val="autoZero"/>
        <c:auto val="1"/>
        <c:lblAlgn val="ctr"/>
        <c:lblOffset val="100"/>
        <c:noMultiLvlLbl val="0"/>
      </c:catAx>
      <c:valAx>
        <c:axId val="110017440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66183199737311"/>
          <c:y val="0.85531860600758236"/>
          <c:w val="0.42087103033362028"/>
          <c:h val="6.4156705763877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321090</xdr:colOff>
      <xdr:row>2</xdr:row>
      <xdr:rowOff>42540</xdr:rowOff>
    </xdr:from>
    <xdr:to>
      <xdr:col>16</xdr:col>
      <xdr:colOff>566352</xdr:colOff>
      <xdr:row>20</xdr:row>
      <xdr:rowOff>12872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094B6-564E-A1CB-3368-7968A1D8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58423</xdr:colOff>
      <xdr:row>6</xdr:row>
      <xdr:rowOff>13415</xdr:rowOff>
    </xdr:from>
    <xdr:to>
      <xdr:col>19</xdr:col>
      <xdr:colOff>429296</xdr:colOff>
      <xdr:row>28</xdr:row>
      <xdr:rowOff>100482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41DC5-C6B3-F08F-9566-93B135BFF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180975</xdr:rowOff>
    </xdr:from>
    <xdr:to>
      <xdr:col>15</xdr:col>
      <xdr:colOff>596747</xdr:colOff>
      <xdr:row>18</xdr:row>
      <xdr:rowOff>183614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9A45A-9BA8-B408-D863-A5C0F1B7E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27710</xdr:colOff>
      <xdr:row>15</xdr:row>
      <xdr:rowOff>29871</xdr:rowOff>
    </xdr:from>
    <xdr:to>
      <xdr:col>8</xdr:col>
      <xdr:colOff>372425</xdr:colOff>
      <xdr:row>32</xdr:row>
      <xdr:rowOff>31688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3E2F30-51D2-87AD-AA92-BC2E2014B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wari K R" refreshedDate="45036.450396990738" createdVersion="8" refreshedVersion="8" minRefreshableVersion="3" recordCount="1001" xr:uid="{597A0410-C243-47B6-AB6D-AA1DF156402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wari K R" refreshedDate="45036.450397569446" createdVersion="8" refreshedVersion="8" minRefreshableVersion="3" recordCount="1000" xr:uid="{7266A421-C846-4D7F-A05F-B4DF6FEBD0AE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"/>
    <x v="1"/>
    <n v="138"/>
    <n v="77.930000000000007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"/>
    <x v="0"/>
    <n v="21"/>
    <n v="33.43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"/>
    <x v="1"/>
    <n v="144"/>
    <n v="31.92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"/>
    <x v="1"/>
    <n v="195"/>
    <n v="68.0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"/>
    <x v="1"/>
    <n v="84"/>
    <n v="92.17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"/>
    <x v="1"/>
    <n v="363"/>
    <n v="39.979999999999997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"/>
    <x v="1"/>
    <n v="78"/>
    <n v="86.86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"/>
    <x v="1"/>
    <n v="157"/>
    <n v="88.8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"/>
    <x v="1"/>
    <n v="48"/>
    <n v="105.94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B60A1-22E1-41B2-A8DD-4289E05442EB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8C9E5-FC46-4D90-995E-FFF4B315BEB9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9A13-3DB4-413D-B181-CE8B8281A3C4}" name="PivotTable1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11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1" format="1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92" zoomScaleNormal="116" workbookViewId="0">
      <selection activeCell="K14" sqref="K1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0.25" customWidth="1"/>
    <col min="6" max="6" width="32.375" customWidth="1"/>
    <col min="8" max="8" width="13.75" customWidth="1"/>
    <col min="9" max="9" width="17" customWidth="1"/>
    <col min="10" max="10" width="6.75" customWidth="1"/>
    <col min="11" max="11" width="9.125" customWidth="1"/>
    <col min="12" max="12" width="11.75" customWidth="1"/>
    <col min="13" max="13" width="22.5" style="8" customWidth="1"/>
    <col min="14" max="14" width="11.125" bestFit="1" customWidth="1"/>
    <col min="15" max="15" width="21.875" customWidth="1"/>
    <col min="18" max="18" width="28" bestFit="1" customWidth="1"/>
    <col min="19" max="19" width="20.75" customWidth="1"/>
    <col min="20" max="20" width="20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7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INT(CEILING((E2/D2)*100, 0.5))</f>
        <v>0</v>
      </c>
      <c r="G2" t="s">
        <v>14</v>
      </c>
      <c r="H2">
        <v>0</v>
      </c>
      <c r="I2">
        <f>ROUND(IFERROR(E2/H2,0),  2)</f>
        <v>0</v>
      </c>
      <c r="J2" t="s">
        <v>15</v>
      </c>
      <c r="K2" t="s">
        <v>16</v>
      </c>
      <c r="L2">
        <v>1448690400</v>
      </c>
      <c r="M2" s="6">
        <f>(((L2/60)/60/24)+DATE(1970,1,1))</f>
        <v>42336.25</v>
      </c>
      <c r="N2">
        <v>1450159200</v>
      </c>
      <c r="O2" s="8">
        <f>(((N2/60)/60/24)+DATE(1970,1,1))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INT(CEILING((E3/D3)*100, 0.5))</f>
        <v>1040</v>
      </c>
      <c r="G3" t="s">
        <v>20</v>
      </c>
      <c r="H3">
        <v>158</v>
      </c>
      <c r="I3">
        <f t="shared" ref="I3:I66" si="1">ROUND(IFERROR(E3/H3,0),  2)</f>
        <v>92.15</v>
      </c>
      <c r="J3" t="s">
        <v>21</v>
      </c>
      <c r="K3" t="s">
        <v>22</v>
      </c>
      <c r="L3">
        <v>1408424400</v>
      </c>
      <c r="M3" s="6">
        <f t="shared" ref="M3:M66" si="2">(((L3/60)/60/24)+DATE(1970,1,1))</f>
        <v>41870.208333333336</v>
      </c>
      <c r="N3">
        <v>1408597200</v>
      </c>
      <c r="O3" s="8">
        <f t="shared" ref="O3:O66" si="3">(((N3/60)/60/24)+DATE(1970,1,1))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6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INT(CEILING((E67/D67)*100, 0.5))</f>
        <v>236</v>
      </c>
      <c r="G67" t="s">
        <v>20</v>
      </c>
      <c r="H67">
        <v>236</v>
      </c>
      <c r="I67">
        <f t="shared" ref="I67:I130" si="7">ROUND(IFERROR(E67/H67,0),  2)</f>
        <v>61.04</v>
      </c>
      <c r="J67" t="s">
        <v>21</v>
      </c>
      <c r="K67" t="s">
        <v>22</v>
      </c>
      <c r="L67">
        <v>1296108000</v>
      </c>
      <c r="M67" s="6">
        <f t="shared" ref="M67:M130" si="8">(((L67/60)/60/24)+DATE(1970,1,1))</f>
        <v>40570.25</v>
      </c>
      <c r="N67">
        <v>1296712800</v>
      </c>
      <c r="O67" s="8">
        <f t="shared" ref="O67:O130" si="9">(((N67/60)/60/24)+DATE(1970,1,1))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6">
        <f t="shared" si="8"/>
        <v>42102.208333333328</v>
      </c>
      <c r="N68">
        <v>1428901200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8"/>
        <v>40203.25</v>
      </c>
      <c r="N69">
        <v>1264831200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8"/>
        <v>42943.208333333328</v>
      </c>
      <c r="N70">
        <v>1505192400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8"/>
        <v>40531.25</v>
      </c>
      <c r="N71">
        <v>1295676000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8"/>
        <v>40484.208333333336</v>
      </c>
      <c r="N72">
        <v>1292911200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8"/>
        <v>43799.25</v>
      </c>
      <c r="N73">
        <v>1575439200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8"/>
        <v>42186.208333333328</v>
      </c>
      <c r="N74">
        <v>1438837200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8"/>
        <v>42701.25</v>
      </c>
      <c r="N75">
        <v>1480485600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8"/>
        <v>42456.208333333328</v>
      </c>
      <c r="N76">
        <v>1459141200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8"/>
        <v>43296.208333333328</v>
      </c>
      <c r="N77">
        <v>1532322000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8"/>
        <v>42027.25</v>
      </c>
      <c r="N78">
        <v>1426222800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8"/>
        <v>40448.208333333336</v>
      </c>
      <c r="N79">
        <v>1286773200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8"/>
        <v>43206.208333333328</v>
      </c>
      <c r="N80">
        <v>1523941200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8"/>
        <v>43267.208333333328</v>
      </c>
      <c r="N81">
        <v>1529557200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8"/>
        <v>42976.208333333328</v>
      </c>
      <c r="N82">
        <v>1506574800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8"/>
        <v>43062.25</v>
      </c>
      <c r="N83">
        <v>1513576800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8"/>
        <v>43482.25</v>
      </c>
      <c r="N84">
        <v>1548309600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8"/>
        <v>42579.208333333328</v>
      </c>
      <c r="N85">
        <v>1471582800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8"/>
        <v>41118.208333333336</v>
      </c>
      <c r="N86">
        <v>1344315600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8"/>
        <v>40797.208333333336</v>
      </c>
      <c r="N87">
        <v>1316408400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8"/>
        <v>42128.208333333328</v>
      </c>
      <c r="N88">
        <v>1431838800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8"/>
        <v>40610.25</v>
      </c>
      <c r="N89">
        <v>1300510800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8"/>
        <v>42110.208333333328</v>
      </c>
      <c r="N90">
        <v>1431061200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8"/>
        <v>40283.208333333336</v>
      </c>
      <c r="N91">
        <v>1271480400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8"/>
        <v>42425.25</v>
      </c>
      <c r="N92">
        <v>1456380000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8"/>
        <v>42588.208333333328</v>
      </c>
      <c r="N93">
        <v>1472878800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8"/>
        <v>40352.208333333336</v>
      </c>
      <c r="N94">
        <v>1277355600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8"/>
        <v>41202.208333333336</v>
      </c>
      <c r="N95">
        <v>1351054800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8"/>
        <v>43562.208333333328</v>
      </c>
      <c r="N96">
        <v>1555563600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8"/>
        <v>43752.208333333328</v>
      </c>
      <c r="N97">
        <v>1571634000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8"/>
        <v>40612.25</v>
      </c>
      <c r="N98">
        <v>1300856400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8"/>
        <v>42180.208333333328</v>
      </c>
      <c r="N99">
        <v>1439874000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8"/>
        <v>42212.208333333328</v>
      </c>
      <c r="N100">
        <v>1438318800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8"/>
        <v>41968.25</v>
      </c>
      <c r="N101">
        <v>1419400800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8"/>
        <v>40835.208333333336</v>
      </c>
      <c r="N102">
        <v>1320555600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8"/>
        <v>42056.25</v>
      </c>
      <c r="N103">
        <v>1425103200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8"/>
        <v>43234.208333333328</v>
      </c>
      <c r="N104">
        <v>1526878800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8"/>
        <v>40475.208333333336</v>
      </c>
      <c r="N105">
        <v>1288674000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8"/>
        <v>42878.208333333328</v>
      </c>
      <c r="N106">
        <v>1495602000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8"/>
        <v>41366.208333333336</v>
      </c>
      <c r="N107">
        <v>1366434000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8"/>
        <v>43716.208333333328</v>
      </c>
      <c r="N108">
        <v>1568350800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8"/>
        <v>43213.208333333328</v>
      </c>
      <c r="N109">
        <v>1525928400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8"/>
        <v>41005.208333333336</v>
      </c>
      <c r="N110">
        <v>1336885200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8"/>
        <v>41651.25</v>
      </c>
      <c r="N111">
        <v>1389679200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8"/>
        <v>43354.208333333328</v>
      </c>
      <c r="N112">
        <v>1538283600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8"/>
        <v>41174.208333333336</v>
      </c>
      <c r="N113">
        <v>1348808400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8"/>
        <v>41875.208333333336</v>
      </c>
      <c r="N114">
        <v>1410152400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8"/>
        <v>42990.208333333328</v>
      </c>
      <c r="N115">
        <v>1505797200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8"/>
        <v>43564.208333333328</v>
      </c>
      <c r="N116">
        <v>1554872400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8"/>
        <v>43056.25</v>
      </c>
      <c r="N117">
        <v>1513922400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8"/>
        <v>42265.208333333328</v>
      </c>
      <c r="N118">
        <v>1442638800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8"/>
        <v>40808.208333333336</v>
      </c>
      <c r="N119">
        <v>1317186000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8"/>
        <v>41665.25</v>
      </c>
      <c r="N120">
        <v>1391234400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8"/>
        <v>41806.208333333336</v>
      </c>
      <c r="N121">
        <v>1404363600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8"/>
        <v>42111.208333333328</v>
      </c>
      <c r="N122">
        <v>1429592400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8"/>
        <v>41917.208333333336</v>
      </c>
      <c r="N123">
        <v>1413608400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8"/>
        <v>41970.25</v>
      </c>
      <c r="N124">
        <v>1419400800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8"/>
        <v>42332.25</v>
      </c>
      <c r="N125">
        <v>1448604000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8"/>
        <v>43598.208333333328</v>
      </c>
      <c r="N126">
        <v>1562302800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8"/>
        <v>43362.208333333328</v>
      </c>
      <c r="N127">
        <v>1537678800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8"/>
        <v>42596.208333333328</v>
      </c>
      <c r="N128">
        <v>1473570000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8"/>
        <v>40310.208333333336</v>
      </c>
      <c r="N129">
        <v>1273899600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si="8"/>
        <v>40417.208333333336</v>
      </c>
      <c r="N130">
        <v>1284008400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INT(CEILING((E131/D131)*100, 0.5))</f>
        <v>3</v>
      </c>
      <c r="G131" t="s">
        <v>74</v>
      </c>
      <c r="H131">
        <v>55</v>
      </c>
      <c r="I131">
        <f t="shared" ref="I131:I194" si="13">ROUND(IFERROR(E131/H131,0),  2)</f>
        <v>86.47</v>
      </c>
      <c r="J131" t="s">
        <v>26</v>
      </c>
      <c r="K131" t="s">
        <v>27</v>
      </c>
      <c r="L131">
        <v>1422943200</v>
      </c>
      <c r="M131" s="6">
        <f t="shared" ref="M131:M194" si="14">(((L131/60)/60/24)+DATE(1970,1,1))</f>
        <v>42038.25</v>
      </c>
      <c r="N131">
        <v>1425103200</v>
      </c>
      <c r="O131" s="8">
        <f t="shared" ref="O131:O194" si="15">(((N131/60)/60/24)+DATE(1970,1,1))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6">
        <f t="shared" si="14"/>
        <v>40842.208333333336</v>
      </c>
      <c r="N132">
        <v>1320991200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6">
        <f t="shared" si="14"/>
        <v>41607.25</v>
      </c>
      <c r="N133">
        <v>1386828000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6">
        <f t="shared" si="14"/>
        <v>43112.25</v>
      </c>
      <c r="N134">
        <v>1517119200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6">
        <f t="shared" si="14"/>
        <v>40767.208333333336</v>
      </c>
      <c r="N135">
        <v>1315026000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6">
        <f t="shared" si="14"/>
        <v>40713.208333333336</v>
      </c>
      <c r="N136">
        <v>1312693200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6">
        <f t="shared" si="14"/>
        <v>41340.25</v>
      </c>
      <c r="N137">
        <v>1363064400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6">
        <f t="shared" si="14"/>
        <v>41797.208333333336</v>
      </c>
      <c r="N138">
        <v>1403154000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6">
        <f t="shared" si="14"/>
        <v>40457.208333333336</v>
      </c>
      <c r="N139">
        <v>1286859600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6">
        <f t="shared" si="14"/>
        <v>41180.208333333336</v>
      </c>
      <c r="N140">
        <v>1349326800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6">
        <f t="shared" si="14"/>
        <v>42115.208333333328</v>
      </c>
      <c r="N141">
        <v>1430974800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6">
        <f t="shared" si="14"/>
        <v>43156.25</v>
      </c>
      <c r="N142">
        <v>1519970400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6">
        <f t="shared" si="14"/>
        <v>42167.208333333328</v>
      </c>
      <c r="N143">
        <v>1434603600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6">
        <f t="shared" si="14"/>
        <v>41005.208333333336</v>
      </c>
      <c r="N144">
        <v>1337230800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6">
        <f t="shared" si="14"/>
        <v>40357.208333333336</v>
      </c>
      <c r="N145">
        <v>1279429200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6">
        <f t="shared" si="14"/>
        <v>43633.208333333328</v>
      </c>
      <c r="N146">
        <v>1561438800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6">
        <f t="shared" si="14"/>
        <v>41889.208333333336</v>
      </c>
      <c r="N147">
        <v>1410498000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6">
        <f t="shared" si="14"/>
        <v>40855.25</v>
      </c>
      <c r="N148">
        <v>1322460000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6">
        <f t="shared" si="14"/>
        <v>42534.208333333328</v>
      </c>
      <c r="N149">
        <v>1466312400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6">
        <f t="shared" si="14"/>
        <v>42941.208333333328</v>
      </c>
      <c r="N150">
        <v>1501736400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6">
        <f t="shared" si="14"/>
        <v>41275.25</v>
      </c>
      <c r="N151">
        <v>1361512800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6">
        <f t="shared" si="14"/>
        <v>43450.25</v>
      </c>
      <c r="N152">
        <v>1545026400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6">
        <f t="shared" si="14"/>
        <v>41799.208333333336</v>
      </c>
      <c r="N153">
        <v>1406696400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6">
        <f t="shared" si="14"/>
        <v>42783.25</v>
      </c>
      <c r="N154">
        <v>1487916000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6">
        <f t="shared" si="14"/>
        <v>41201.208333333336</v>
      </c>
      <c r="N155">
        <v>1351141200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6">
        <f t="shared" si="14"/>
        <v>42502.208333333328</v>
      </c>
      <c r="N156">
        <v>1465016400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6">
        <f t="shared" si="14"/>
        <v>40262.208333333336</v>
      </c>
      <c r="N157">
        <v>1270789200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6">
        <f t="shared" si="14"/>
        <v>43743.208333333328</v>
      </c>
      <c r="N158">
        <v>1572325200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6">
        <f t="shared" si="14"/>
        <v>41638.25</v>
      </c>
      <c r="N159">
        <v>1389420000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6">
        <f t="shared" si="14"/>
        <v>42346.25</v>
      </c>
      <c r="N160">
        <v>1449640800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6">
        <f t="shared" si="14"/>
        <v>43551.208333333328</v>
      </c>
      <c r="N161">
        <v>1555218000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6">
        <f t="shared" si="14"/>
        <v>43582.208333333328</v>
      </c>
      <c r="N162">
        <v>1557723600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6">
        <f t="shared" si="14"/>
        <v>42270.208333333328</v>
      </c>
      <c r="N163">
        <v>1443502800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6">
        <f t="shared" si="14"/>
        <v>43442.25</v>
      </c>
      <c r="N164">
        <v>1546840800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6">
        <f t="shared" si="14"/>
        <v>43028.208333333328</v>
      </c>
      <c r="N165">
        <v>1512712800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6">
        <f t="shared" si="14"/>
        <v>43016.208333333328</v>
      </c>
      <c r="N166">
        <v>1507525200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6">
        <f t="shared" si="14"/>
        <v>42948.208333333328</v>
      </c>
      <c r="N167">
        <v>1504328400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6">
        <f t="shared" si="14"/>
        <v>40534.25</v>
      </c>
      <c r="N168">
        <v>1293343200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6">
        <f t="shared" si="14"/>
        <v>41435.208333333336</v>
      </c>
      <c r="N169">
        <v>1371704400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6">
        <f t="shared" si="14"/>
        <v>43518.25</v>
      </c>
      <c r="N170">
        <v>1552798800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6">
        <f t="shared" si="14"/>
        <v>41077.208333333336</v>
      </c>
      <c r="N171">
        <v>1342328400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6">
        <f t="shared" si="14"/>
        <v>42950.208333333328</v>
      </c>
      <c r="N172">
        <v>1502341200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6">
        <f t="shared" si="14"/>
        <v>41718.208333333336</v>
      </c>
      <c r="N173">
        <v>1397192400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6">
        <f t="shared" si="14"/>
        <v>41839.208333333336</v>
      </c>
      <c r="N174">
        <v>1407042000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6">
        <f t="shared" si="14"/>
        <v>41412.208333333336</v>
      </c>
      <c r="N175">
        <v>1369371600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6">
        <f t="shared" si="14"/>
        <v>42282.208333333328</v>
      </c>
      <c r="N176">
        <v>1444107600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6">
        <f t="shared" si="14"/>
        <v>42613.208333333328</v>
      </c>
      <c r="N177">
        <v>1474261200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6">
        <f t="shared" si="14"/>
        <v>42616.208333333328</v>
      </c>
      <c r="N178">
        <v>1473656400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6">
        <f t="shared" si="14"/>
        <v>40497.25</v>
      </c>
      <c r="N179">
        <v>1291960800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6">
        <f t="shared" si="14"/>
        <v>42999.208333333328</v>
      </c>
      <c r="N180">
        <v>1506747600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6">
        <f t="shared" si="14"/>
        <v>41350.208333333336</v>
      </c>
      <c r="N181">
        <v>1363582800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6">
        <f t="shared" si="14"/>
        <v>40259.208333333336</v>
      </c>
      <c r="N182">
        <v>1269666000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6">
        <f t="shared" si="14"/>
        <v>43012.208333333328</v>
      </c>
      <c r="N183">
        <v>1508648400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6">
        <f t="shared" si="14"/>
        <v>43631.208333333328</v>
      </c>
      <c r="N184">
        <v>1561957200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6">
        <f t="shared" si="14"/>
        <v>40430.208333333336</v>
      </c>
      <c r="N185">
        <v>1285131600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6">
        <f t="shared" si="14"/>
        <v>43588.208333333328</v>
      </c>
      <c r="N186">
        <v>1556946000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6">
        <f t="shared" si="14"/>
        <v>43233.208333333328</v>
      </c>
      <c r="N187">
        <v>1527138000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6">
        <f t="shared" si="14"/>
        <v>41782.208333333336</v>
      </c>
      <c r="N188">
        <v>1402117200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6">
        <f t="shared" si="14"/>
        <v>41328.25</v>
      </c>
      <c r="N189">
        <v>1364014800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6">
        <f t="shared" si="14"/>
        <v>41975.25</v>
      </c>
      <c r="N190">
        <v>1417586400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6">
        <f t="shared" si="14"/>
        <v>42433.25</v>
      </c>
      <c r="N191">
        <v>1457071200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6">
        <f t="shared" si="14"/>
        <v>41429.208333333336</v>
      </c>
      <c r="N192">
        <v>1370408400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6">
        <f t="shared" si="14"/>
        <v>43536.208333333328</v>
      </c>
      <c r="N193">
        <v>1552626000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6">
        <f t="shared" si="14"/>
        <v>41817.208333333336</v>
      </c>
      <c r="N194">
        <v>1404190800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INT(CEILING((E195/D195)*100, 0.5))</f>
        <v>46</v>
      </c>
      <c r="G195" t="s">
        <v>14</v>
      </c>
      <c r="H195">
        <v>65</v>
      </c>
      <c r="I195">
        <f t="shared" ref="I195:I258" si="19">ROUND(IFERROR(E195/H195,0),  2)</f>
        <v>46.34</v>
      </c>
      <c r="J195" t="s">
        <v>21</v>
      </c>
      <c r="K195" t="s">
        <v>22</v>
      </c>
      <c r="L195">
        <v>1523163600</v>
      </c>
      <c r="M195" s="6">
        <f t="shared" ref="M195:M258" si="20">(((L195/60)/60/24)+DATE(1970,1,1))</f>
        <v>43198.208333333328</v>
      </c>
      <c r="N195">
        <v>1523509200</v>
      </c>
      <c r="O195" s="8">
        <f t="shared" ref="O195:O258" si="21">(((N195/60)/60/24)+DATE(1970,1,1))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6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6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6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6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6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6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6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6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6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6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6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6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6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6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6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6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6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6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6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6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6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6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6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6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6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6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6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6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6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6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6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6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6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6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6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6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6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6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6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6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6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6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6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6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6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6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6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6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6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6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6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6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6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6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6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6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6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6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6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6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6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6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6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INT(CEILING((E259/D259)*100, 0.5))</f>
        <v>146</v>
      </c>
      <c r="G259" t="s">
        <v>20</v>
      </c>
      <c r="H259">
        <v>92</v>
      </c>
      <c r="I259">
        <f t="shared" ref="I259:I322" si="25">ROUND(IFERROR(E259/H259,0),  2)</f>
        <v>90.46</v>
      </c>
      <c r="J259" t="s">
        <v>21</v>
      </c>
      <c r="K259" t="s">
        <v>22</v>
      </c>
      <c r="L259">
        <v>1362463200</v>
      </c>
      <c r="M259" s="6">
        <f t="shared" ref="M259:M322" si="26">(((L259/60)/60/24)+DATE(1970,1,1))</f>
        <v>41338.25</v>
      </c>
      <c r="N259">
        <v>1363669200</v>
      </c>
      <c r="O259" s="8">
        <f t="shared" ref="O259:O322" si="27">(((N259/60)/60/24)+DATE(1970,1,1))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6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597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6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6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6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6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6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6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6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6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6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6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6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6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6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6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6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6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6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6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6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6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6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6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6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6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6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6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6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6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6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6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6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6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6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6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6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6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6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6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6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6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6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6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6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6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6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6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6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6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6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6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6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6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6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6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6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6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6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6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6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6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6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6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INT(CEILING((E323/D323)*100, 0.5))</f>
        <v>94</v>
      </c>
      <c r="G323" t="s">
        <v>14</v>
      </c>
      <c r="H323">
        <v>2468</v>
      </c>
      <c r="I323">
        <f t="shared" ref="I323:I386" si="31">ROUND(IFERROR(E323/H323,0),  2)</f>
        <v>65</v>
      </c>
      <c r="J323" t="s">
        <v>21</v>
      </c>
      <c r="K323" t="s">
        <v>22</v>
      </c>
      <c r="L323">
        <v>1301634000</v>
      </c>
      <c r="M323" s="6">
        <f t="shared" ref="M323:M386" si="32">(((L323/60)/60/24)+DATE(1970,1,1))</f>
        <v>40634.208333333336</v>
      </c>
      <c r="N323">
        <v>1302325200</v>
      </c>
      <c r="O323" s="8">
        <f t="shared" ref="O323:O386" si="33">(((N323/60)/60/24)+DATE(1970,1,1))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6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6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6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6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6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6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6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6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6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6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6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6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6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6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6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6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6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6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6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6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6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6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6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6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6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6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6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6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6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6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6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6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6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6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6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6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6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6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6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6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6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6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6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6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6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6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6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6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6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6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6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6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6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6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6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6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6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6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6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6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6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6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6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INT(CEILING((E387/D387)*100, 0.5))</f>
        <v>146</v>
      </c>
      <c r="G387" t="s">
        <v>20</v>
      </c>
      <c r="H387">
        <v>1137</v>
      </c>
      <c r="I387">
        <f t="shared" ref="I387:I450" si="37">ROUND(IFERROR(E387/H387,0),  2)</f>
        <v>50.01</v>
      </c>
      <c r="J387" t="s">
        <v>21</v>
      </c>
      <c r="K387" t="s">
        <v>22</v>
      </c>
      <c r="L387">
        <v>1553835600</v>
      </c>
      <c r="M387" s="6">
        <f t="shared" ref="M387:M450" si="38">(((L387/60)/60/24)+DATE(1970,1,1))</f>
        <v>43553.208333333328</v>
      </c>
      <c r="N387">
        <v>1556600400</v>
      </c>
      <c r="O387" s="8">
        <f t="shared" ref="O387:O450" si="39">(((N387/60)/60/24)+DATE(1970,1,1))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6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6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6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6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6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6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6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6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6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6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6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6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6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6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6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6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6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6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6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6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6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6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6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6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6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6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6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6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6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6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6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6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6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6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6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6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6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6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6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6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6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6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6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6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6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6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6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6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6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6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6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6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6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6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6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6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6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6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6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6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6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6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6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INT(CEILING((E451/D451)*100, 0.5))</f>
        <v>967</v>
      </c>
      <c r="G451" t="s">
        <v>20</v>
      </c>
      <c r="H451">
        <v>86</v>
      </c>
      <c r="I451">
        <f t="shared" ref="I451:I514" si="43">ROUND(IFERROR(E451/H451,0),  2)</f>
        <v>101.2</v>
      </c>
      <c r="J451" t="s">
        <v>36</v>
      </c>
      <c r="K451" t="s">
        <v>37</v>
      </c>
      <c r="L451">
        <v>1551852000</v>
      </c>
      <c r="M451" s="6">
        <f t="shared" ref="M451:M514" si="44">(((L451/60)/60/24)+DATE(1970,1,1))</f>
        <v>43530.25</v>
      </c>
      <c r="N451">
        <v>1553317200</v>
      </c>
      <c r="O451" s="8">
        <f t="shared" ref="O451:O514" si="45">(((N451/60)/60/24)+DATE(1970,1,1))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6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6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6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6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6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6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6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6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6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6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6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6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6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6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6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6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6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6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40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6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6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6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6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6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6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6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6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6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6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6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6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6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6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6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6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6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6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13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6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6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6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6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191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6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6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6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6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6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414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6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6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6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6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6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6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6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6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6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6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6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6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6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6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6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6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6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6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INT(CEILING((E515/D515)*100, 0.5))</f>
        <v>39</v>
      </c>
      <c r="G515" t="s">
        <v>74</v>
      </c>
      <c r="H515">
        <v>35</v>
      </c>
      <c r="I515">
        <f t="shared" ref="I515:I578" si="49">ROUND(IFERROR(E515/H515,0),  2)</f>
        <v>93.14</v>
      </c>
      <c r="J515" t="s">
        <v>21</v>
      </c>
      <c r="K515" t="s">
        <v>22</v>
      </c>
      <c r="L515">
        <v>1284008400</v>
      </c>
      <c r="M515" s="6">
        <f t="shared" ref="M515:M578" si="50">(((L515/60)/60/24)+DATE(1970,1,1))</f>
        <v>40430.208333333336</v>
      </c>
      <c r="N515">
        <v>1284181200</v>
      </c>
      <c r="O515" s="8">
        <f t="shared" ref="O515:O578" si="51">(((N515/60)/60/24)+DATE(1970,1,1))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6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6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6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6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6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6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6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6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6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6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6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6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6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6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6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6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6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6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6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6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6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6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6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6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6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6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6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6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6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6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276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6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6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6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6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6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6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6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6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6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6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6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6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6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6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6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6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6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6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6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6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6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6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6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6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6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6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6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6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6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6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6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6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6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INT(CEILING((E579/D579)*100, 0.5))</f>
        <v>19</v>
      </c>
      <c r="G579" t="s">
        <v>74</v>
      </c>
      <c r="H579">
        <v>37</v>
      </c>
      <c r="I579">
        <f t="shared" ref="I579:I642" si="55">ROUND(IFERROR(E579/H579,0),  2)</f>
        <v>41.78</v>
      </c>
      <c r="J579" t="s">
        <v>21</v>
      </c>
      <c r="K579" t="s">
        <v>22</v>
      </c>
      <c r="L579">
        <v>1299823200</v>
      </c>
      <c r="M579" s="6">
        <f t="shared" ref="M579:M642" si="56">(((L579/60)/60/24)+DATE(1970,1,1))</f>
        <v>40613.25</v>
      </c>
      <c r="N579">
        <v>1302066000</v>
      </c>
      <c r="O579" s="8">
        <f t="shared" ref="O579:O642" si="57">(((N579/60)/60/24)+DATE(1970,1,1))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6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6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6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6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6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6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6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6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6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6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6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6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6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6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6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6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6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6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6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6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6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6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6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6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6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6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6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6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6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6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6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6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6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6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6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6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6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6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6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6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6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6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6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6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6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6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6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6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6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6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6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6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6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6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6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6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6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6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6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6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6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6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6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INT(CEILING((E643/D643)*100, 0.5))</f>
        <v>120</v>
      </c>
      <c r="G643" t="s">
        <v>20</v>
      </c>
      <c r="H643">
        <v>194</v>
      </c>
      <c r="I643">
        <f t="shared" ref="I643:I706" si="61">ROUND(IFERROR(E643/H643,0),  2)</f>
        <v>58.13</v>
      </c>
      <c r="J643" t="s">
        <v>98</v>
      </c>
      <c r="K643" t="s">
        <v>99</v>
      </c>
      <c r="L643">
        <v>1487570400</v>
      </c>
      <c r="M643" s="6">
        <f t="shared" ref="M643:M706" si="62">(((L643/60)/60/24)+DATE(1970,1,1))</f>
        <v>42786.25</v>
      </c>
      <c r="N643">
        <v>1489986000</v>
      </c>
      <c r="O643" s="8">
        <f t="shared" ref="O643:O706" si="63">(((N643/60)/60/24)+DATE(1970,1,1))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6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6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6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6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6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6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6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6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6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6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6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6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6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6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6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6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6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6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6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6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6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6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6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6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6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6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6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6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6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6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6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6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6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6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6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6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6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1036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6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6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6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6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6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6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6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6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6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6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6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6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6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6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6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6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6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6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6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6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6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6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6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6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6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6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INT(CEILING((E707/D707)*100, 0.5))</f>
        <v>99</v>
      </c>
      <c r="G707" t="s">
        <v>14</v>
      </c>
      <c r="H707">
        <v>2025</v>
      </c>
      <c r="I707">
        <f t="shared" ref="I707:I770" si="67">ROUND(IFERROR(E707/H707,0),  2)</f>
        <v>82.99</v>
      </c>
      <c r="J707" t="s">
        <v>40</v>
      </c>
      <c r="K707" t="s">
        <v>41</v>
      </c>
      <c r="L707">
        <v>1386741600</v>
      </c>
      <c r="M707" s="6">
        <f t="shared" ref="M707:M770" si="68">(((L707/60)/60/24)+DATE(1970,1,1))</f>
        <v>41619.25</v>
      </c>
      <c r="N707">
        <v>1387087200</v>
      </c>
      <c r="O707" s="8">
        <f t="shared" ref="O707:O770" si="69">(((N707/60)/60/24)+DATE(1970,1,1))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 s="6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 s="6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 s="6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 s="6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 s="6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6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 s="6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 s="6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 s="6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 s="6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 s="6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 s="6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6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 s="6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 s="6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 s="6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6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 s="6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 s="6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 s="6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 s="6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 s="6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17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6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 s="6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 s="6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 s="6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 s="6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 s="6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 s="6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6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 s="6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 s="6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6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 s="6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6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 s="6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 s="6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 s="6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 s="6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6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6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6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 s="6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 s="6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6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 s="6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 s="6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 s="6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 s="6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 s="6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 s="6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 s="6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 s="6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 s="6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 s="6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 s="6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6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 s="6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 s="6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 s="6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 s="6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 s="6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6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INT(CEILING((E771/D771)*100, 0.5))</f>
        <v>87</v>
      </c>
      <c r="G771" t="s">
        <v>14</v>
      </c>
      <c r="H771">
        <v>3410</v>
      </c>
      <c r="I771">
        <f t="shared" ref="I771:I834" si="73">ROUND(IFERROR(E771/H771,0),  2)</f>
        <v>32</v>
      </c>
      <c r="J771" t="s">
        <v>21</v>
      </c>
      <c r="K771" t="s">
        <v>22</v>
      </c>
      <c r="L771">
        <v>1376542800</v>
      </c>
      <c r="M771" s="6">
        <f t="shared" ref="M771:M834" si="74">(((L771/60)/60/24)+DATE(1970,1,1))</f>
        <v>41501.208333333336</v>
      </c>
      <c r="N771">
        <v>1378789200</v>
      </c>
      <c r="O771" s="8">
        <f t="shared" ref="O771:O834" si="75">(((N771/60)/60/24)+DATE(1970,1,1))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 s="6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6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6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6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135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 s="6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6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6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 s="6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 s="6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 s="6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 s="6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 s="6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 s="6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 s="6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6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 s="6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 s="6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 s="6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 s="6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 s="6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 s="6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6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 s="6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 s="6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 s="6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 s="6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 s="6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 s="6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 s="6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 s="6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6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 s="6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 s="6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 s="6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 s="6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 s="6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 s="6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 s="6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 s="6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6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 s="6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 s="6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6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 s="6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 s="6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 s="6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 s="6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 s="6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 s="6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 s="6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 s="6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 s="6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 s="6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 s="6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6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387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 s="6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 s="6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 s="6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 s="6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 s="6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 s="6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6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 s="6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INT(CEILING((E835/D835)*100, 0.5))</f>
        <v>158</v>
      </c>
      <c r="G835" t="s">
        <v>20</v>
      </c>
      <c r="H835">
        <v>165</v>
      </c>
      <c r="I835">
        <f t="shared" ref="I835:I898" si="79">ROUND(IFERROR(E835/H835,0),  2)</f>
        <v>64.989999999999995</v>
      </c>
      <c r="J835" t="s">
        <v>36</v>
      </c>
      <c r="K835" t="s">
        <v>37</v>
      </c>
      <c r="L835">
        <v>1297663200</v>
      </c>
      <c r="M835" s="6">
        <f t="shared" ref="M835:M898" si="80">(((L835/60)/60/24)+DATE(1970,1,1))</f>
        <v>40588.25</v>
      </c>
      <c r="N835">
        <v>1298613600</v>
      </c>
      <c r="O835" s="8">
        <f t="shared" ref="O835:O898" si="81">(((N835/60)/60/24)+DATE(1970,1,1))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 s="6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6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 s="6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 s="6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 s="6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 s="6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6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 s="6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 s="6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 s="6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 s="6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 s="6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508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 s="6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 s="6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 s="6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 s="6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6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 s="6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 s="6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 s="6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 s="6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6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 s="6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 s="6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 s="6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 s="6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 s="6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 s="6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 s="6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 s="6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6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6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 s="6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6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 s="6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 s="6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 s="6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 s="6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 s="6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 s="6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6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 s="6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 s="6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 s="6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 s="6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 s="6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 s="6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 s="6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6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 s="6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 s="6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 s="6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6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 s="6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 s="6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 s="6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 s="6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 s="6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 s="6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 s="6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 s="6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 s="6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 s="6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INT(CEILING((E899/D899)*100, 0.5))</f>
        <v>28</v>
      </c>
      <c r="G899" t="s">
        <v>14</v>
      </c>
      <c r="H899">
        <v>27</v>
      </c>
      <c r="I899">
        <f t="shared" ref="I899:I962" si="85">ROUND(IFERROR(E899/H899,0),  2)</f>
        <v>90.26</v>
      </c>
      <c r="J899" t="s">
        <v>21</v>
      </c>
      <c r="K899" t="s">
        <v>22</v>
      </c>
      <c r="L899">
        <v>1556427600</v>
      </c>
      <c r="M899" s="6">
        <f t="shared" ref="M899:M962" si="86">(((L899/60)/60/24)+DATE(1970,1,1))</f>
        <v>43583.208333333328</v>
      </c>
      <c r="N899">
        <v>1556600400</v>
      </c>
      <c r="O899" s="8">
        <f t="shared" ref="O899:O962" si="87">(((N899/60)/60/24)+DATE(1970,1,1))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 s="6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 s="6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6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 s="6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 s="6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 s="6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 s="6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 s="6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 s="6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 s="6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6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 s="6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 s="6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 s="6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 s="6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 s="6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 s="6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6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 s="6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 s="6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 s="6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 s="6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 s="6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 s="6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6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6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 s="6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 s="6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 s="6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 s="6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6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 s="6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 s="6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 s="6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 s="6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 s="6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 s="6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 s="6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 s="6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 s="6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 s="6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 s="6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 s="6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 s="6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 s="6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 s="6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 s="6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6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 s="6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 s="6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 s="6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 s="6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6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 s="6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 s="6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 s="6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 s="6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 s="6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 s="6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 s="6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 s="6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 s="6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 s="6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INT(CEILING((E963/D963)*100, 0.5))</f>
        <v>119</v>
      </c>
      <c r="G963" t="s">
        <v>20</v>
      </c>
      <c r="H963">
        <v>155</v>
      </c>
      <c r="I963">
        <f t="shared" ref="I963:I1001" si="91">ROUND(IFERROR(E963/H963,0),  2)</f>
        <v>43.87</v>
      </c>
      <c r="J963" t="s">
        <v>21</v>
      </c>
      <c r="K963" t="s">
        <v>22</v>
      </c>
      <c r="L963">
        <v>1297922400</v>
      </c>
      <c r="M963" s="6">
        <f t="shared" ref="M963:M1001" si="92">(((L963/60)/60/24)+DATE(1970,1,1))</f>
        <v>40591.25</v>
      </c>
      <c r="N963">
        <v>1298268000</v>
      </c>
      <c r="O963" s="8">
        <f t="shared" ref="O963:O1001" si="93">(((N963/60)/60/24)+DATE(1970,1,1))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 s="6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 s="6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 s="6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 s="6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 s="6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 s="6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 s="6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 s="6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 s="6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 s="6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 s="6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 s="6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 s="6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 s="6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 s="6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 s="6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 s="6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 s="6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 s="6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 s="6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 s="6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6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 s="6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6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 s="6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6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 s="6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 s="6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 s="6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 s="6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 s="6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6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 s="6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6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 s="6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 s="6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 s="6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 s="6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G1:G1048576">
    <cfRule type="cellIs" dxfId="11" priority="2" operator="equal">
      <formula>"canceled"</formula>
    </cfRule>
    <cfRule type="cellIs" dxfId="10" priority="9" operator="equal">
      <formula>"live"</formula>
    </cfRule>
    <cfRule type="cellIs" dxfId="9" priority="10" operator="equal">
      <formula>"failed"</formula>
    </cfRule>
    <cfRule type="cellIs" dxfId="8" priority="12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B98D-53BE-4B1D-BBA9-C914B5D107A3}">
  <sheetPr codeName="Sheet2"/>
  <dimension ref="A1:F14"/>
  <sheetViews>
    <sheetView zoomScale="74" zoomScaleNormal="94" workbookViewId="0">
      <selection activeCell="O11" sqref="O11"/>
    </sheetView>
  </sheetViews>
  <sheetFormatPr defaultRowHeight="15.75" x14ac:dyDescent="0.25"/>
  <cols>
    <col min="1" max="1" width="16.5" bestFit="1" customWidth="1"/>
    <col min="2" max="2" width="15.875" bestFit="1" customWidth="1"/>
    <col min="3" max="3" width="5.875" bestFit="1" customWidth="1"/>
    <col min="4" max="4" width="4.125" bestFit="1" customWidth="1"/>
    <col min="5" max="5" width="9.6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2046</v>
      </c>
      <c r="B3" s="4" t="s">
        <v>2044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2038</v>
      </c>
      <c r="E8">
        <v>4</v>
      </c>
      <c r="F8">
        <v>4</v>
      </c>
    </row>
    <row r="9" spans="1:6" x14ac:dyDescent="0.2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9224-CBC0-41A9-9007-CE5E75ED1D60}">
  <sheetPr codeName="Sheet3"/>
  <dimension ref="A1:F30"/>
  <sheetViews>
    <sheetView topLeftCell="A3" zoomScale="76" workbookViewId="0">
      <selection activeCell="G14" sqref="G14"/>
    </sheetView>
  </sheetViews>
  <sheetFormatPr defaultRowHeight="15.75" x14ac:dyDescent="0.25"/>
  <cols>
    <col min="1" max="1" width="18.5" bestFit="1" customWidth="1"/>
    <col min="2" max="2" width="15.375" bestFit="1" customWidth="1"/>
    <col min="3" max="3" width="5.75" bestFit="1" customWidth="1"/>
    <col min="4" max="4" width="4.125" bestFit="1" customWidth="1"/>
    <col min="5" max="5" width="9.37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2031</v>
      </c>
      <c r="B2" t="s">
        <v>2045</v>
      </c>
    </row>
    <row r="4" spans="1:6" x14ac:dyDescent="0.25">
      <c r="A4" s="4" t="s">
        <v>2046</v>
      </c>
      <c r="B4" s="4" t="s">
        <v>2044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4272-ABB5-423F-B7D1-7010B4DE1E08}">
  <sheetPr codeName="Sheet4"/>
  <dimension ref="A1:E18"/>
  <sheetViews>
    <sheetView zoomScale="79" workbookViewId="0">
      <selection activeCell="F25" sqref="F25"/>
    </sheetView>
  </sheetViews>
  <sheetFormatPr defaultRowHeight="15.75" x14ac:dyDescent="0.25"/>
  <cols>
    <col min="1" max="1" width="16.5" bestFit="1" customWidth="1"/>
    <col min="2" max="2" width="15.37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>
        <v>2045</v>
      </c>
    </row>
    <row r="2" spans="1:5" x14ac:dyDescent="0.25">
      <c r="A2" s="4" t="s">
        <v>2085</v>
      </c>
      <c r="B2" t="s">
        <v>2045</v>
      </c>
    </row>
    <row r="4" spans="1:5" x14ac:dyDescent="0.25">
      <c r="A4" s="4" t="s">
        <v>2046</v>
      </c>
      <c r="B4" s="4" t="s">
        <v>2044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852B-1805-4986-944D-17739AAF0836}">
  <sheetPr codeName="Sheet5"/>
  <dimension ref="A1:H13"/>
  <sheetViews>
    <sheetView tabSelected="1" topLeftCell="A11" zoomScale="97" zoomScaleNormal="85" workbookViewId="0">
      <selection activeCell="J16" sqref="J16"/>
    </sheetView>
  </sheetViews>
  <sheetFormatPr defaultRowHeight="15.75" x14ac:dyDescent="0.25"/>
  <cols>
    <col min="1" max="1" width="21.5" customWidth="1"/>
    <col min="2" max="2" width="16.75" customWidth="1"/>
    <col min="3" max="3" width="14.125" customWidth="1"/>
    <col min="4" max="4" width="17.125" customWidth="1"/>
    <col min="5" max="5" width="12.375" customWidth="1"/>
    <col min="6" max="6" width="18.875" customWidth="1"/>
    <col min="7" max="7" width="15.75" customWidth="1"/>
    <col min="8" max="8" width="19.125" customWidth="1"/>
  </cols>
  <sheetData>
    <row r="1" spans="1:8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s="10" t="s">
        <v>2094</v>
      </c>
      <c r="B2" s="9">
        <f>COUNTIFS(Crowdfunding!D:D,"&lt;1000",Crowdfunding!G:G,"successful")</f>
        <v>30</v>
      </c>
      <c r="C2" s="9">
        <f>COUNTIFS(Crowdfunding!D:D,"&lt;1000",Crowdfunding!G:G,"failed")</f>
        <v>20</v>
      </c>
      <c r="D2" s="9">
        <f>COUNTIFS(Crowdfunding!D:D,"&lt;1000",Crowdfunding!G:G,"canceled")</f>
        <v>1</v>
      </c>
      <c r="E2" s="9">
        <f>SUM(B2,C2,D2)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25">
      <c r="A3" s="10" t="s">
        <v>2095</v>
      </c>
      <c r="B3" s="9">
        <f>COUNTIFS(Crowdfunding!D:D,"&gt;=1000",Crowdfunding!D:D,"&lt;=4999",Crowdfunding!G:G,"successful")</f>
        <v>191</v>
      </c>
      <c r="C3" s="9">
        <f>COUNTIFS(Crowdfunding!D:D,"&gt;=1000", Crowdfunding!D:D,"&lt;=4999",Crowdfunding!G:G,"failed")</f>
        <v>38</v>
      </c>
      <c r="D3" s="9">
        <f>COUNTIFS(Crowdfunding!D:D,"&gt;=1000", Crowdfunding!D:D,"&lt;=4999",Crowdfunding!G:G,"canceled")</f>
        <v>2</v>
      </c>
      <c r="E3" s="9">
        <f t="shared" ref="E3:E13" si="0">SUM(B3,C3,D3)</f>
        <v>231</v>
      </c>
      <c r="F3" s="14">
        <f t="shared" ref="F3:F13" si="1">(B3/E3)</f>
        <v>0.82683982683982682</v>
      </c>
      <c r="G3" s="14">
        <f t="shared" ref="G3:G13" si="2">(C3/E3)</f>
        <v>0.16450216450216451</v>
      </c>
      <c r="H3" s="14">
        <f t="shared" ref="H3:H13" si="3">(D3/E3)</f>
        <v>8.658008658008658E-3</v>
      </c>
    </row>
    <row r="4" spans="1:8" x14ac:dyDescent="0.25">
      <c r="A4" s="10" t="s">
        <v>2096</v>
      </c>
      <c r="B4" s="9">
        <f>COUNTIFS(Crowdfunding!D:D,"&gt;=5000",Crowdfunding!D:D,"&lt;=9999",Crowdfunding!G:G,"successful")</f>
        <v>164</v>
      </c>
      <c r="C4" s="9">
        <f>COUNTIFS(Crowdfunding!D:D,"&gt;=5000", Crowdfunding!D:D,"&lt;=9999",Crowdfunding!G:G,"failed")</f>
        <v>126</v>
      </c>
      <c r="D4" s="9">
        <f>COUNTIFS(Crowdfunding!D:D,"&gt;=5000", Crowdfunding!D:D,"&lt;=9999",Crowdfunding!G:G,"canceled")</f>
        <v>25</v>
      </c>
      <c r="E4" s="9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s="10" t="s">
        <v>2097</v>
      </c>
      <c r="B5" s="9">
        <f>COUNTIFS(Crowdfunding!D:D,"&gt;=10000",Crowdfunding!D:D,"&lt;=14999",Crowdfunding!G:G,"successful")</f>
        <v>4</v>
      </c>
      <c r="C5" s="9">
        <f>COUNTIFS(Crowdfunding!D:D,"&gt;=10000", Crowdfunding!D:D,"&lt;=14999",Crowdfunding!G:G,"failed")</f>
        <v>5</v>
      </c>
      <c r="D5" s="9">
        <f>COUNTIFS(Crowdfunding!D:D,"&gt;=10000", Crowdfunding!D:D,"&lt;=14999",Crowdfunding!G:G,"canceled")</f>
        <v>0</v>
      </c>
      <c r="E5" s="9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s="10" t="s">
        <v>2098</v>
      </c>
      <c r="B6" s="9">
        <f>COUNTIFS(Crowdfunding!D:D,"&gt;=15000",Crowdfunding!D:D,"&lt;=19999",Crowdfunding!G:G,"successful")</f>
        <v>10</v>
      </c>
      <c r="C6" s="9">
        <f>COUNTIFS(Crowdfunding!D:D,"&gt;=15000", Crowdfunding!D:D,"&lt;=19999",Crowdfunding!G:G,"failed")</f>
        <v>0</v>
      </c>
      <c r="D6" s="9">
        <f>COUNTIFS(Crowdfunding!D:D,"&gt;=15000", Crowdfunding!D:D,"&lt;=19999",Crowdfunding!G:G,"canceled")</f>
        <v>0</v>
      </c>
      <c r="E6" s="9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s="10" t="s">
        <v>2099</v>
      </c>
      <c r="B7" s="9">
        <f>COUNTIFS(Crowdfunding!D:D,"&gt;=20000",Crowdfunding!D:D,"&lt;=24999",Crowdfunding!G:G,"successful")</f>
        <v>7</v>
      </c>
      <c r="C7" s="9">
        <f>COUNTIFS(Crowdfunding!D:D,"&gt;=20000", Crowdfunding!D:D,"&lt;=24999",Crowdfunding!G:G,"failed")</f>
        <v>0</v>
      </c>
      <c r="D7" s="9">
        <f>COUNTIFS(Crowdfunding!D:D,"&gt;=20000", Crowdfunding!D:D,"&lt;=24999",Crowdfunding!G:G,"canceled")</f>
        <v>0</v>
      </c>
      <c r="E7" s="9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s="10" t="s">
        <v>2100</v>
      </c>
      <c r="B8" s="9">
        <f>COUNTIFS(Crowdfunding!D:D,"&gt;=25000",Crowdfunding!D:D,"&lt;=29999",Crowdfunding!G:G,"successful")</f>
        <v>11</v>
      </c>
      <c r="C8" s="9">
        <f>COUNTIFS(Crowdfunding!D:D,"&gt;=25000", Crowdfunding!D:D,"&lt;=29999",Crowdfunding!G:G,"failed")</f>
        <v>3</v>
      </c>
      <c r="D8" s="9">
        <f>COUNTIFS(Crowdfunding!D:D,"&gt;=25000", Crowdfunding!D:D,"&lt;=29999",Crowdfunding!G:G,"canceled")</f>
        <v>0</v>
      </c>
      <c r="E8" s="9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s="10" t="s">
        <v>2101</v>
      </c>
      <c r="B9" s="9">
        <f>COUNTIFS(Crowdfunding!D:D,"&gt;=30000",Crowdfunding!D:D,"&lt;=34999",Crowdfunding!G:G,"successful")</f>
        <v>7</v>
      </c>
      <c r="C9" s="9">
        <f>COUNTIFS(Crowdfunding!D:D,"&gt;=30000", Crowdfunding!D:D,"&lt;=34999",Crowdfunding!G:G,"failed")</f>
        <v>0</v>
      </c>
      <c r="D9" s="9">
        <f>COUNTIFS(Crowdfunding!D:D,"&gt;=30000", Crowdfunding!D:D,"&lt;=34999",Crowdfunding!G:G,"canceled")</f>
        <v>0</v>
      </c>
      <c r="E9" s="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s="10" t="s">
        <v>2102</v>
      </c>
      <c r="B10" s="9">
        <f>COUNTIFS(Crowdfunding!D:D,"&gt;=35000",Crowdfunding!D:D,"&lt;=39999",Crowdfunding!G:G,"successful")</f>
        <v>8</v>
      </c>
      <c r="C10" s="9">
        <f>COUNTIFS(Crowdfunding!D:D,"&gt;=35000", Crowdfunding!D:D,"&lt;=39999",Crowdfunding!G:G,"failed")</f>
        <v>3</v>
      </c>
      <c r="D10" s="9">
        <f>COUNTIFS(Crowdfunding!D:D,"&gt;=35000", Crowdfunding!D:D,"&lt;=39999",Crowdfunding!G:G,"canceled")</f>
        <v>1</v>
      </c>
      <c r="E10" s="9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s="10" t="s">
        <v>2103</v>
      </c>
      <c r="B11" s="9">
        <f>COUNTIFS(Crowdfunding!D:D,"&gt;=40000",Crowdfunding!D:D,"&lt;=44999",Crowdfunding!G:G,"successful")</f>
        <v>11</v>
      </c>
      <c r="C11" s="9">
        <f>COUNTIFS(Crowdfunding!D:D,"&gt;=40000", Crowdfunding!D:D,"&lt;=44999",Crowdfunding!G:G,"failed")</f>
        <v>3</v>
      </c>
      <c r="D11" s="9">
        <f>COUNTIFS(Crowdfunding!D:D,"&gt;=40000", Crowdfunding!D:D,"&lt;=44999",Crowdfunding!G:G,"canceled")</f>
        <v>0</v>
      </c>
      <c r="E11" s="9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s="10" t="s">
        <v>2104</v>
      </c>
      <c r="B12" s="9">
        <f>COUNTIFS(Crowdfunding!D:D,"&gt;=45000",Crowdfunding!D:D,"&lt;=49999",Crowdfunding!G:G,"successful")</f>
        <v>8</v>
      </c>
      <c r="C12" s="9">
        <f>COUNTIFS(Crowdfunding!D:D,"&gt;=45000", Crowdfunding!D:D,"&lt;=49999",Crowdfunding!G:G,"failed")</f>
        <v>3</v>
      </c>
      <c r="D12" s="9">
        <f>COUNTIFS(Crowdfunding!D:D,"&gt;=45000", Crowdfunding!D:D,"&lt;=49999",Crowdfunding!G:G,"canceled")</f>
        <v>0</v>
      </c>
      <c r="E12" s="9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s="11" t="s">
        <v>2105</v>
      </c>
      <c r="B13" s="9">
        <f>COUNTIFS(Crowdfunding!D:D,"&gt;=50000",Crowdfunding!G:G,"successful")</f>
        <v>114</v>
      </c>
      <c r="C13" s="9">
        <f>COUNTIFS(Crowdfunding!D:D,"&gt;=50000",Crowdfunding!G:G,"failed")</f>
        <v>163</v>
      </c>
      <c r="D13" s="9">
        <f>COUNTIFS(Crowdfunding!D:D,"&gt;=50000",Crowdfunding!G:G,"canceled")</f>
        <v>28</v>
      </c>
      <c r="E13" s="9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conditionalFormatting sqref="G36">
    <cfRule type="colorScale" priority="1">
      <colorScale>
        <cfvo type="min"/>
        <cfvo type="percentile" val="50"/>
        <cfvo type="max"/>
        <color theme="4" tint="0.39997558519241921"/>
        <color rgb="FFFFC000"/>
        <color theme="4" tint="-0.499984740745262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F99-C931-4800-8C45-812B27F9859D}">
  <sheetPr codeName="Sheet6"/>
  <dimension ref="A1:M566"/>
  <sheetViews>
    <sheetView workbookViewId="0">
      <selection activeCell="G10" sqref="G10"/>
    </sheetView>
  </sheetViews>
  <sheetFormatPr defaultRowHeight="15.75" x14ac:dyDescent="0.25"/>
  <cols>
    <col min="2" max="2" width="13.75" customWidth="1"/>
    <col min="8" max="8" width="19.5" customWidth="1"/>
    <col min="12" max="12" width="18.25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5">
      <c r="A2" t="s">
        <v>20</v>
      </c>
      <c r="B2">
        <v>158</v>
      </c>
      <c r="D2" t="s">
        <v>14</v>
      </c>
      <c r="E2">
        <v>0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  <c r="H9" s="12" t="s">
        <v>2106</v>
      </c>
      <c r="I9" s="13"/>
      <c r="L9" s="12" t="s">
        <v>2112</v>
      </c>
      <c r="M9" s="13"/>
    </row>
    <row r="10" spans="1:13" x14ac:dyDescent="0.25">
      <c r="A10" t="s">
        <v>20</v>
      </c>
      <c r="B10">
        <v>1396</v>
      </c>
      <c r="D10" t="s">
        <v>14</v>
      </c>
      <c r="E10">
        <v>452</v>
      </c>
      <c r="H10" t="s">
        <v>2107</v>
      </c>
      <c r="I10">
        <f>AVERAGE(B2:B566)</f>
        <v>851.14690265486729</v>
      </c>
      <c r="L10" t="s">
        <v>2107</v>
      </c>
      <c r="M10">
        <f>AVERAGE(E2:E365)</f>
        <v>585.61538461538464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  <c r="H11" t="s">
        <v>2108</v>
      </c>
      <c r="I11">
        <f>MEDIAN(B2:B566)</f>
        <v>201</v>
      </c>
      <c r="L11" t="s">
        <v>2108</v>
      </c>
      <c r="M11">
        <f>MEDIAN(E2:E365)</f>
        <v>114.5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  <c r="H12" t="s">
        <v>2109</v>
      </c>
      <c r="I12">
        <f>MIN(B2:B566)</f>
        <v>16</v>
      </c>
      <c r="L12" t="s">
        <v>2109</v>
      </c>
      <c r="M12">
        <f>MIN(E2:E365)</f>
        <v>0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  <c r="H13" t="s">
        <v>2110</v>
      </c>
      <c r="I13">
        <f>MAX(B2:B566)</f>
        <v>7295</v>
      </c>
      <c r="L13" t="s">
        <v>2110</v>
      </c>
      <c r="M13">
        <f>MAX(E2:E365)</f>
        <v>6080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  <c r="H14" t="s">
        <v>2111</v>
      </c>
      <c r="I14">
        <f>_xlfn.VAR.S(B2:B566)</f>
        <v>1606216.5936295739</v>
      </c>
      <c r="L14" t="s">
        <v>2111</v>
      </c>
      <c r="M14">
        <f>_xlfn.VAR.S(E2:E365)</f>
        <v>924113.45496927318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  <c r="H15" t="s">
        <v>2113</v>
      </c>
      <c r="I15">
        <f>_xlfn.STDEV.S(B2:B566)</f>
        <v>1267.366006183523</v>
      </c>
      <c r="L15" t="s">
        <v>2113</v>
      </c>
      <c r="M15">
        <f>_xlfn.STDEV.S(E2:E365)</f>
        <v>961.30819978260524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H9:I9"/>
    <mergeCell ref="L9:M9"/>
  </mergeCells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Rajeshwari K R</cp:lastModifiedBy>
  <dcterms:created xsi:type="dcterms:W3CDTF">2021-09-29T18:52:28Z</dcterms:created>
  <dcterms:modified xsi:type="dcterms:W3CDTF">2023-04-26T18:42:06Z</dcterms:modified>
</cp:coreProperties>
</file>