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D:\Dropbox\bt-content\FRM\FRM 2018\XLS\T3\"/>
    </mc:Choice>
  </mc:AlternateContent>
  <bookViews>
    <workbookView xWindow="0" yWindow="465" windowWidth="25605" windowHeight="14445" xr2:uid="{00000000-000D-0000-FFFF-FFFF00000000}"/>
  </bookViews>
  <sheets>
    <sheet name="TOC" sheetId="24" r:id="rId1"/>
    <sheet name="Ch2-T2.3, 2.4, 3.3, 3.4" sheetId="1" r:id="rId2"/>
    <sheet name="Ch3-Mortality" sheetId="2" r:id="rId3"/>
    <sheet name="Ch3-Mortality_v2" sheetId="4" r:id="rId4"/>
    <sheet name="Ch3-Mortality_v3" sheetId="6" r:id="rId5"/>
    <sheet name="Ch4-Hedgefund_return" sheetId="5" r:id="rId6"/>
    <sheet name="Ch4-FoF-fees" sheetId="22" r:id="rId7"/>
    <sheet name="arch" sheetId="23" r:id="rId8"/>
    <sheet name="bt 700.1" sheetId="9" r:id="rId9"/>
    <sheet name="bt 700.2" sheetId="8" r:id="rId10"/>
    <sheet name="bt 700.2q" sheetId="10" r:id="rId11"/>
    <sheet name="701-1" sheetId="14" r:id="rId12"/>
    <sheet name="H Q2.15" sheetId="15" r:id="rId13"/>
    <sheet name="701-2" sheetId="16" r:id="rId14"/>
    <sheet name="702.1" sheetId="13" r:id="rId15"/>
    <sheet name="703.1" sheetId="17" r:id="rId16"/>
    <sheet name="704.3" sheetId="18" r:id="rId17"/>
    <sheet name="705.3" sheetId="19" r:id="rId18"/>
    <sheet name="706.1" sheetId="20" r:id="rId19"/>
    <sheet name="Hull 4.17" sheetId="21" r:id="rId20"/>
    <sheet name="Hull T 2.3" sheetId="11" r:id="rId21"/>
    <sheet name="Hull T 2.4" sheetId="12" r:id="rId22"/>
  </sheets>
  <definedNames>
    <definedName name="___INDEX_SHEET___ASAP_Utilities">TOC!$A$1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2" l="1"/>
  <c r="F7" i="22"/>
  <c r="G7" i="22" s="1"/>
  <c r="N7" i="22"/>
  <c r="P7" i="22"/>
  <c r="C8" i="22"/>
  <c r="E8" i="22"/>
  <c r="C9" i="22"/>
  <c r="E9" i="22"/>
  <c r="H9" i="22" s="1"/>
  <c r="I9" i="22" s="1"/>
  <c r="F9" i="22"/>
  <c r="G9" i="22" s="1"/>
  <c r="C10" i="22"/>
  <c r="E10" i="22"/>
  <c r="F10" i="22"/>
  <c r="G10" i="22" s="1"/>
  <c r="C11" i="22"/>
  <c r="E11" i="22"/>
  <c r="F11" i="22"/>
  <c r="G11" i="22" s="1"/>
  <c r="C12" i="22"/>
  <c r="O12" i="22" s="1"/>
  <c r="E12" i="22"/>
  <c r="H12" i="22" s="1"/>
  <c r="I12" i="22" s="1"/>
  <c r="F12" i="22"/>
  <c r="G12" i="22" s="1"/>
  <c r="C13" i="22"/>
  <c r="E13" i="22"/>
  <c r="F13" i="22" s="1"/>
  <c r="G13" i="22" s="1"/>
  <c r="C14" i="22"/>
  <c r="N14" i="22" s="1"/>
  <c r="E14" i="22"/>
  <c r="F14" i="22"/>
  <c r="G14" i="22"/>
  <c r="H14" i="22"/>
  <c r="I14" i="22"/>
  <c r="C15" i="22"/>
  <c r="E15" i="22"/>
  <c r="F15" i="22"/>
  <c r="G15" i="22"/>
  <c r="H15" i="22"/>
  <c r="I15" i="22"/>
  <c r="N15" i="22"/>
  <c r="P15" i="22" s="1"/>
  <c r="O15" i="22"/>
  <c r="C16" i="22"/>
  <c r="O16" i="22" s="1"/>
  <c r="E16" i="22"/>
  <c r="F16" i="22"/>
  <c r="G16" i="22"/>
  <c r="H16" i="22"/>
  <c r="I16" i="22"/>
  <c r="N16" i="22"/>
  <c r="P16" i="22" s="1"/>
  <c r="T17" i="22"/>
  <c r="D18" i="22"/>
  <c r="I26" i="22" s="1"/>
  <c r="D7" i="21"/>
  <c r="E7" i="21"/>
  <c r="F7" i="21"/>
  <c r="G7" i="21"/>
  <c r="C8" i="21"/>
  <c r="D8" i="21"/>
  <c r="E8" i="21"/>
  <c r="F8" i="21"/>
  <c r="G8" i="21" s="1"/>
  <c r="C9" i="21"/>
  <c r="D9" i="21"/>
  <c r="E9" i="21"/>
  <c r="F9" i="21"/>
  <c r="G9" i="21"/>
  <c r="C10" i="21"/>
  <c r="D10" i="21"/>
  <c r="E10" i="21" s="1"/>
  <c r="C11" i="21"/>
  <c r="D11" i="21"/>
  <c r="E11" i="21"/>
  <c r="F11" i="21"/>
  <c r="G11" i="21"/>
  <c r="B12" i="21"/>
  <c r="G19" i="21"/>
  <c r="D7" i="20"/>
  <c r="E7" i="20" s="1"/>
  <c r="C8" i="20"/>
  <c r="D8" i="20" s="1"/>
  <c r="E8" i="20" s="1"/>
  <c r="F8" i="20" s="1"/>
  <c r="G8" i="20" s="1"/>
  <c r="C9" i="20"/>
  <c r="D9" i="20"/>
  <c r="E9" i="20"/>
  <c r="F9" i="20"/>
  <c r="G9" i="20" s="1"/>
  <c r="C10" i="20"/>
  <c r="D10" i="20"/>
  <c r="E10" i="20" s="1"/>
  <c r="B11" i="20"/>
  <c r="G20" i="20" s="1"/>
  <c r="E3" i="19"/>
  <c r="F3" i="19"/>
  <c r="F4" i="19"/>
  <c r="F5" i="19"/>
  <c r="P5" i="19"/>
  <c r="P6" i="19" s="1"/>
  <c r="P7" i="19" s="1"/>
  <c r="P8" i="19" s="1"/>
  <c r="P9" i="19" s="1"/>
  <c r="P10" i="19" s="1"/>
  <c r="D6" i="19"/>
  <c r="D8" i="19" s="1"/>
  <c r="E6" i="19"/>
  <c r="E8" i="19" s="1"/>
  <c r="F6" i="19"/>
  <c r="F8" i="19" s="1"/>
  <c r="O10" i="19"/>
  <c r="P12" i="19" s="1"/>
  <c r="P11" i="19"/>
  <c r="Q11" i="19" s="1"/>
  <c r="D7" i="18"/>
  <c r="D8" i="18" s="1"/>
  <c r="E7" i="18"/>
  <c r="E8" i="18"/>
  <c r="E10" i="18"/>
  <c r="E11" i="17"/>
  <c r="E25" i="17"/>
  <c r="E27" i="17"/>
  <c r="E29" i="17"/>
  <c r="J33" i="17"/>
  <c r="J35" i="17"/>
  <c r="O35" i="17"/>
  <c r="H51" i="17"/>
  <c r="H53" i="17" s="1"/>
  <c r="E53" i="17"/>
  <c r="E60" i="17"/>
  <c r="E70" i="17"/>
  <c r="H68" i="17" s="1"/>
  <c r="H70" i="17" s="1"/>
  <c r="E79" i="17"/>
  <c r="H78" i="17" s="1"/>
  <c r="H79" i="17" s="1"/>
  <c r="E89" i="17"/>
  <c r="H88" i="17" s="1"/>
  <c r="H89" i="17" s="1"/>
  <c r="E96" i="17"/>
  <c r="E98" i="17"/>
  <c r="E100" i="17"/>
  <c r="O13" i="22" l="1"/>
  <c r="O18" i="22" s="1"/>
  <c r="H10" i="22"/>
  <c r="I10" i="22" s="1"/>
  <c r="H11" i="22"/>
  <c r="I11" i="22" s="1"/>
  <c r="H8" i="22"/>
  <c r="I8" i="22" s="1"/>
  <c r="P14" i="22"/>
  <c r="H7" i="22"/>
  <c r="F8" i="22"/>
  <c r="G8" i="22" s="1"/>
  <c r="G18" i="22" s="1"/>
  <c r="O14" i="22"/>
  <c r="E18" i="22"/>
  <c r="N13" i="22"/>
  <c r="P13" i="22" s="1"/>
  <c r="N12" i="22"/>
  <c r="P12" i="22" s="1"/>
  <c r="N11" i="22"/>
  <c r="P11" i="22" s="1"/>
  <c r="N10" i="22"/>
  <c r="P10" i="22" s="1"/>
  <c r="N9" i="22"/>
  <c r="P9" i="22" s="1"/>
  <c r="N8" i="22"/>
  <c r="P8" i="22" s="1"/>
  <c r="P18" i="22" s="1"/>
  <c r="H19" i="22" s="1"/>
  <c r="H13" i="22"/>
  <c r="I13" i="22" s="1"/>
  <c r="F10" i="21"/>
  <c r="G10" i="21" s="1"/>
  <c r="G12" i="21"/>
  <c r="F12" i="21"/>
  <c r="G20" i="21" s="1"/>
  <c r="F10" i="20"/>
  <c r="G10" i="20" s="1"/>
  <c r="F7" i="20"/>
  <c r="E11" i="20"/>
  <c r="C11" i="20"/>
  <c r="D8" i="16"/>
  <c r="G7" i="16" s="1"/>
  <c r="D29" i="16"/>
  <c r="D30" i="16"/>
  <c r="D8" i="15"/>
  <c r="G6" i="15" s="1"/>
  <c r="D15" i="15"/>
  <c r="D16" i="15"/>
  <c r="D17" i="15"/>
  <c r="D29" i="15"/>
  <c r="D30" i="15"/>
  <c r="H7" i="14"/>
  <c r="H8" i="14"/>
  <c r="G12" i="14"/>
  <c r="G15" i="14"/>
  <c r="G17" i="14"/>
  <c r="G7" i="14" s="1"/>
  <c r="G8" i="14" s="1"/>
  <c r="N7" i="13"/>
  <c r="O7" i="13"/>
  <c r="R7" i="13"/>
  <c r="S7" i="13"/>
  <c r="D8" i="13"/>
  <c r="D9" i="13" s="1"/>
  <c r="H8" i="13"/>
  <c r="N8" i="13"/>
  <c r="R8" i="13"/>
  <c r="S8" i="13"/>
  <c r="H9" i="13"/>
  <c r="H10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N9" i="13"/>
  <c r="R9" i="13"/>
  <c r="N10" i="13"/>
  <c r="R10" i="13"/>
  <c r="N88" i="13"/>
  <c r="R88" i="13"/>
  <c r="N89" i="13"/>
  <c r="N98" i="13" s="1"/>
  <c r="R89" i="13"/>
  <c r="N90" i="13"/>
  <c r="V90" i="13" s="1"/>
  <c r="R90" i="13"/>
  <c r="N91" i="13"/>
  <c r="R91" i="13"/>
  <c r="N92" i="13"/>
  <c r="R92" i="13"/>
  <c r="N95" i="13"/>
  <c r="D8" i="12"/>
  <c r="G6" i="12" s="1"/>
  <c r="D14" i="12"/>
  <c r="D15" i="12"/>
  <c r="D16" i="12"/>
  <c r="D17" i="12"/>
  <c r="D18" i="12"/>
  <c r="D10" i="11"/>
  <c r="D8" i="10"/>
  <c r="G6" i="10" s="1"/>
  <c r="D14" i="10"/>
  <c r="D18" i="10" s="1"/>
  <c r="R14" i="10"/>
  <c r="D15" i="10"/>
  <c r="D16" i="10"/>
  <c r="N16" i="10"/>
  <c r="P16" i="10"/>
  <c r="R16" i="10"/>
  <c r="D17" i="10"/>
  <c r="N17" i="10"/>
  <c r="P17" i="10"/>
  <c r="I22" i="10"/>
  <c r="I25" i="10"/>
  <c r="D27" i="10"/>
  <c r="D28" i="10"/>
  <c r="D10" i="9"/>
  <c r="D11" i="9"/>
  <c r="D12" i="9"/>
  <c r="D13" i="9"/>
  <c r="D14" i="9"/>
  <c r="G6" i="8"/>
  <c r="D21" i="8" s="1"/>
  <c r="D8" i="8"/>
  <c r="D14" i="8"/>
  <c r="D18" i="8" s="1"/>
  <c r="D20" i="8" s="1"/>
  <c r="D15" i="8"/>
  <c r="D16" i="8"/>
  <c r="D17" i="8"/>
  <c r="N18" i="22" l="1"/>
  <c r="E19" i="22" s="1"/>
  <c r="I7" i="22"/>
  <c r="I18" i="22" s="1"/>
  <c r="H18" i="22"/>
  <c r="I27" i="22" s="1"/>
  <c r="G19" i="22"/>
  <c r="G16" i="21"/>
  <c r="G17" i="21" s="1"/>
  <c r="G21" i="21" s="1"/>
  <c r="H16" i="21"/>
  <c r="G7" i="20"/>
  <c r="G11" i="20" s="1"/>
  <c r="F11" i="20"/>
  <c r="G21" i="20" s="1"/>
  <c r="G8" i="16"/>
  <c r="F21" i="16"/>
  <c r="D31" i="16"/>
  <c r="D17" i="16"/>
  <c r="D15" i="16"/>
  <c r="D14" i="16"/>
  <c r="D21" i="16"/>
  <c r="D16" i="16"/>
  <c r="F21" i="15"/>
  <c r="D31" i="15"/>
  <c r="D21" i="15"/>
  <c r="G8" i="15"/>
  <c r="D14" i="15"/>
  <c r="D18" i="15" s="1"/>
  <c r="D20" i="15" s="1"/>
  <c r="D10" i="13"/>
  <c r="O9" i="13"/>
  <c r="O8" i="13"/>
  <c r="S9" i="13"/>
  <c r="V89" i="13"/>
  <c r="V91" i="13" s="1"/>
  <c r="V92" i="13" s="1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8" i="13" s="1"/>
  <c r="D21" i="12"/>
  <c r="G8" i="12"/>
  <c r="F21" i="12"/>
  <c r="D20" i="12"/>
  <c r="D23" i="10"/>
  <c r="I18" i="10"/>
  <c r="I19" i="10" s="1"/>
  <c r="I6" i="10"/>
  <c r="G8" i="10"/>
  <c r="F24" i="10"/>
  <c r="D24" i="10"/>
  <c r="F21" i="8"/>
  <c r="G8" i="8"/>
  <c r="I23" i="22" l="1"/>
  <c r="I24" i="22" s="1"/>
  <c r="I28" i="22" s="1"/>
  <c r="J23" i="22"/>
  <c r="G22" i="21"/>
  <c r="G15" i="20"/>
  <c r="G18" i="20" s="1"/>
  <c r="G22" i="20" s="1"/>
  <c r="G23" i="20"/>
  <c r="G16" i="20"/>
  <c r="D18" i="16"/>
  <c r="D20" i="16" s="1"/>
  <c r="H89" i="13"/>
  <c r="S88" i="13"/>
  <c r="D11" i="13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8" i="13" s="1"/>
  <c r="O10" i="13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I29" i="22" l="1"/>
  <c r="D89" i="13"/>
  <c r="O88" i="13"/>
  <c r="H90" i="13"/>
  <c r="S89" i="13"/>
  <c r="O89" i="13" l="1"/>
  <c r="D90" i="13"/>
  <c r="S90" i="13"/>
  <c r="H91" i="13"/>
  <c r="O101" i="13" l="1"/>
  <c r="O90" i="13"/>
  <c r="D91" i="13"/>
  <c r="H92" i="13"/>
  <c r="S91" i="13"/>
  <c r="O91" i="13" l="1"/>
  <c r="D92" i="13"/>
  <c r="H95" i="13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S92" i="13"/>
  <c r="O92" i="13" l="1"/>
  <c r="D95" i="13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H7" i="6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J7" i="5"/>
  <c r="J6" i="5"/>
  <c r="J8" i="5"/>
  <c r="E6" i="5"/>
  <c r="C7" i="5"/>
  <c r="D7" i="5"/>
  <c r="E7" i="5"/>
  <c r="E8" i="5"/>
  <c r="F6" i="5"/>
  <c r="F7" i="5"/>
  <c r="F8" i="5"/>
  <c r="E53" i="1"/>
  <c r="E55" i="1"/>
  <c r="E57" i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E46" i="1"/>
  <c r="H45" i="1"/>
  <c r="E36" i="1"/>
  <c r="H35" i="1"/>
  <c r="H36" i="1"/>
  <c r="E17" i="1"/>
  <c r="E27" i="1"/>
  <c r="H25" i="1"/>
  <c r="H27" i="1"/>
  <c r="E10" i="1"/>
  <c r="H8" i="1"/>
  <c r="H10" i="1"/>
  <c r="H46" i="1"/>
</calcChain>
</file>

<file path=xl/sharedStrings.xml><?xml version="1.0" encoding="utf-8"?>
<sst xmlns="http://schemas.openxmlformats.org/spreadsheetml/2006/main" count="560" uniqueCount="181">
  <si>
    <t>Assets</t>
  </si>
  <si>
    <t>Cash</t>
  </si>
  <si>
    <t>Marketable Securities</t>
  </si>
  <si>
    <t>Loans</t>
  </si>
  <si>
    <t>Fixed Assets</t>
  </si>
  <si>
    <t>Total</t>
  </si>
  <si>
    <t>Liabilities and Net Worth</t>
  </si>
  <si>
    <t>Deposits</t>
  </si>
  <si>
    <t>Equity Capital</t>
  </si>
  <si>
    <t>Summary Balance Sheet for DLC at End of 2015 ($ millions)</t>
  </si>
  <si>
    <t>Subord Long-term Debt</t>
  </si>
  <si>
    <t>T2.2</t>
  </si>
  <si>
    <t>T2.4</t>
  </si>
  <si>
    <t>Net Interest Income</t>
  </si>
  <si>
    <t>Loan Losses</t>
  </si>
  <si>
    <t>Non-interest Income</t>
  </si>
  <si>
    <t>Non-interest Expense</t>
  </si>
  <si>
    <t>Pre-Tax Operating Income</t>
  </si>
  <si>
    <t>T2.3</t>
  </si>
  <si>
    <t>Alt Balance Sheet for DLC at End of 2015 with Only 1% Equity ($ millions)</t>
  </si>
  <si>
    <t>T3.3</t>
  </si>
  <si>
    <t>Abbreviated Balance Sheet for Life Insurance Company</t>
  </si>
  <si>
    <t>Investments</t>
  </si>
  <si>
    <t xml:space="preserve">Other Assets </t>
  </si>
  <si>
    <t>Policy reserves</t>
  </si>
  <si>
    <t>T3.4</t>
  </si>
  <si>
    <t>Abbreviated Balance Sheet for Property-Casualty Insurance Company</t>
  </si>
  <si>
    <t>Unearned premiums</t>
  </si>
  <si>
    <t>Note: The period life expectancy at a given age for 2013 represents the average number of years of life remaining if a group of persons at that age were to experience the mortality rates for 2013 over the course of their remaining life.</t>
  </si>
  <si>
    <t>Source: Social Security Administration, Estimates from the 2016 Trustees Report.</t>
  </si>
  <si>
    <r>
      <t>a</t>
    </r>
    <r>
      <rPr>
        <sz val="12"/>
        <color theme="1"/>
        <rFont val="Arial"/>
        <family val="2"/>
      </rPr>
      <t> Probability of dying within one year.</t>
    </r>
  </si>
  <si>
    <r>
      <t>b</t>
    </r>
    <r>
      <rPr>
        <sz val="12"/>
        <color theme="1"/>
        <rFont val="Arial"/>
        <family val="2"/>
      </rPr>
      <t> Number of survivors out of 100,000 born alive.</t>
    </r>
  </si>
  <si>
    <t>Exact</t>
  </si>
  <si>
    <t>age</t>
  </si>
  <si>
    <t>Death</t>
  </si>
  <si>
    <t>Prob</t>
  </si>
  <si>
    <t>Life</t>
  </si>
  <si>
    <t>Expect</t>
  </si>
  <si>
    <t>Survival</t>
  </si>
  <si>
    <t># of</t>
  </si>
  <si>
    <t>Lives</t>
  </si>
  <si>
    <t>Male</t>
  </si>
  <si>
    <t>Female</t>
  </si>
  <si>
    <t>&lt;&lt;- note how my Survival prob is exactly /100,000 the # of lives. Confirmation!</t>
  </si>
  <si>
    <t>T3.2</t>
  </si>
  <si>
    <t>Loss ratio</t>
  </si>
  <si>
    <t>Expense ratio</t>
  </si>
  <si>
    <t>Combined ratio</t>
  </si>
  <si>
    <t>Dividends</t>
  </si>
  <si>
    <t>Combined ratio after dividends</t>
  </si>
  <si>
    <t>Operating ratio</t>
  </si>
  <si>
    <t xml:space="preserve">Investment income </t>
  </si>
  <si>
    <t>Example Showing Calculation of Operating Ratio for a Property-Casualty Insurance Company</t>
  </si>
  <si>
    <t>Prob (b)</t>
  </si>
  <si>
    <t>Prob (a)</t>
  </si>
  <si>
    <t>Mortality Table</t>
  </si>
  <si>
    <t>Fund A</t>
  </si>
  <si>
    <t>Fund B</t>
  </si>
  <si>
    <t>Example: Calculation of Hedge fund return</t>
  </si>
  <si>
    <t>Fees paid</t>
  </si>
  <si>
    <t>Average</t>
  </si>
  <si>
    <t>Both funds</t>
  </si>
  <si>
    <t>Returns before fees</t>
  </si>
  <si>
    <t>Return to investors after fees</t>
  </si>
  <si>
    <t>Expected return to hedge fund</t>
  </si>
  <si>
    <t>Expected return to invetors</t>
  </si>
  <si>
    <t>Overall expected return</t>
  </si>
  <si>
    <t>Probabilities</t>
  </si>
  <si>
    <t>Returns</t>
  </si>
  <si>
    <t>Example: Returns of a high risk investment where hedge fund fee is 2 plus 20%</t>
  </si>
  <si>
    <t>Cond'l</t>
  </si>
  <si>
    <t>Cumul</t>
  </si>
  <si>
    <t>…</t>
  </si>
  <si>
    <t>(a) Conditional probability of dying within one year.</t>
  </si>
  <si>
    <t>(b) Cumulative probability of survival up to the age</t>
  </si>
  <si>
    <t>Sheet index:</t>
  </si>
  <si>
    <t>Leverage</t>
  </si>
  <si>
    <t>ROE</t>
  </si>
  <si>
    <t>Pre-tax Oper. income</t>
  </si>
  <si>
    <t>Non-interest expense</t>
  </si>
  <si>
    <t>Non-interest income</t>
  </si>
  <si>
    <t>Loan losses</t>
  </si>
  <si>
    <t>Net interest income</t>
  </si>
  <si>
    <t>(millions)</t>
  </si>
  <si>
    <t>for DLC in 2016</t>
  </si>
  <si>
    <t>Summary Income Statement</t>
  </si>
  <si>
    <t>Sub Long term debt</t>
  </si>
  <si>
    <t>Alternative Balance Sheet for DLC at End of 2016</t>
  </si>
  <si>
    <t>Pre-tax operating income</t>
  </si>
  <si>
    <t>Deposits and Loans Corp (DLC) in 2016</t>
  </si>
  <si>
    <t>Summary Income Statement for</t>
  </si>
  <si>
    <t>Tax rate</t>
  </si>
  <si>
    <t>Balance Sheet for DLC at End of 2016</t>
  </si>
  <si>
    <t>Deposits and Loans Corp (DLC)</t>
  </si>
  <si>
    <r>
      <t>b</t>
    </r>
    <r>
      <rPr>
        <sz val="12"/>
        <color theme="1"/>
        <rFont val="Calibri"/>
        <family val="2"/>
        <scheme val="minor"/>
      </rPr>
      <t> No. of survivors out of 100,000 born alive.</t>
    </r>
  </si>
  <si>
    <r>
      <t>a</t>
    </r>
    <r>
      <rPr>
        <sz val="12"/>
        <color theme="1"/>
        <rFont val="Calibri"/>
        <family val="2"/>
        <scheme val="minor"/>
      </rPr>
      <t> Probability of dying within one year.</t>
    </r>
  </si>
  <si>
    <t>one year</t>
  </si>
  <si>
    <t>(Yrs)</t>
  </si>
  <si>
    <t>Death w/n</t>
  </si>
  <si>
    <t>Age</t>
  </si>
  <si>
    <t>Probability</t>
  </si>
  <si>
    <t>Allowance for loan losses, Dec 31st</t>
  </si>
  <si>
    <t>Provision for loan losses</t>
  </si>
  <si>
    <t>Net charge-offs (during year)</t>
  </si>
  <si>
    <t>Recoveries of previously charged off</t>
  </si>
  <si>
    <t>Loans charged off (during year)</t>
  </si>
  <si>
    <t>Allowance for loan losses, Jan 1st</t>
  </si>
  <si>
    <r>
      <rPr>
        <b/>
        <sz val="11"/>
        <color rgb="FF0000FF"/>
        <rFont val="Calibri"/>
        <family val="2"/>
      </rPr>
      <t>FOOTNOTE</t>
    </r>
    <r>
      <rPr>
        <b/>
        <sz val="11"/>
        <color theme="1"/>
        <rFont val="Calibri"/>
        <family val="2"/>
      </rPr>
      <t xml:space="preserve"> to DLC's balance sheet ending Dec 31st, 2016</t>
    </r>
  </si>
  <si>
    <t>Loans, net of allowance</t>
  </si>
  <si>
    <t>Allowance for loan losses</t>
  </si>
  <si>
    <t>Loans, measured at fair value</t>
  </si>
  <si>
    <r>
      <t xml:space="preserve">Selected from DLC's </t>
    </r>
    <r>
      <rPr>
        <b/>
        <sz val="11"/>
        <color rgb="FF0000FF"/>
        <rFont val="Calibri"/>
        <family val="2"/>
      </rPr>
      <t>BALANCE SHEET</t>
    </r>
    <r>
      <rPr>
        <b/>
        <sz val="11"/>
        <color theme="1"/>
        <rFont val="Calibri"/>
        <family val="2"/>
      </rPr>
      <t xml:space="preserve"> ending Dec 31st, 2016</t>
    </r>
  </si>
  <si>
    <t>sigma</t>
  </si>
  <si>
    <t xml:space="preserve">mean </t>
  </si>
  <si>
    <t>Liabilities and Net Worth (mm)</t>
  </si>
  <si>
    <t>Assets (millions)</t>
  </si>
  <si>
    <t>X(O)</t>
  </si>
  <si>
    <t>X(I)</t>
  </si>
  <si>
    <t>Investment income</t>
  </si>
  <si>
    <t>X(C)</t>
  </si>
  <si>
    <t>Combined ratio (after dividends)</t>
  </si>
  <si>
    <t>X(D)</t>
  </si>
  <si>
    <t>Combined ratio (before dividends)</t>
  </si>
  <si>
    <t>Insurance Company</t>
  </si>
  <si>
    <t xml:space="preserve">Acehouse Property-Casualty </t>
  </si>
  <si>
    <t>Hull's Actual Table 3.2</t>
  </si>
  <si>
    <t>An Insurance Company</t>
  </si>
  <si>
    <t>Acehouse Property-Casualty  (APC)</t>
  </si>
  <si>
    <t>X(D), X(C), X(I), X(O) represent hidden values</t>
  </si>
  <si>
    <t>R</t>
  </si>
  <si>
    <t>Pension</t>
  </si>
  <si>
    <t>Retire with % of FAS</t>
  </si>
  <si>
    <t xml:space="preserve">Employee works for </t>
  </si>
  <si>
    <t>Hull 2.15</t>
  </si>
  <si>
    <t>risk-free</t>
  </si>
  <si>
    <t>cash</t>
  </si>
  <si>
    <t>stocks</t>
  </si>
  <si>
    <t>Return to investor</t>
  </si>
  <si>
    <t>Fees to fund of funds</t>
  </si>
  <si>
    <t>Fees to hedge funds</t>
  </si>
  <si>
    <t>Return earned by hedge funds</t>
  </si>
  <si>
    <t>Total FOF fees</t>
  </si>
  <si>
    <t>+ 10% Peformance fee</t>
  </si>
  <si>
    <t>Management fee</t>
  </si>
  <si>
    <t>Fund of Funds</t>
  </si>
  <si>
    <t>Avg</t>
  </si>
  <si>
    <t>(A-B)</t>
  </si>
  <si>
    <t>(B)</t>
  </si>
  <si>
    <t>(A)</t>
  </si>
  <si>
    <t>Return</t>
  </si>
  <si>
    <t>Fee</t>
  </si>
  <si>
    <t>after Fee</t>
  </si>
  <si>
    <t>Net</t>
  </si>
  <si>
    <t>Perform</t>
  </si>
  <si>
    <t>Mgmt</t>
  </si>
  <si>
    <t>Gross</t>
  </si>
  <si>
    <t>Hedge Funds</t>
  </si>
  <si>
    <t>Fund #</t>
  </si>
  <si>
    <t>Tot</t>
  </si>
  <si>
    <t>Arch</t>
  </si>
  <si>
    <t>Ch2-T2.3, 2.4, 3.3, 3.4</t>
  </si>
  <si>
    <t>Ch3-Mortality</t>
  </si>
  <si>
    <t>Ch3-Mortality_v2</t>
  </si>
  <si>
    <t>Ch3-Mortality_v3</t>
  </si>
  <si>
    <t>arch</t>
  </si>
  <si>
    <t>bt 700.1</t>
  </si>
  <si>
    <t>bt 700.2</t>
  </si>
  <si>
    <t>bt 700.2q</t>
  </si>
  <si>
    <t>701-1</t>
  </si>
  <si>
    <t>H Q2.15</t>
  </si>
  <si>
    <t>701-2</t>
  </si>
  <si>
    <t>702.1</t>
  </si>
  <si>
    <t>703.1</t>
  </si>
  <si>
    <t>704.3</t>
  </si>
  <si>
    <t>705.3</t>
  </si>
  <si>
    <t>706.1</t>
  </si>
  <si>
    <t>Hull 4.17</t>
  </si>
  <si>
    <t>Hull T 2.3</t>
  </si>
  <si>
    <t>Hull T 2.4</t>
  </si>
  <si>
    <t>Ch4-Hedgefund_return</t>
  </si>
  <si>
    <t>Ch4-FoF-fees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</si>
</sst>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.0"/>
    <numFmt numFmtId="167" formatCode="0.000000"/>
    <numFmt numFmtId="168" formatCode="0.0%"/>
    <numFmt numFmtId="169" formatCode="0.000%"/>
    <numFmt numFmtId="170" formatCode="_(* #,##0_);_(* \(#,##0\);_(* &quot;-&quot;??_);_(@_)"/>
    <numFmt numFmtId="171" formatCode="0.00000000"/>
    <numFmt numFmtId="172" formatCode="_(* #,##0.0000000_);_(* \(#,##0.0000000\);_(* &quot;-&quot;??_);_(@_)"/>
    <numFmt numFmtId="173" formatCode="&quot;$&quot;#,##0.0_);\(&quot;$&quot;#,##0.0\)"/>
    <numFmt numFmtId="174" formatCode="0.0000%"/>
    <numFmt numFmtId="175" formatCode="0.000"/>
    <numFmt numFmtId="176" formatCode="&quot;$&quot;#,##0"/>
  </numFmts>
  <fonts count="23"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9"/>
      <color rgb="FF21212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3"/>
      <color rgb="FF000000"/>
      <name val="Lucida Grande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18"/>
      <name val="Calibri"/>
      <family val="2"/>
    </font>
    <font>
      <sz val="11"/>
      <color indexed="18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</borders>
  <cellStyleXfs count="1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165" fontId="2" fillId="0" borderId="1" xfId="0" applyNumberFormat="1" applyFont="1" applyBorder="1"/>
    <xf numFmtId="166" fontId="2" fillId="0" borderId="1" xfId="0" applyNumberFormat="1" applyFont="1" applyBorder="1"/>
    <xf numFmtId="43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43" fontId="1" fillId="0" borderId="0" xfId="1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0" borderId="0" xfId="0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167" fontId="1" fillId="4" borderId="0" xfId="0" applyNumberFormat="1" applyFont="1" applyFill="1" applyAlignment="1">
      <alignment horizontal="right" vertical="center"/>
    </xf>
    <xf numFmtId="43" fontId="1" fillId="4" borderId="0" xfId="1" applyFont="1" applyFill="1" applyAlignment="1">
      <alignment horizontal="right" vertical="center"/>
    </xf>
    <xf numFmtId="9" fontId="1" fillId="0" borderId="0" xfId="2" applyFont="1"/>
    <xf numFmtId="0" fontId="6" fillId="0" borderId="0" xfId="0" applyFont="1" applyAlignment="1">
      <alignment vertical="center"/>
    </xf>
    <xf numFmtId="0" fontId="1" fillId="2" borderId="0" xfId="0" applyFont="1" applyFill="1"/>
    <xf numFmtId="9" fontId="1" fillId="2" borderId="0" xfId="2" applyFont="1" applyFill="1"/>
    <xf numFmtId="0" fontId="1" fillId="2" borderId="0" xfId="0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right" vertical="center"/>
    </xf>
    <xf numFmtId="43" fontId="1" fillId="2" borderId="0" xfId="1" applyFont="1" applyFill="1" applyAlignment="1">
      <alignment horizontal="right" vertical="center"/>
    </xf>
    <xf numFmtId="168" fontId="1" fillId="0" borderId="0" xfId="2" applyNumberFormat="1" applyFont="1"/>
    <xf numFmtId="168" fontId="1" fillId="0" borderId="0" xfId="0" applyNumberFormat="1" applyFont="1"/>
    <xf numFmtId="0" fontId="2" fillId="0" borderId="0" xfId="0" applyFont="1" applyBorder="1"/>
    <xf numFmtId="0" fontId="2" fillId="2" borderId="3" xfId="0" applyFont="1" applyFill="1" applyBorder="1"/>
    <xf numFmtId="0" fontId="2" fillId="0" borderId="0" xfId="0" applyFont="1" applyAlignment="1">
      <alignment wrapText="1"/>
    </xf>
    <xf numFmtId="0" fontId="1" fillId="0" borderId="0" xfId="0" applyFont="1" applyBorder="1"/>
    <xf numFmtId="0" fontId="1" fillId="0" borderId="2" xfId="0" applyFont="1" applyBorder="1"/>
    <xf numFmtId="10" fontId="1" fillId="0" borderId="2" xfId="2" applyNumberFormat="1" applyFont="1" applyBorder="1"/>
    <xf numFmtId="0" fontId="1" fillId="0" borderId="1" xfId="0" applyFont="1" applyBorder="1"/>
    <xf numFmtId="0" fontId="1" fillId="5" borderId="0" xfId="0" applyFont="1" applyFill="1" applyBorder="1"/>
    <xf numFmtId="10" fontId="1" fillId="5" borderId="0" xfId="2" applyNumberFormat="1" applyFont="1" applyFill="1" applyBorder="1"/>
    <xf numFmtId="0" fontId="1" fillId="2" borderId="0" xfId="0" applyFont="1" applyFill="1" applyBorder="1"/>
    <xf numFmtId="10" fontId="1" fillId="2" borderId="0" xfId="2" applyNumberFormat="1" applyFont="1" applyFill="1" applyBorder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Fill="1" applyAlignment="1"/>
    <xf numFmtId="0" fontId="11" fillId="0" borderId="2" xfId="0" applyFont="1" applyBorder="1" applyAlignment="1">
      <alignment horizontal="centerContinuous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Continuous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10" fillId="0" borderId="0" xfId="0" applyFont="1" applyFill="1" applyAlignment="1">
      <alignment horizontal="center" vertical="center"/>
    </xf>
    <xf numFmtId="167" fontId="10" fillId="0" borderId="0" xfId="0" applyNumberFormat="1" applyFont="1" applyFill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67" fontId="10" fillId="4" borderId="0" xfId="0" applyNumberFormat="1" applyFont="1" applyFill="1" applyAlignment="1">
      <alignment horizontal="right" vertical="center"/>
    </xf>
    <xf numFmtId="43" fontId="10" fillId="4" borderId="0" xfId="1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right" vertical="center"/>
    </xf>
    <xf numFmtId="43" fontId="10" fillId="2" borderId="0" xfId="1" applyFont="1" applyFill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0" fillId="0" borderId="0" xfId="0" applyNumberFormat="1" applyFont="1" applyAlignment="1"/>
    <xf numFmtId="0" fontId="14" fillId="0" borderId="0" xfId="0" applyFont="1"/>
    <xf numFmtId="0" fontId="15" fillId="0" borderId="0" xfId="0" applyFont="1"/>
    <xf numFmtId="0" fontId="7" fillId="0" borderId="0" xfId="15" quotePrefix="1"/>
    <xf numFmtId="0" fontId="2" fillId="0" borderId="0" xfId="0" applyFont="1" applyAlignment="1">
      <alignment horizontal="center" wrapText="1"/>
    </xf>
    <xf numFmtId="43" fontId="0" fillId="0" borderId="0" xfId="1" applyFont="1"/>
    <xf numFmtId="168" fontId="0" fillId="0" borderId="0" xfId="2" applyNumberFormat="1" applyFont="1"/>
    <xf numFmtId="8" fontId="0" fillId="0" borderId="0" xfId="0" applyNumberFormat="1"/>
    <xf numFmtId="8" fontId="0" fillId="0" borderId="4" xfId="0" applyNumberFormat="1" applyBorder="1"/>
    <xf numFmtId="0" fontId="0" fillId="0" borderId="0" xfId="0" applyAlignment="1">
      <alignment horizontal="center"/>
    </xf>
    <xf numFmtId="0" fontId="16" fillId="6" borderId="2" xfId="0" applyFont="1" applyFill="1" applyBorder="1"/>
    <xf numFmtId="0" fontId="17" fillId="6" borderId="2" xfId="0" applyFont="1" applyFill="1" applyBorder="1"/>
    <xf numFmtId="0" fontId="16" fillId="6" borderId="0" xfId="0" applyFont="1" applyFill="1" applyBorder="1"/>
    <xf numFmtId="0" fontId="17" fillId="6" borderId="0" xfId="0" applyFont="1" applyFill="1" applyBorder="1"/>
    <xf numFmtId="0" fontId="17" fillId="0" borderId="0" xfId="0" applyFont="1"/>
    <xf numFmtId="0" fontId="0" fillId="0" borderId="4" xfId="0" applyBorder="1"/>
    <xf numFmtId="0" fontId="16" fillId="7" borderId="2" xfId="0" applyFont="1" applyFill="1" applyBorder="1"/>
    <xf numFmtId="0" fontId="0" fillId="0" borderId="2" xfId="0" applyBorder="1"/>
    <xf numFmtId="0" fontId="0" fillId="8" borderId="2" xfId="0" applyFill="1" applyBorder="1"/>
    <xf numFmtId="0" fontId="16" fillId="8" borderId="2" xfId="0" applyFont="1" applyFill="1" applyBorder="1"/>
    <xf numFmtId="0" fontId="0" fillId="6" borderId="0" xfId="0" applyFill="1"/>
    <xf numFmtId="0" fontId="17" fillId="6" borderId="0" xfId="0" applyFont="1" applyFill="1"/>
    <xf numFmtId="169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16" fillId="8" borderId="0" xfId="0" applyFont="1" applyFill="1" applyBorder="1"/>
    <xf numFmtId="10" fontId="0" fillId="0" borderId="0" xfId="2" applyNumberFormat="1" applyFont="1"/>
    <xf numFmtId="168" fontId="16" fillId="9" borderId="0" xfId="0" applyNumberFormat="1" applyFont="1" applyFill="1"/>
    <xf numFmtId="0" fontId="16" fillId="9" borderId="0" xfId="0" applyFont="1" applyFill="1"/>
    <xf numFmtId="170" fontId="0" fillId="0" borderId="0" xfId="0" applyNumberFormat="1"/>
    <xf numFmtId="170" fontId="0" fillId="0" borderId="0" xfId="1" applyNumberFormat="1" applyFont="1"/>
    <xf numFmtId="9" fontId="0" fillId="0" borderId="0" xfId="2" applyFont="1"/>
    <xf numFmtId="10" fontId="10" fillId="0" borderId="0" xfId="2" applyNumberFormat="1" applyFont="1" applyAlignment="1"/>
    <xf numFmtId="169" fontId="10" fillId="0" borderId="0" xfId="2" applyNumberFormat="1" applyFont="1" applyAlignment="1"/>
    <xf numFmtId="171" fontId="10" fillId="0" borderId="0" xfId="0" applyNumberFormat="1" applyFont="1" applyFill="1" applyAlignment="1">
      <alignment horizontal="right" vertical="center"/>
    </xf>
    <xf numFmtId="167" fontId="10" fillId="0" borderId="0" xfId="1" applyNumberFormat="1" applyFont="1" applyFill="1" applyAlignment="1">
      <alignment horizontal="right" vertical="center"/>
    </xf>
    <xf numFmtId="172" fontId="10" fillId="0" borderId="0" xfId="1" applyNumberFormat="1" applyFont="1" applyAlignment="1"/>
    <xf numFmtId="171" fontId="10" fillId="0" borderId="0" xfId="0" applyNumberFormat="1" applyFont="1" applyAlignment="1"/>
    <xf numFmtId="171" fontId="11" fillId="0" borderId="0" xfId="0" applyNumberFormat="1" applyFont="1" applyFill="1" applyAlignment="1">
      <alignment horizontal="right" vertical="center"/>
    </xf>
    <xf numFmtId="167" fontId="10" fillId="0" borderId="0" xfId="0" applyNumberFormat="1" applyFont="1" applyFill="1" applyAlignment="1">
      <alignment horizontal="center" vertical="center"/>
    </xf>
    <xf numFmtId="167" fontId="10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10" fillId="2" borderId="0" xfId="0" applyFont="1" applyFill="1" applyAlignment="1"/>
    <xf numFmtId="0" fontId="11" fillId="2" borderId="0" xfId="0" applyFont="1" applyFill="1" applyAlignment="1"/>
    <xf numFmtId="173" fontId="16" fillId="0" borderId="0" xfId="1" applyNumberFormat="1" applyFont="1"/>
    <xf numFmtId="7" fontId="16" fillId="0" borderId="0" xfId="1" applyNumberFormat="1" applyFont="1"/>
    <xf numFmtId="173" fontId="16" fillId="0" borderId="2" xfId="1" applyNumberFormat="1" applyFont="1" applyBorder="1"/>
    <xf numFmtId="0" fontId="18" fillId="0" borderId="0" xfId="0" applyFont="1"/>
    <xf numFmtId="0" fontId="16" fillId="0" borderId="0" xfId="0" applyFont="1"/>
    <xf numFmtId="0" fontId="16" fillId="10" borderId="2" xfId="0" applyFont="1" applyFill="1" applyBorder="1"/>
    <xf numFmtId="0" fontId="0" fillId="10" borderId="2" xfId="0" applyFill="1" applyBorder="1"/>
    <xf numFmtId="173" fontId="16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10" fillId="0" borderId="0" xfId="0" applyFont="1"/>
    <xf numFmtId="0" fontId="11" fillId="0" borderId="0" xfId="0" applyFont="1"/>
    <xf numFmtId="9" fontId="10" fillId="2" borderId="0" xfId="2" applyFont="1" applyFill="1"/>
    <xf numFmtId="0" fontId="10" fillId="2" borderId="0" xfId="0" applyFont="1" applyFill="1"/>
    <xf numFmtId="9" fontId="10" fillId="0" borderId="0" xfId="2" applyFont="1"/>
    <xf numFmtId="0" fontId="20" fillId="0" borderId="0" xfId="0" applyFont="1" applyAlignment="1">
      <alignment vertical="center"/>
    </xf>
    <xf numFmtId="166" fontId="11" fillId="0" borderId="1" xfId="0" applyNumberFormat="1" applyFont="1" applyBorder="1"/>
    <xf numFmtId="164" fontId="10" fillId="0" borderId="0" xfId="0" applyNumberFormat="1" applyFont="1"/>
    <xf numFmtId="0" fontId="11" fillId="3" borderId="0" xfId="0" applyFont="1" applyFill="1"/>
    <xf numFmtId="0" fontId="11" fillId="2" borderId="0" xfId="0" applyFont="1" applyFill="1"/>
    <xf numFmtId="165" fontId="11" fillId="0" borderId="1" xfId="0" applyNumberFormat="1" applyFont="1" applyBorder="1"/>
    <xf numFmtId="43" fontId="10" fillId="0" borderId="0" xfId="0" applyNumberFormat="1" applyFont="1"/>
    <xf numFmtId="168" fontId="11" fillId="11" borderId="0" xfId="0" applyNumberFormat="1" applyFont="1" applyFill="1" applyAlignment="1">
      <alignment horizontal="right"/>
    </xf>
    <xf numFmtId="168" fontId="11" fillId="11" borderId="1" xfId="0" applyNumberFormat="1" applyFont="1" applyFill="1" applyBorder="1" applyAlignment="1">
      <alignment horizontal="right"/>
    </xf>
    <xf numFmtId="168" fontId="11" fillId="0" borderId="1" xfId="0" applyNumberFormat="1" applyFont="1" applyBorder="1"/>
    <xf numFmtId="8" fontId="10" fillId="0" borderId="0" xfId="0" applyNumberFormat="1" applyFont="1"/>
    <xf numFmtId="168" fontId="11" fillId="0" borderId="0" xfId="0" applyNumberFormat="1" applyFont="1"/>
    <xf numFmtId="6" fontId="10" fillId="0" borderId="0" xfId="0" applyNumberFormat="1" applyFont="1"/>
    <xf numFmtId="0" fontId="10" fillId="2" borderId="2" xfId="0" applyFont="1" applyFill="1" applyBorder="1"/>
    <xf numFmtId="0" fontId="11" fillId="2" borderId="2" xfId="0" applyFont="1" applyFill="1" applyBorder="1"/>
    <xf numFmtId="168" fontId="11" fillId="0" borderId="0" xfId="0" applyNumberFormat="1" applyFont="1" applyBorder="1"/>
    <xf numFmtId="168" fontId="11" fillId="0" borderId="2" xfId="2" applyNumberFormat="1" applyFont="1" applyBorder="1"/>
    <xf numFmtId="168" fontId="11" fillId="0" borderId="2" xfId="0" applyNumberFormat="1" applyFont="1" applyBorder="1"/>
    <xf numFmtId="0" fontId="11" fillId="12" borderId="0" xfId="0" applyFont="1" applyFill="1"/>
    <xf numFmtId="0" fontId="21" fillId="12" borderId="0" xfId="0" applyFont="1" applyFill="1"/>
    <xf numFmtId="168" fontId="11" fillId="12" borderId="0" xfId="0" applyNumberFormat="1" applyFont="1" applyFill="1" applyAlignment="1">
      <alignment horizontal="right"/>
    </xf>
    <xf numFmtId="168" fontId="11" fillId="12" borderId="1" xfId="0" applyNumberFormat="1" applyFont="1" applyFill="1" applyBorder="1" applyAlignment="1">
      <alignment horizontal="right"/>
    </xf>
    <xf numFmtId="2" fontId="0" fillId="0" borderId="0" xfId="0" applyNumberFormat="1"/>
    <xf numFmtId="0" fontId="16" fillId="2" borderId="0" xfId="0" applyFont="1" applyFill="1" applyAlignment="1">
      <alignment horizontal="right"/>
    </xf>
    <xf numFmtId="174" fontId="0" fillId="0" borderId="0" xfId="0" applyNumberFormat="1"/>
    <xf numFmtId="171" fontId="0" fillId="0" borderId="0" xfId="0" applyNumberFormat="1"/>
    <xf numFmtId="169" fontId="0" fillId="0" borderId="0" xfId="0" applyNumberFormat="1"/>
    <xf numFmtId="168" fontId="16" fillId="13" borderId="0" xfId="0" applyNumberFormat="1" applyFont="1" applyFill="1"/>
    <xf numFmtId="44" fontId="0" fillId="0" borderId="0" xfId="16" applyFont="1"/>
    <xf numFmtId="43" fontId="0" fillId="0" borderId="0" xfId="1" applyNumberFormat="1" applyFont="1"/>
    <xf numFmtId="169" fontId="16" fillId="0" borderId="0" xfId="0" applyNumberFormat="1" applyFont="1"/>
    <xf numFmtId="169" fontId="16" fillId="9" borderId="2" xfId="0" applyNumberFormat="1" applyFont="1" applyFill="1" applyBorder="1"/>
    <xf numFmtId="169" fontId="16" fillId="4" borderId="0" xfId="0" applyNumberFormat="1" applyFont="1" applyFill="1"/>
    <xf numFmtId="169" fontId="16" fillId="2" borderId="0" xfId="0" applyNumberFormat="1" applyFont="1" applyFill="1"/>
    <xf numFmtId="175" fontId="0" fillId="0" borderId="0" xfId="0" applyNumberFormat="1"/>
    <xf numFmtId="169" fontId="16" fillId="9" borderId="1" xfId="0" applyNumberFormat="1" applyFont="1" applyFill="1" applyBorder="1"/>
    <xf numFmtId="9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6" fillId="0" borderId="0" xfId="0" quotePrefix="1" applyFont="1" applyAlignment="1">
      <alignment horizontal="right"/>
    </xf>
    <xf numFmtId="174" fontId="0" fillId="0" borderId="0" xfId="2" applyNumberFormat="1" applyFont="1"/>
    <xf numFmtId="169" fontId="16" fillId="0" borderId="0" xfId="0" applyNumberFormat="1" applyFont="1" applyBorder="1"/>
    <xf numFmtId="167" fontId="0" fillId="0" borderId="0" xfId="0" applyNumberFormat="1"/>
    <xf numFmtId="0" fontId="16" fillId="0" borderId="2" xfId="0" applyFont="1" applyBorder="1" applyAlignment="1">
      <alignment horizontal="right"/>
    </xf>
    <xf numFmtId="10" fontId="16" fillId="2" borderId="0" xfId="2" applyNumberFormat="1" applyFont="1" applyFill="1"/>
    <xf numFmtId="10" fontId="0" fillId="0" borderId="2" xfId="0" applyNumberFormat="1" applyBorder="1"/>
    <xf numFmtId="174" fontId="0" fillId="0" borderId="2" xfId="0" applyNumberFormat="1" applyBorder="1"/>
    <xf numFmtId="168" fontId="0" fillId="0" borderId="2" xfId="0" applyNumberFormat="1" applyBorder="1"/>
    <xf numFmtId="168" fontId="0" fillId="0" borderId="2" xfId="2" applyNumberFormat="1" applyFont="1" applyBorder="1"/>
    <xf numFmtId="168" fontId="0" fillId="0" borderId="0" xfId="0" applyNumberFormat="1"/>
    <xf numFmtId="0" fontId="16" fillId="0" borderId="0" xfId="0" applyFont="1" applyBorder="1" applyAlignment="1">
      <alignment horizontal="right"/>
    </xf>
    <xf numFmtId="9" fontId="16" fillId="11" borderId="0" xfId="0" applyNumberFormat="1" applyFont="1" applyFill="1" applyBorder="1" applyAlignment="1">
      <alignment horizontal="right"/>
    </xf>
    <xf numFmtId="43" fontId="16" fillId="0" borderId="0" xfId="0" applyNumberFormat="1" applyFont="1" applyBorder="1" applyAlignment="1">
      <alignment horizontal="right"/>
    </xf>
    <xf numFmtId="0" fontId="16" fillId="0" borderId="2" xfId="0" applyFont="1" applyBorder="1" applyAlignment="1">
      <alignment horizontal="centerContinuous"/>
    </xf>
    <xf numFmtId="169" fontId="16" fillId="9" borderId="0" xfId="0" applyNumberFormat="1" applyFont="1" applyFill="1"/>
    <xf numFmtId="176" fontId="16" fillId="4" borderId="0" xfId="0" applyNumberFormat="1" applyFont="1" applyFill="1"/>
    <xf numFmtId="10" fontId="0" fillId="0" borderId="0" xfId="0" applyNumberFormat="1" applyBorder="1"/>
    <xf numFmtId="174" fontId="0" fillId="0" borderId="0" xfId="0" applyNumberFormat="1" applyBorder="1"/>
    <xf numFmtId="168" fontId="0" fillId="0" borderId="0" xfId="0" applyNumberFormat="1" applyBorder="1"/>
    <xf numFmtId="168" fontId="0" fillId="0" borderId="0" xfId="2" applyNumberFormat="1" applyFont="1" applyBorder="1"/>
    <xf numFmtId="173" fontId="0" fillId="0" borderId="0" xfId="0" applyNumberFormat="1"/>
    <xf numFmtId="5" fontId="0" fillId="0" borderId="0" xfId="16" applyNumberFormat="1" applyFo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2" xfId="0" applyFont="1" applyBorder="1"/>
    <xf numFmtId="6" fontId="16" fillId="11" borderId="0" xfId="0" applyNumberFormat="1" applyFont="1" applyFill="1"/>
    <xf numFmtId="0" fontId="22" fillId="14" borderId="0" xfId="0" applyFont="1" applyFill="1"/>
  </cellXfs>
  <cellStyles count="17">
    <cellStyle name="Comma" xfId="1" builtinId="3"/>
    <cellStyle name="Currency" xfId="16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1F4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B9F0-7F70-4F80-8D12-13FA995B88D3}">
  <dimension ref="A1:A22"/>
  <sheetViews>
    <sheetView tabSelected="1" workbookViewId="0">
      <selection activeCell="A2" sqref="A2"/>
    </sheetView>
  </sheetViews>
  <sheetFormatPr defaultRowHeight="15"/>
  <cols>
    <col min="1" max="1" width="21.85546875" style="79" bestFit="1" customWidth="1"/>
    <col min="2" max="16384" width="9.140625" style="79"/>
  </cols>
  <sheetData>
    <row r="1" spans="1:1" ht="17.25">
      <c r="A1" s="78" t="s">
        <v>75</v>
      </c>
    </row>
    <row r="2" spans="1:1">
      <c r="A2" s="80" t="s">
        <v>160</v>
      </c>
    </row>
    <row r="3" spans="1:1">
      <c r="A3" s="80" t="s">
        <v>161</v>
      </c>
    </row>
    <row r="4" spans="1:1">
      <c r="A4" s="80" t="s">
        <v>162</v>
      </c>
    </row>
    <row r="5" spans="1:1">
      <c r="A5" s="80" t="s">
        <v>163</v>
      </c>
    </row>
    <row r="6" spans="1:1">
      <c r="A6" s="80" t="s">
        <v>179</v>
      </c>
    </row>
    <row r="7" spans="1:1">
      <c r="A7" s="80" t="s">
        <v>180</v>
      </c>
    </row>
    <row r="8" spans="1:1">
      <c r="A8" s="80" t="s">
        <v>164</v>
      </c>
    </row>
    <row r="9" spans="1:1">
      <c r="A9" s="80" t="s">
        <v>165</v>
      </c>
    </row>
    <row r="10" spans="1:1">
      <c r="A10" s="80" t="s">
        <v>166</v>
      </c>
    </row>
    <row r="11" spans="1:1">
      <c r="A11" s="80" t="s">
        <v>167</v>
      </c>
    </row>
    <row r="12" spans="1:1">
      <c r="A12" s="80" t="s">
        <v>168</v>
      </c>
    </row>
    <row r="13" spans="1:1">
      <c r="A13" s="80" t="s">
        <v>169</v>
      </c>
    </row>
    <row r="14" spans="1:1">
      <c r="A14" s="80" t="s">
        <v>170</v>
      </c>
    </row>
    <row r="15" spans="1:1">
      <c r="A15" s="80" t="s">
        <v>171</v>
      </c>
    </row>
    <row r="16" spans="1:1">
      <c r="A16" s="80" t="s">
        <v>172</v>
      </c>
    </row>
    <row r="17" spans="1:1">
      <c r="A17" s="80" t="s">
        <v>173</v>
      </c>
    </row>
    <row r="18" spans="1:1">
      <c r="A18" s="80" t="s">
        <v>174</v>
      </c>
    </row>
    <row r="19" spans="1:1">
      <c r="A19" s="80" t="s">
        <v>175</v>
      </c>
    </row>
    <row r="20" spans="1:1">
      <c r="A20" s="80" t="s">
        <v>176</v>
      </c>
    </row>
    <row r="21" spans="1:1">
      <c r="A21" s="80" t="s">
        <v>177</v>
      </c>
    </row>
    <row r="22" spans="1:1">
      <c r="A22" s="80" t="s">
        <v>178</v>
      </c>
    </row>
  </sheetData>
  <hyperlinks>
    <hyperlink ref="A2" location="'Ch2-T2.3, 2.4, 3.3, 3.4'!A1" display="'Ch2-T2.3, 2.4, 3.3, 3.4'!A1" xr:uid="{D3358147-87D0-4283-8CCD-744E449DD632}"/>
    <hyperlink ref="A3" location="'Ch3-Mortality'!A1" display="'Ch3-Mortality'!A1" xr:uid="{44F4AAE1-6751-4B93-A48E-6106443D651E}"/>
    <hyperlink ref="A4" location="'Ch3-Mortality_v2'!A1" display="'Ch3-Mortality_v2'!A1" xr:uid="{618EA0D4-DE6E-4B26-B397-EA36DE108DE7}"/>
    <hyperlink ref="A5" location="'Ch3-Mortality_v3'!A1" display="'Ch3-Mortality_v3'!A1" xr:uid="{28A6A8F9-D27D-452B-B576-03F9D849B348}"/>
    <hyperlink ref="A6" location="'Ch4-Hedgefund_return'!A1" display="'Ch4-Hedgefund_return'!A1" xr:uid="{E7EC25F0-2EED-447D-BC4C-1E7D42A1CCD2}"/>
    <hyperlink ref="A7" location="'Ch4-FoF-fees'!A1" display="'Ch4-FoF-fees'!A1" xr:uid="{33290DE1-3464-4BAD-B569-BD9395CFEB2F}"/>
    <hyperlink ref="A8" location="'arch'!A1" display="'arch'!A1" xr:uid="{9BE40857-0881-4C72-983A-84E62C45F78B}"/>
    <hyperlink ref="A9" location="'bt 700.1'!A1" display="'bt 700.1'!A1" xr:uid="{D0F7CBDE-071F-4623-8403-C224502E63F8}"/>
    <hyperlink ref="A10" location="'bt 700.2'!A1" display="'bt 700.2'!A1" xr:uid="{2DDF2D61-ACB2-46CB-A661-60E3E9AF39A1}"/>
    <hyperlink ref="A11" location="'bt 700.2q'!A1" display="'bt 700.2q'!A1" xr:uid="{94397AE0-9B45-4552-A22B-AE9D8AFCE2F4}"/>
    <hyperlink ref="A12" location="'701-1'!A1" display="'701-1'!A1" xr:uid="{C25DEDC0-1BF1-4EA2-AE61-3B4547A69DB3}"/>
    <hyperlink ref="A13" location="'H Q2.15'!A1" display="'H Q2.15'!A1" xr:uid="{F18CF4FD-3202-454F-B2FD-F5954E66AD1C}"/>
    <hyperlink ref="A14" location="'701-2'!A1" display="'701-2'!A1" xr:uid="{C82DD588-B53E-440A-9BA9-658CF698AA0B}"/>
    <hyperlink ref="A15" location="'702.1'!A1" display="'702.1'!A1" xr:uid="{7FA901B9-9A65-4839-BD1B-0640B8BCEDC0}"/>
    <hyperlink ref="A16" location="'703.1'!A1" display="'703.1'!A1" xr:uid="{EA532ED4-8CC9-48CF-9383-6409F89D8FF0}"/>
    <hyperlink ref="A17" location="'704.3'!A1" display="'704.3'!A1" xr:uid="{DBACFF0A-6AA9-4ECB-AF9D-C297A83AE0B8}"/>
    <hyperlink ref="A18" location="'705.3'!A1" display="'705.3'!A1" xr:uid="{9C11C8F8-103D-46F4-8660-D85BA03615BE}"/>
    <hyperlink ref="A19" location="'706.1'!A1" display="'706.1'!A1" xr:uid="{D56E2057-BD85-4189-88D8-4C07D5B483AC}"/>
    <hyperlink ref="A20" location="'Hull 4.17'!A1" display="'Hull 4.17'!A1" xr:uid="{09697587-AA8A-4647-B8F7-BBFE5F394D3E}"/>
    <hyperlink ref="A21" location="'Hull T 2.3'!A1" display="'Hull T 2.3'!A1" xr:uid="{42E373F0-69AC-4E2F-A2E4-5A9D62E3D193}"/>
    <hyperlink ref="A22" location="'Hull T 2.4'!A1" display="'Hull T 2.4'!A1" xr:uid="{99AD9FE6-5E47-458E-880B-C6E63CD31E1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3390-E576-48C8-AE9F-E128203A050B}">
  <dimension ref="C2:G21"/>
  <sheetViews>
    <sheetView showGridLines="0" workbookViewId="0"/>
  </sheetViews>
  <sheetFormatPr defaultRowHeight="15"/>
  <cols>
    <col min="3" max="3" width="20.7109375" customWidth="1"/>
    <col min="5" max="5" width="2.7109375" customWidth="1"/>
    <col min="6" max="6" width="20.7109375" customWidth="1"/>
  </cols>
  <sheetData>
    <row r="2" spans="3:7">
      <c r="C2" s="98" t="s">
        <v>87</v>
      </c>
      <c r="D2" s="97"/>
      <c r="E2" s="97"/>
      <c r="F2" s="97"/>
      <c r="G2" s="97"/>
    </row>
    <row r="3" spans="3:7">
      <c r="C3" s="96" t="s">
        <v>0</v>
      </c>
      <c r="D3" s="95"/>
      <c r="E3" s="94"/>
      <c r="F3" s="93" t="s">
        <v>6</v>
      </c>
      <c r="G3" s="93"/>
    </row>
    <row r="4" spans="3:7">
      <c r="C4" t="s">
        <v>1</v>
      </c>
      <c r="D4" s="84">
        <v>15</v>
      </c>
      <c r="F4" t="s">
        <v>7</v>
      </c>
      <c r="G4" s="84">
        <v>270</v>
      </c>
    </row>
    <row r="5" spans="3:7">
      <c r="C5" t="s">
        <v>2</v>
      </c>
      <c r="D5" s="84">
        <v>30</v>
      </c>
      <c r="F5" t="s">
        <v>86</v>
      </c>
      <c r="G5" s="84">
        <v>15</v>
      </c>
    </row>
    <row r="6" spans="3:7">
      <c r="C6" t="s">
        <v>3</v>
      </c>
      <c r="D6" s="84">
        <v>240</v>
      </c>
      <c r="F6" t="s">
        <v>8</v>
      </c>
      <c r="G6" s="84">
        <f>D8-SUM(G4:G5)</f>
        <v>15</v>
      </c>
    </row>
    <row r="7" spans="3:7" ht="15.75" thickBot="1">
      <c r="C7" t="s">
        <v>4</v>
      </c>
      <c r="D7" s="85">
        <v>15</v>
      </c>
      <c r="G7" s="92"/>
    </row>
    <row r="8" spans="3:7" ht="15.75" thickTop="1">
      <c r="C8" s="91" t="s">
        <v>5</v>
      </c>
      <c r="D8" s="84">
        <f>SUM(D4:D7)</f>
        <v>300</v>
      </c>
      <c r="F8" s="91" t="s">
        <v>5</v>
      </c>
      <c r="G8" s="84">
        <f>SUM(G4:G7)</f>
        <v>300</v>
      </c>
    </row>
    <row r="9" spans="3:7">
      <c r="G9" s="84"/>
    </row>
    <row r="10" spans="3:7">
      <c r="C10" s="90" t="s">
        <v>85</v>
      </c>
      <c r="D10" s="89"/>
    </row>
    <row r="11" spans="3:7">
      <c r="C11" s="88" t="s">
        <v>84</v>
      </c>
      <c r="D11" s="87"/>
    </row>
    <row r="12" spans="3:7">
      <c r="D12" s="86" t="s">
        <v>83</v>
      </c>
    </row>
    <row r="13" spans="3:7" ht="6" customHeight="1">
      <c r="E13" s="86"/>
    </row>
    <row r="14" spans="3:7">
      <c r="C14" t="s">
        <v>82</v>
      </c>
      <c r="D14" s="84">
        <f>3%*D8</f>
        <v>9</v>
      </c>
    </row>
    <row r="15" spans="3:7">
      <c r="C15" t="s">
        <v>81</v>
      </c>
      <c r="D15" s="84">
        <f>-0.8%*D8</f>
        <v>-2.4</v>
      </c>
    </row>
    <row r="16" spans="3:7">
      <c r="C16" t="s">
        <v>80</v>
      </c>
      <c r="D16" s="84">
        <f>0.9%*D8</f>
        <v>2.7</v>
      </c>
    </row>
    <row r="17" spans="3:6" ht="15.75" thickBot="1">
      <c r="C17" t="s">
        <v>79</v>
      </c>
      <c r="D17" s="85">
        <f>-2.5%*D8</f>
        <v>-7.5</v>
      </c>
    </row>
    <row r="18" spans="3:6" ht="15.75" thickTop="1">
      <c r="C18" t="s">
        <v>78</v>
      </c>
      <c r="D18" s="84">
        <f>SUM(D14:D17)</f>
        <v>1.8000000000000007</v>
      </c>
    </row>
    <row r="20" spans="3:6">
      <c r="C20" t="s">
        <v>77</v>
      </c>
      <c r="D20" s="83">
        <f>D18/G6</f>
        <v>0.12000000000000005</v>
      </c>
    </row>
    <row r="21" spans="3:6">
      <c r="C21" t="s">
        <v>76</v>
      </c>
      <c r="D21">
        <f>D8/G6</f>
        <v>20</v>
      </c>
      <c r="F21" s="82">
        <f>(G4+G5)/G6</f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D7B9-F8F4-4F2E-8B43-0F6410111DF3}">
  <dimension ref="C2:R28"/>
  <sheetViews>
    <sheetView showGridLines="0" workbookViewId="0"/>
  </sheetViews>
  <sheetFormatPr defaultRowHeight="15"/>
  <cols>
    <col min="3" max="3" width="20.7109375" customWidth="1"/>
    <col min="5" max="5" width="2.7109375" customWidth="1"/>
    <col min="6" max="6" width="20.7109375" customWidth="1"/>
    <col min="14" max="14" width="10.5703125" bestFit="1" customWidth="1"/>
  </cols>
  <sheetData>
    <row r="2" spans="3:18">
      <c r="C2" s="98" t="s">
        <v>92</v>
      </c>
      <c r="D2" s="97"/>
      <c r="E2" s="97"/>
      <c r="F2" s="97"/>
      <c r="G2" s="97"/>
    </row>
    <row r="3" spans="3:18">
      <c r="C3" s="96" t="s">
        <v>0</v>
      </c>
      <c r="D3" s="95"/>
      <c r="E3" s="94"/>
      <c r="F3" s="93" t="s">
        <v>6</v>
      </c>
      <c r="G3" s="93"/>
    </row>
    <row r="4" spans="3:18">
      <c r="C4" t="s">
        <v>1</v>
      </c>
      <c r="D4" s="84">
        <v>15</v>
      </c>
      <c r="F4" t="s">
        <v>7</v>
      </c>
      <c r="G4" s="84">
        <v>270</v>
      </c>
    </row>
    <row r="5" spans="3:18">
      <c r="C5" t="s">
        <v>2</v>
      </c>
      <c r="D5" s="84">
        <v>30</v>
      </c>
      <c r="F5" t="s">
        <v>86</v>
      </c>
      <c r="G5" s="84">
        <v>15</v>
      </c>
    </row>
    <row r="6" spans="3:18">
      <c r="C6" t="s">
        <v>3</v>
      </c>
      <c r="D6" s="84">
        <v>240</v>
      </c>
      <c r="F6" t="s">
        <v>8</v>
      </c>
      <c r="G6" s="84">
        <f>D8-SUM(G4:G5)</f>
        <v>15</v>
      </c>
      <c r="I6" s="103">
        <f>G6/D8</f>
        <v>0.05</v>
      </c>
    </row>
    <row r="7" spans="3:18" ht="15.75" thickBot="1">
      <c r="C7" t="s">
        <v>4</v>
      </c>
      <c r="D7" s="85">
        <v>15</v>
      </c>
      <c r="G7" s="92"/>
    </row>
    <row r="8" spans="3:18" ht="15.75" thickTop="1">
      <c r="C8" s="91" t="s">
        <v>5</v>
      </c>
      <c r="D8" s="84">
        <f>SUM(D4:D7)</f>
        <v>300</v>
      </c>
      <c r="F8" s="91" t="s">
        <v>5</v>
      </c>
      <c r="G8" s="84">
        <f>SUM(G4:G7)</f>
        <v>300</v>
      </c>
    </row>
    <row r="10" spans="3:18">
      <c r="C10" s="90" t="s">
        <v>85</v>
      </c>
      <c r="D10" s="89"/>
    </row>
    <row r="11" spans="3:18">
      <c r="C11" s="88" t="s">
        <v>84</v>
      </c>
      <c r="D11" s="87"/>
    </row>
    <row r="12" spans="3:18">
      <c r="D12" s="86" t="s">
        <v>83</v>
      </c>
    </row>
    <row r="13" spans="3:18" ht="6" customHeight="1">
      <c r="E13" s="86"/>
    </row>
    <row r="14" spans="3:18">
      <c r="C14" t="s">
        <v>82</v>
      </c>
      <c r="D14" s="84">
        <f>3%*D8</f>
        <v>9</v>
      </c>
      <c r="N14" s="107">
        <v>50000</v>
      </c>
      <c r="O14" s="107">
        <v>-40000</v>
      </c>
      <c r="P14" s="107">
        <v>10000</v>
      </c>
      <c r="R14" s="106">
        <f>P14</f>
        <v>10000</v>
      </c>
    </row>
    <row r="15" spans="3:18">
      <c r="C15" t="s">
        <v>81</v>
      </c>
      <c r="D15" s="84">
        <f>-6%*D8</f>
        <v>-18</v>
      </c>
      <c r="F15" s="84"/>
      <c r="N15" s="101">
        <v>0.3</v>
      </c>
      <c r="O15" s="101"/>
      <c r="P15" s="101">
        <v>0.3</v>
      </c>
    </row>
    <row r="16" spans="3:18">
      <c r="C16" t="s">
        <v>80</v>
      </c>
      <c r="D16" s="84">
        <f>0.9%*D8</f>
        <v>2.7</v>
      </c>
      <c r="N16" s="106">
        <f>N14*N15</f>
        <v>15000</v>
      </c>
      <c r="O16" s="106"/>
      <c r="P16" s="106">
        <f>P14*P15</f>
        <v>3000</v>
      </c>
      <c r="R16" s="106">
        <f>P16</f>
        <v>3000</v>
      </c>
    </row>
    <row r="17" spans="3:16" ht="15.75" thickBot="1">
      <c r="C17" t="s">
        <v>79</v>
      </c>
      <c r="D17" s="85">
        <f>-2.5%*D8</f>
        <v>-7.5</v>
      </c>
      <c r="N17" s="106">
        <f>N14-N16</f>
        <v>35000</v>
      </c>
      <c r="O17" s="106"/>
      <c r="P17" s="106">
        <f>N16-P16</f>
        <v>12000</v>
      </c>
    </row>
    <row r="18" spans="3:16" ht="15.75" thickTop="1">
      <c r="C18" t="s">
        <v>78</v>
      </c>
      <c r="D18" s="84">
        <f>SUM(D14:D17)</f>
        <v>-13.8</v>
      </c>
      <c r="I18" s="103">
        <f>D18/D8</f>
        <v>-4.5999999999999999E-2</v>
      </c>
    </row>
    <row r="19" spans="3:16">
      <c r="C19" s="105" t="s">
        <v>91</v>
      </c>
      <c r="D19" s="104">
        <v>0.3</v>
      </c>
      <c r="I19" s="103">
        <f>I18*(1-30%)</f>
        <v>-3.2199999999999999E-2</v>
      </c>
    </row>
    <row r="20" spans="3:16">
      <c r="F20" s="103"/>
    </row>
    <row r="21" spans="3:16">
      <c r="D21" s="103"/>
      <c r="F21" s="103"/>
    </row>
    <row r="22" spans="3:16">
      <c r="F22" s="103"/>
      <c r="I22">
        <f>18-2.4</f>
        <v>15.6</v>
      </c>
    </row>
    <row r="23" spans="3:16">
      <c r="C23" t="s">
        <v>77</v>
      </c>
      <c r="D23" s="83">
        <f>D18/G6</f>
        <v>-0.92</v>
      </c>
    </row>
    <row r="24" spans="3:16">
      <c r="C24" t="s">
        <v>76</v>
      </c>
      <c r="D24">
        <f>D8/G6</f>
        <v>20</v>
      </c>
      <c r="F24" s="82">
        <f>(G4+G5)/G6</f>
        <v>19</v>
      </c>
    </row>
    <row r="25" spans="3:16">
      <c r="I25">
        <f>1.8-I22</f>
        <v>-13.799999999999999</v>
      </c>
    </row>
    <row r="27" spans="3:16">
      <c r="D27" s="103">
        <f>5%/0.7</f>
        <v>7.1428571428571438E-2</v>
      </c>
    </row>
    <row r="28" spans="3:16">
      <c r="D28" s="84">
        <f>D27*D8</f>
        <v>21.428571428571431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F2B4-0394-4F2F-890F-6086107F0835}">
  <dimension ref="C3:H17"/>
  <sheetViews>
    <sheetView showGridLines="0" workbookViewId="0"/>
  </sheetViews>
  <sheetFormatPr defaultRowHeight="15"/>
  <cols>
    <col min="3" max="4" width="4.85546875" customWidth="1"/>
    <col min="5" max="5" width="28.7109375" customWidth="1"/>
    <col min="6" max="6" width="13.5703125" customWidth="1"/>
    <col min="7" max="7" width="11.5703125" bestFit="1" customWidth="1"/>
    <col min="8" max="8" width="11.28515625" bestFit="1" customWidth="1"/>
  </cols>
  <sheetData>
    <row r="3" spans="3:8">
      <c r="C3" s="127" t="s">
        <v>111</v>
      </c>
      <c r="D3" s="128"/>
      <c r="E3" s="128"/>
      <c r="F3" s="128"/>
      <c r="G3" s="127">
        <v>2016</v>
      </c>
      <c r="H3" s="127">
        <v>2015</v>
      </c>
    </row>
    <row r="4" spans="3:8">
      <c r="G4" s="130" t="s">
        <v>83</v>
      </c>
      <c r="H4" s="130" t="s">
        <v>83</v>
      </c>
    </row>
    <row r="5" spans="3:8">
      <c r="C5" s="126" t="s">
        <v>0</v>
      </c>
    </row>
    <row r="6" spans="3:8">
      <c r="D6" t="s">
        <v>110</v>
      </c>
      <c r="G6" s="122">
        <v>12900</v>
      </c>
      <c r="H6" s="122">
        <v>12800</v>
      </c>
    </row>
    <row r="7" spans="3:8">
      <c r="E7" t="s">
        <v>109</v>
      </c>
      <c r="G7" s="124">
        <f>G17</f>
        <v>448.6</v>
      </c>
      <c r="H7" s="124">
        <f>H6*1.2%</f>
        <v>153.6</v>
      </c>
    </row>
    <row r="8" spans="3:8">
      <c r="D8" t="s">
        <v>108</v>
      </c>
      <c r="G8" s="129">
        <f>G6-G7</f>
        <v>12451.4</v>
      </c>
      <c r="H8" s="129">
        <f>H6-H7</f>
        <v>12646.4</v>
      </c>
    </row>
    <row r="10" spans="3:8">
      <c r="C10" s="127" t="s">
        <v>107</v>
      </c>
      <c r="D10" s="128"/>
      <c r="E10" s="128"/>
      <c r="F10" s="128"/>
      <c r="G10" s="127">
        <v>2016</v>
      </c>
    </row>
    <row r="12" spans="3:8">
      <c r="C12" s="91" t="s">
        <v>106</v>
      </c>
      <c r="D12" s="91"/>
      <c r="F12" s="126"/>
      <c r="G12" s="122">
        <f>H7</f>
        <v>153.6</v>
      </c>
    </row>
    <row r="13" spans="3:8">
      <c r="D13" t="s">
        <v>105</v>
      </c>
      <c r="F13" s="122">
        <v>195</v>
      </c>
      <c r="G13" s="123"/>
    </row>
    <row r="14" spans="3:8">
      <c r="D14" t="s">
        <v>104</v>
      </c>
      <c r="F14" s="124">
        <v>20</v>
      </c>
      <c r="G14" s="123"/>
    </row>
    <row r="15" spans="3:8">
      <c r="E15" s="125" t="s">
        <v>103</v>
      </c>
      <c r="F15" s="123"/>
      <c r="G15" s="122">
        <f>F13-F14</f>
        <v>175</v>
      </c>
    </row>
    <row r="16" spans="3:8">
      <c r="D16" t="s">
        <v>102</v>
      </c>
      <c r="F16" s="123"/>
      <c r="G16" s="124">
        <v>120</v>
      </c>
    </row>
    <row r="17" spans="3:7">
      <c r="C17" s="91" t="s">
        <v>101</v>
      </c>
      <c r="D17" s="91"/>
      <c r="F17" s="123"/>
      <c r="G17" s="122">
        <f>SUM(G12:G16)</f>
        <v>448.6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4386-BD1A-42B2-8188-0230DEB6FAA2}">
  <dimension ref="C2:G31"/>
  <sheetViews>
    <sheetView showGridLines="0" workbookViewId="0"/>
  </sheetViews>
  <sheetFormatPr defaultRowHeight="15"/>
  <cols>
    <col min="3" max="3" width="20.7109375" customWidth="1"/>
    <col min="5" max="5" width="2.7109375" customWidth="1"/>
    <col min="6" max="6" width="20.7109375" customWidth="1"/>
  </cols>
  <sheetData>
    <row r="2" spans="3:7">
      <c r="C2" s="98" t="s">
        <v>87</v>
      </c>
      <c r="D2" s="97"/>
      <c r="E2" s="97"/>
      <c r="F2" s="97"/>
      <c r="G2" s="97"/>
    </row>
    <row r="3" spans="3:7">
      <c r="C3" s="96" t="s">
        <v>0</v>
      </c>
      <c r="D3" s="95"/>
      <c r="E3" s="94"/>
      <c r="F3" s="93" t="s">
        <v>6</v>
      </c>
      <c r="G3" s="93"/>
    </row>
    <row r="4" spans="3:7">
      <c r="C4" t="s">
        <v>1</v>
      </c>
      <c r="D4" s="84">
        <v>5</v>
      </c>
      <c r="F4" t="s">
        <v>7</v>
      </c>
      <c r="G4" s="84">
        <v>90</v>
      </c>
    </row>
    <row r="5" spans="3:7">
      <c r="C5" t="s">
        <v>2</v>
      </c>
      <c r="D5" s="84">
        <v>10</v>
      </c>
      <c r="F5" t="s">
        <v>86</v>
      </c>
      <c r="G5" s="84">
        <v>5</v>
      </c>
    </row>
    <row r="6" spans="3:7">
      <c r="C6" t="s">
        <v>3</v>
      </c>
      <c r="D6" s="84">
        <v>80</v>
      </c>
      <c r="F6" t="s">
        <v>8</v>
      </c>
      <c r="G6" s="84">
        <f>D8-SUM(G4:G5)</f>
        <v>5</v>
      </c>
    </row>
    <row r="7" spans="3:7" ht="15.75" thickBot="1">
      <c r="C7" t="s">
        <v>4</v>
      </c>
      <c r="D7" s="85">
        <v>5</v>
      </c>
      <c r="G7" s="92"/>
    </row>
    <row r="8" spans="3:7" ht="15.75" thickTop="1">
      <c r="C8" s="91" t="s">
        <v>5</v>
      </c>
      <c r="D8" s="84">
        <f>SUM(D4:D7)</f>
        <v>100</v>
      </c>
      <c r="F8" s="91" t="s">
        <v>5</v>
      </c>
      <c r="G8" s="84">
        <f>SUM(G4:G7)</f>
        <v>100</v>
      </c>
    </row>
    <row r="10" spans="3:7">
      <c r="C10" s="90" t="s">
        <v>85</v>
      </c>
      <c r="D10" s="89"/>
    </row>
    <row r="11" spans="3:7">
      <c r="C11" s="88" t="s">
        <v>84</v>
      </c>
      <c r="D11" s="87"/>
    </row>
    <row r="12" spans="3:7">
      <c r="D12" s="86" t="s">
        <v>83</v>
      </c>
    </row>
    <row r="13" spans="3:7" ht="6" customHeight="1">
      <c r="E13" s="86"/>
    </row>
    <row r="14" spans="3:7">
      <c r="C14" t="s">
        <v>82</v>
      </c>
      <c r="D14" s="84">
        <f>3%*D8</f>
        <v>3</v>
      </c>
    </row>
    <row r="15" spans="3:7">
      <c r="C15" t="s">
        <v>81</v>
      </c>
      <c r="D15" s="84">
        <f>-0.8%*D8</f>
        <v>-0.8</v>
      </c>
    </row>
    <row r="16" spans="3:7">
      <c r="C16" t="s">
        <v>80</v>
      </c>
      <c r="D16" s="84">
        <f>0.9%*D8</f>
        <v>0.90000000000000013</v>
      </c>
    </row>
    <row r="17" spans="3:6" ht="15.75" thickBot="1">
      <c r="C17" t="s">
        <v>79</v>
      </c>
      <c r="D17" s="85">
        <f>-2.5%*D8</f>
        <v>-2.5</v>
      </c>
    </row>
    <row r="18" spans="3:6" ht="15.75" thickTop="1">
      <c r="C18" t="s">
        <v>78</v>
      </c>
      <c r="D18" s="84">
        <f>SUM(D14:D17)</f>
        <v>0.60000000000000053</v>
      </c>
    </row>
    <row r="20" spans="3:6">
      <c r="C20" t="s">
        <v>77</v>
      </c>
      <c r="D20" s="108">
        <f>D18/G6</f>
        <v>0.12000000000000011</v>
      </c>
    </row>
    <row r="21" spans="3:6">
      <c r="C21" t="s">
        <v>76</v>
      </c>
      <c r="D21">
        <f>D8/G6</f>
        <v>20</v>
      </c>
      <c r="F21" s="82">
        <f>(G4+G5)/G6</f>
        <v>19</v>
      </c>
    </row>
    <row r="26" spans="3:6">
      <c r="C26" t="s">
        <v>113</v>
      </c>
      <c r="D26">
        <v>0.6</v>
      </c>
    </row>
    <row r="27" spans="3:6">
      <c r="C27" t="s">
        <v>112</v>
      </c>
      <c r="D27" s="131">
        <v>2</v>
      </c>
    </row>
    <row r="28" spans="3:6">
      <c r="D28" s="100">
        <v>0.999</v>
      </c>
    </row>
    <row r="29" spans="3:6">
      <c r="D29">
        <f>_xlfn.NORM.S.INV(D28)</f>
        <v>3.0902323061678132</v>
      </c>
    </row>
    <row r="30" spans="3:6">
      <c r="D30">
        <f>D26-D29*D27</f>
        <v>-5.5804646123356267</v>
      </c>
    </row>
    <row r="31" spans="3:6">
      <c r="D31" s="84">
        <f>D30+G6</f>
        <v>-0.58046461233562674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859-0A54-4763-A34F-25E824A15688}">
  <dimension ref="C2:G31"/>
  <sheetViews>
    <sheetView showGridLines="0" workbookViewId="0"/>
  </sheetViews>
  <sheetFormatPr defaultRowHeight="15"/>
  <cols>
    <col min="3" max="3" width="20.7109375" customWidth="1"/>
    <col min="5" max="5" width="2.7109375" customWidth="1"/>
    <col min="6" max="6" width="20.7109375" customWidth="1"/>
  </cols>
  <sheetData>
    <row r="2" spans="3:7">
      <c r="C2" s="98" t="s">
        <v>92</v>
      </c>
      <c r="D2" s="97"/>
      <c r="E2" s="97"/>
      <c r="F2" s="97"/>
      <c r="G2" s="97"/>
    </row>
    <row r="3" spans="3:7">
      <c r="C3" s="96" t="s">
        <v>115</v>
      </c>
      <c r="D3" s="95"/>
      <c r="E3" s="94"/>
      <c r="F3" s="93" t="s">
        <v>114</v>
      </c>
      <c r="G3" s="93"/>
    </row>
    <row r="4" spans="3:7">
      <c r="C4" t="s">
        <v>1</v>
      </c>
      <c r="D4" s="84">
        <v>5</v>
      </c>
      <c r="F4" t="s">
        <v>7</v>
      </c>
      <c r="G4" s="84">
        <v>90</v>
      </c>
    </row>
    <row r="5" spans="3:7">
      <c r="C5" t="s">
        <v>2</v>
      </c>
      <c r="D5" s="84">
        <v>10</v>
      </c>
      <c r="F5" t="s">
        <v>86</v>
      </c>
      <c r="G5" s="84">
        <v>6</v>
      </c>
    </row>
    <row r="6" spans="3:7">
      <c r="C6" t="s">
        <v>3</v>
      </c>
      <c r="D6" s="84">
        <v>80</v>
      </c>
    </row>
    <row r="7" spans="3:7" ht="15.75" thickBot="1">
      <c r="C7" t="s">
        <v>4</v>
      </c>
      <c r="D7" s="85">
        <v>5</v>
      </c>
      <c r="F7" t="s">
        <v>8</v>
      </c>
      <c r="G7" s="85">
        <f>D8-SUM(G4:G5)</f>
        <v>4</v>
      </c>
    </row>
    <row r="8" spans="3:7" ht="15.75" thickTop="1">
      <c r="C8" s="91" t="s">
        <v>5</v>
      </c>
      <c r="D8" s="84">
        <f>SUM(D4:D7)</f>
        <v>100</v>
      </c>
      <c r="F8" s="91" t="s">
        <v>5</v>
      </c>
      <c r="G8" s="84">
        <f>SUM(G4:G7)</f>
        <v>100</v>
      </c>
    </row>
    <row r="10" spans="3:7">
      <c r="C10" s="90" t="s">
        <v>85</v>
      </c>
      <c r="D10" s="89"/>
    </row>
    <row r="11" spans="3:7">
      <c r="C11" s="88" t="s">
        <v>84</v>
      </c>
      <c r="D11" s="87"/>
    </row>
    <row r="12" spans="3:7">
      <c r="D12" s="86" t="s">
        <v>83</v>
      </c>
    </row>
    <row r="13" spans="3:7" ht="6" customHeight="1">
      <c r="E13" s="86"/>
    </row>
    <row r="14" spans="3:7">
      <c r="C14" t="s">
        <v>82</v>
      </c>
      <c r="D14" s="84">
        <f>3%*D8</f>
        <v>3</v>
      </c>
    </row>
    <row r="15" spans="3:7">
      <c r="C15" t="s">
        <v>81</v>
      </c>
      <c r="D15" s="84">
        <f>-0.8%*D8</f>
        <v>-0.8</v>
      </c>
    </row>
    <row r="16" spans="3:7">
      <c r="C16" t="s">
        <v>80</v>
      </c>
      <c r="D16" s="84">
        <f>0.9%*D8</f>
        <v>0.90000000000000013</v>
      </c>
    </row>
    <row r="17" spans="3:6" ht="15.75" thickBot="1">
      <c r="C17" t="s">
        <v>79</v>
      </c>
      <c r="D17" s="85">
        <f>-2.5%*D8</f>
        <v>-2.5</v>
      </c>
    </row>
    <row r="18" spans="3:6" ht="15.75" thickTop="1">
      <c r="C18" t="s">
        <v>78</v>
      </c>
      <c r="D18" s="84">
        <f>SUM(D14:D17)</f>
        <v>0.60000000000000053</v>
      </c>
    </row>
    <row r="20" spans="3:6">
      <c r="C20" t="s">
        <v>77</v>
      </c>
      <c r="D20" s="108">
        <f>D18/G7</f>
        <v>0.15000000000000013</v>
      </c>
    </row>
    <row r="21" spans="3:6">
      <c r="C21" t="s">
        <v>76</v>
      </c>
      <c r="D21">
        <f>D8/G7</f>
        <v>25</v>
      </c>
      <c r="F21" s="82">
        <f>(G4+G5)/G7</f>
        <v>24</v>
      </c>
    </row>
    <row r="26" spans="3:6">
      <c r="C26" t="s">
        <v>113</v>
      </c>
      <c r="D26" s="131">
        <v>1.3</v>
      </c>
    </row>
    <row r="27" spans="3:6">
      <c r="C27" t="s">
        <v>112</v>
      </c>
      <c r="D27" s="131">
        <v>3</v>
      </c>
    </row>
    <row r="28" spans="3:6">
      <c r="D28" s="100">
        <v>0.999</v>
      </c>
    </row>
    <row r="29" spans="3:6">
      <c r="D29">
        <f>_xlfn.NORM.S.INV(D28)</f>
        <v>3.0902323061678132</v>
      </c>
    </row>
    <row r="30" spans="3:6">
      <c r="D30">
        <f>D26-D29*D27</f>
        <v>-7.9706969185034398</v>
      </c>
    </row>
    <row r="31" spans="3:6">
      <c r="D31" s="84">
        <f>D30+G7</f>
        <v>-3.9706969185034398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57E2-69E3-4745-BB73-4475F90ACBC7}">
  <dimension ref="B2:V136"/>
  <sheetViews>
    <sheetView showGridLines="0" workbookViewId="0"/>
  </sheetViews>
  <sheetFormatPr defaultColWidth="8.85546875" defaultRowHeight="15" outlineLevelRow="1"/>
  <cols>
    <col min="1" max="1" width="8.85546875" style="52"/>
    <col min="2" max="2" width="9.28515625" style="52" bestFit="1" customWidth="1"/>
    <col min="3" max="4" width="10.7109375" style="52" customWidth="1"/>
    <col min="5" max="5" width="10.5703125" style="52" bestFit="1" customWidth="1"/>
    <col min="6" max="6" width="2.7109375" style="54" customWidth="1"/>
    <col min="7" max="8" width="10.7109375" style="52" customWidth="1"/>
    <col min="9" max="9" width="9.28515625" style="52" bestFit="1" customWidth="1"/>
    <col min="10" max="10" width="8.85546875" style="52"/>
    <col min="11" max="11" width="9.5703125" style="52" bestFit="1" customWidth="1"/>
    <col min="12" max="13" width="8.85546875" style="52"/>
    <col min="14" max="20" width="10.7109375" style="52" customWidth="1"/>
    <col min="21" max="21" width="8.85546875" style="52"/>
    <col min="22" max="22" width="11" style="52" bestFit="1" customWidth="1"/>
    <col min="23" max="16384" width="8.85546875" style="52"/>
  </cols>
  <sheetData>
    <row r="2" spans="2:20" s="52" customFormat="1">
      <c r="B2" s="120"/>
      <c r="C2" s="120"/>
      <c r="D2" s="120"/>
      <c r="E2" s="121" t="s">
        <v>55</v>
      </c>
      <c r="F2" s="120"/>
      <c r="G2" s="120"/>
      <c r="H2" s="120"/>
      <c r="I2" s="120"/>
      <c r="M2" s="120"/>
      <c r="N2" s="120"/>
      <c r="O2" s="120"/>
      <c r="P2" s="121" t="s">
        <v>55</v>
      </c>
      <c r="Q2" s="120"/>
      <c r="R2" s="120"/>
      <c r="S2" s="120"/>
      <c r="T2" s="120"/>
    </row>
    <row r="3" spans="2:20" s="52" customFormat="1">
      <c r="C3" s="55" t="s">
        <v>41</v>
      </c>
      <c r="D3" s="55"/>
      <c r="E3" s="55"/>
      <c r="F3" s="54"/>
      <c r="G3" s="55" t="s">
        <v>42</v>
      </c>
      <c r="H3" s="55"/>
      <c r="I3" s="55"/>
      <c r="N3" s="55" t="s">
        <v>41</v>
      </c>
      <c r="O3" s="55"/>
      <c r="P3" s="55"/>
      <c r="Q3" s="54"/>
      <c r="R3" s="55" t="s">
        <v>42</v>
      </c>
      <c r="S3" s="55"/>
      <c r="T3" s="55"/>
    </row>
    <row r="4" spans="2:20" s="53" customFormat="1">
      <c r="C4" s="119" t="s">
        <v>100</v>
      </c>
      <c r="D4" s="119"/>
      <c r="F4" s="60"/>
      <c r="G4" s="119" t="s">
        <v>100</v>
      </c>
      <c r="H4" s="119"/>
      <c r="I4" s="59"/>
      <c r="N4" s="119" t="s">
        <v>100</v>
      </c>
      <c r="O4" s="119"/>
      <c r="Q4" s="60"/>
      <c r="R4" s="119" t="s">
        <v>100</v>
      </c>
      <c r="S4" s="119"/>
      <c r="T4" s="59"/>
    </row>
    <row r="5" spans="2:20" s="53" customFormat="1">
      <c r="B5" s="58" t="s">
        <v>99</v>
      </c>
      <c r="C5" s="59" t="s">
        <v>98</v>
      </c>
      <c r="D5" s="118"/>
      <c r="E5" s="59" t="s">
        <v>36</v>
      </c>
      <c r="F5" s="60"/>
      <c r="G5" s="59" t="s">
        <v>98</v>
      </c>
      <c r="H5" s="118"/>
      <c r="I5" s="59" t="s">
        <v>36</v>
      </c>
      <c r="M5" s="58" t="s">
        <v>99</v>
      </c>
      <c r="N5" s="59" t="s">
        <v>98</v>
      </c>
      <c r="O5" s="118"/>
      <c r="P5" s="59" t="s">
        <v>36</v>
      </c>
      <c r="Q5" s="60"/>
      <c r="R5" s="59" t="s">
        <v>98</v>
      </c>
      <c r="S5" s="118"/>
      <c r="T5" s="59" t="s">
        <v>36</v>
      </c>
    </row>
    <row r="6" spans="2:20" s="53" customFormat="1">
      <c r="B6" s="61" t="s">
        <v>97</v>
      </c>
      <c r="C6" s="62" t="s">
        <v>96</v>
      </c>
      <c r="D6" s="62" t="s">
        <v>38</v>
      </c>
      <c r="E6" s="62" t="s">
        <v>37</v>
      </c>
      <c r="F6" s="60"/>
      <c r="G6" s="62" t="s">
        <v>96</v>
      </c>
      <c r="H6" s="62" t="s">
        <v>38</v>
      </c>
      <c r="I6" s="62" t="s">
        <v>37</v>
      </c>
      <c r="M6" s="61" t="s">
        <v>97</v>
      </c>
      <c r="N6" s="62" t="s">
        <v>96</v>
      </c>
      <c r="O6" s="62" t="s">
        <v>38</v>
      </c>
      <c r="P6" s="62" t="s">
        <v>37</v>
      </c>
      <c r="Q6" s="60"/>
      <c r="R6" s="62" t="s">
        <v>96</v>
      </c>
      <c r="S6" s="62" t="s">
        <v>38</v>
      </c>
      <c r="T6" s="62" t="s">
        <v>37</v>
      </c>
    </row>
    <row r="7" spans="2:20" s="52" customFormat="1">
      <c r="B7" s="63">
        <v>0</v>
      </c>
      <c r="C7" s="64">
        <v>6.5189999999999996E-3</v>
      </c>
      <c r="D7" s="64">
        <v>1</v>
      </c>
      <c r="E7" s="112">
        <v>76.28</v>
      </c>
      <c r="F7" s="112"/>
      <c r="G7" s="64">
        <v>5.3769999999999998E-3</v>
      </c>
      <c r="H7" s="64">
        <v>1</v>
      </c>
      <c r="I7" s="65">
        <v>81.05</v>
      </c>
      <c r="M7" s="63">
        <v>0</v>
      </c>
      <c r="N7" s="111">
        <f>ROUND(C7,6)</f>
        <v>6.5189999999999996E-3</v>
      </c>
      <c r="O7" s="111">
        <f>ROUND(D7,6)</f>
        <v>1</v>
      </c>
      <c r="P7" s="112">
        <v>76.28</v>
      </c>
      <c r="Q7" s="112"/>
      <c r="R7" s="111">
        <f>ROUND(G7,6)</f>
        <v>5.3769999999999998E-3</v>
      </c>
      <c r="S7" s="111">
        <f>ROUND(H7,6)</f>
        <v>1</v>
      </c>
      <c r="T7" s="65">
        <v>81.05</v>
      </c>
    </row>
    <row r="8" spans="2:20" s="52" customFormat="1">
      <c r="B8" s="63">
        <v>1</v>
      </c>
      <c r="C8" s="64">
        <v>4.6200000000000001E-4</v>
      </c>
      <c r="D8" s="64">
        <f>D7-(D7*C7)</f>
        <v>0.99348099999999995</v>
      </c>
      <c r="E8" s="112">
        <v>75.78</v>
      </c>
      <c r="F8" s="112"/>
      <c r="G8" s="64">
        <v>3.79E-4</v>
      </c>
      <c r="H8" s="64">
        <f>H7-(H7*G7)</f>
        <v>0.99462300000000003</v>
      </c>
      <c r="I8" s="65">
        <v>80.489999999999995</v>
      </c>
      <c r="M8" s="63">
        <v>1</v>
      </c>
      <c r="N8" s="111">
        <f>ROUND(C8,6)</f>
        <v>4.6200000000000001E-4</v>
      </c>
      <c r="O8" s="111">
        <f>ROUND(D8,6)</f>
        <v>0.99348099999999995</v>
      </c>
      <c r="P8" s="112">
        <v>75.78</v>
      </c>
      <c r="Q8" s="112"/>
      <c r="R8" s="111">
        <f>ROUND(G8,6)</f>
        <v>3.79E-4</v>
      </c>
      <c r="S8" s="111">
        <f>ROUND(H8,6)</f>
        <v>0.99462300000000003</v>
      </c>
      <c r="T8" s="65">
        <v>80.489999999999995</v>
      </c>
    </row>
    <row r="9" spans="2:20" s="52" customFormat="1">
      <c r="B9" s="63">
        <v>2</v>
      </c>
      <c r="C9" s="64">
        <v>2.9100000000000003E-4</v>
      </c>
      <c r="D9" s="64">
        <f>D8-(D8*C8)</f>
        <v>0.99302201177799998</v>
      </c>
      <c r="E9" s="112">
        <v>74.819999999999993</v>
      </c>
      <c r="F9" s="112"/>
      <c r="G9" s="64">
        <v>2.2100000000000001E-4</v>
      </c>
      <c r="H9" s="64">
        <f>H8-(H8*G8)</f>
        <v>0.99424603788300003</v>
      </c>
      <c r="I9" s="65">
        <v>79.52</v>
      </c>
      <c r="M9" s="63">
        <v>2</v>
      </c>
      <c r="N9" s="111">
        <f>ROUND(C9,6)</f>
        <v>2.9100000000000003E-4</v>
      </c>
      <c r="O9" s="111">
        <f>ROUND(D9,6)</f>
        <v>0.99302199999999996</v>
      </c>
      <c r="P9" s="112">
        <v>74.819999999999993</v>
      </c>
      <c r="Q9" s="112"/>
      <c r="R9" s="111">
        <f>ROUND(G9,6)</f>
        <v>2.2100000000000001E-4</v>
      </c>
      <c r="S9" s="111">
        <f>ROUND(H9,6)</f>
        <v>0.99424599999999996</v>
      </c>
      <c r="T9" s="65">
        <v>79.52</v>
      </c>
    </row>
    <row r="10" spans="2:20" s="52" customFormat="1">
      <c r="B10" s="63">
        <v>3</v>
      </c>
      <c r="C10" s="64">
        <v>2.0900000000000001E-4</v>
      </c>
      <c r="D10" s="64">
        <f>D9-(D9*C9)</f>
        <v>0.99273304237257254</v>
      </c>
      <c r="E10" s="112">
        <v>73.84</v>
      </c>
      <c r="F10" s="112"/>
      <c r="G10" s="64">
        <v>1.6200000000000001E-4</v>
      </c>
      <c r="H10" s="64">
        <f>H9-(H9*G9)</f>
        <v>0.99402630950862791</v>
      </c>
      <c r="I10" s="65">
        <v>78.540000000000006</v>
      </c>
      <c r="M10" s="63">
        <v>3</v>
      </c>
      <c r="N10" s="111">
        <f>ROUND(C10,6)</f>
        <v>2.0900000000000001E-4</v>
      </c>
      <c r="O10" s="111">
        <f>ROUND(D10,6)</f>
        <v>0.99273299999999998</v>
      </c>
      <c r="P10" s="112">
        <v>73.84</v>
      </c>
      <c r="Q10" s="112"/>
      <c r="R10" s="111">
        <f>ROUND(G10,6)</f>
        <v>1.6200000000000001E-4</v>
      </c>
      <c r="S10" s="111">
        <f>ROUND(H10,6)</f>
        <v>0.99402599999999997</v>
      </c>
      <c r="T10" s="65">
        <v>78.540000000000006</v>
      </c>
    </row>
    <row r="11" spans="2:20" s="52" customFormat="1" hidden="1" outlineLevel="1">
      <c r="B11" s="63">
        <v>4</v>
      </c>
      <c r="C11" s="64">
        <v>1.76E-4</v>
      </c>
      <c r="D11" s="64">
        <f>D10-(D10*C10)</f>
        <v>0.99252556116671664</v>
      </c>
      <c r="E11" s="112">
        <v>72.849999999999994</v>
      </c>
      <c r="F11" s="112"/>
      <c r="G11" s="64">
        <v>1.3300000000000001E-4</v>
      </c>
      <c r="H11" s="64">
        <f>H10-(H10*G10)</f>
        <v>0.99386527724648754</v>
      </c>
      <c r="I11" s="65">
        <v>77.55</v>
      </c>
      <c r="M11" s="63">
        <v>4</v>
      </c>
      <c r="N11" s="64">
        <v>1.76E-4</v>
      </c>
      <c r="O11" s="64">
        <f>O10-(O10*N10)</f>
        <v>0.992525518803</v>
      </c>
      <c r="P11" s="112">
        <v>72.849999999999994</v>
      </c>
      <c r="Q11" s="112"/>
      <c r="R11" s="64">
        <v>1.3300000000000001E-4</v>
      </c>
      <c r="S11" s="64">
        <f>S10-(S10*R10)</f>
        <v>0.99386496778799993</v>
      </c>
      <c r="T11" s="65">
        <v>77.55</v>
      </c>
    </row>
    <row r="12" spans="2:20" s="52" customFormat="1" hidden="1" outlineLevel="1">
      <c r="B12" s="63">
        <v>5</v>
      </c>
      <c r="C12" s="64">
        <v>1.5899999999999999E-4</v>
      </c>
      <c r="D12" s="64">
        <f>D11-(D11*C11)</f>
        <v>0.9923508766679513</v>
      </c>
      <c r="E12" s="112">
        <v>71.87</v>
      </c>
      <c r="F12" s="112"/>
      <c r="G12" s="64">
        <v>1.1900000000000001E-4</v>
      </c>
      <c r="H12" s="64">
        <f>H11-(H11*G11)</f>
        <v>0.99373309316461378</v>
      </c>
      <c r="I12" s="65">
        <v>76.56</v>
      </c>
      <c r="M12" s="63">
        <v>5</v>
      </c>
      <c r="N12" s="64">
        <v>1.5899999999999999E-4</v>
      </c>
      <c r="O12" s="64">
        <f>O11-(O11*N11)</f>
        <v>0.99235083431169069</v>
      </c>
      <c r="P12" s="112">
        <v>71.87</v>
      </c>
      <c r="Q12" s="112"/>
      <c r="R12" s="64">
        <v>1.1900000000000001E-4</v>
      </c>
      <c r="S12" s="64">
        <f>S11-(S11*R11)</f>
        <v>0.99373278374728413</v>
      </c>
      <c r="T12" s="65">
        <v>76.56</v>
      </c>
    </row>
    <row r="13" spans="2:20" s="52" customFormat="1" hidden="1" outlineLevel="1">
      <c r="B13" s="66">
        <v>6</v>
      </c>
      <c r="C13" s="67">
        <v>1.46E-4</v>
      </c>
      <c r="D13" s="67">
        <f>D12-(D12*C12)</f>
        <v>0.99219309287856106</v>
      </c>
      <c r="E13" s="117">
        <v>70.88</v>
      </c>
      <c r="F13" s="117"/>
      <c r="G13" s="67">
        <v>1.0900000000000001E-4</v>
      </c>
      <c r="H13" s="67">
        <f>H12-(H12*G12)</f>
        <v>0.99361483892652724</v>
      </c>
      <c r="I13" s="68">
        <v>75.569999999999993</v>
      </c>
      <c r="M13" s="66">
        <v>6</v>
      </c>
      <c r="N13" s="67">
        <v>1.46E-4</v>
      </c>
      <c r="O13" s="67">
        <f>O12-(O12*N12)</f>
        <v>0.99219305052903517</v>
      </c>
      <c r="P13" s="117">
        <v>70.88</v>
      </c>
      <c r="Q13" s="117"/>
      <c r="R13" s="67">
        <v>1.0900000000000001E-4</v>
      </c>
      <c r="S13" s="67">
        <f>S12-(S12*R12)</f>
        <v>0.99361452954601825</v>
      </c>
      <c r="T13" s="68">
        <v>75.569999999999993</v>
      </c>
    </row>
    <row r="14" spans="2:20" s="52" customFormat="1" hidden="1" outlineLevel="1">
      <c r="B14" s="66">
        <v>7</v>
      </c>
      <c r="C14" s="67">
        <v>1.3300000000000001E-4</v>
      </c>
      <c r="D14" s="67">
        <f>D13-(D13*C13)</f>
        <v>0.99204823268700082</v>
      </c>
      <c r="E14" s="117">
        <v>69.89</v>
      </c>
      <c r="F14" s="117"/>
      <c r="G14" s="67">
        <v>1.01E-4</v>
      </c>
      <c r="H14" s="67">
        <f>H13-(H13*G13)</f>
        <v>0.99350653490908425</v>
      </c>
      <c r="I14" s="68">
        <v>74.58</v>
      </c>
      <c r="M14" s="66">
        <v>7</v>
      </c>
      <c r="N14" s="67">
        <v>1.3300000000000001E-4</v>
      </c>
      <c r="O14" s="67">
        <f>O13-(O13*N13)</f>
        <v>0.99204819034365788</v>
      </c>
      <c r="P14" s="117">
        <v>69.89</v>
      </c>
      <c r="Q14" s="117"/>
      <c r="R14" s="67">
        <v>1.01E-4</v>
      </c>
      <c r="S14" s="67">
        <f>S13-(S13*R13)</f>
        <v>0.99350622556229773</v>
      </c>
      <c r="T14" s="68">
        <v>74.58</v>
      </c>
    </row>
    <row r="15" spans="2:20" s="52" customFormat="1" hidden="1" outlineLevel="1">
      <c r="B15" s="66">
        <v>8</v>
      </c>
      <c r="C15" s="67">
        <v>1.18E-4</v>
      </c>
      <c r="D15" s="67">
        <f>D14-(D14*C14)</f>
        <v>0.99191629027205341</v>
      </c>
      <c r="E15" s="117">
        <v>68.900000000000006</v>
      </c>
      <c r="F15" s="117"/>
      <c r="G15" s="67">
        <v>9.6000000000000002E-5</v>
      </c>
      <c r="H15" s="67">
        <f>H14-(H14*G14)</f>
        <v>0.99340619074905845</v>
      </c>
      <c r="I15" s="68">
        <v>73.58</v>
      </c>
      <c r="M15" s="66">
        <v>8</v>
      </c>
      <c r="N15" s="67">
        <v>1.18E-4</v>
      </c>
      <c r="O15" s="67">
        <f>O14-(O14*N14)</f>
        <v>0.99191624793434219</v>
      </c>
      <c r="P15" s="117">
        <v>68.900000000000006</v>
      </c>
      <c r="Q15" s="117"/>
      <c r="R15" s="67">
        <v>9.6000000000000002E-5</v>
      </c>
      <c r="S15" s="67">
        <f>S14-(S14*R14)</f>
        <v>0.99340588143351594</v>
      </c>
      <c r="T15" s="68">
        <v>73.58</v>
      </c>
    </row>
    <row r="16" spans="2:20" s="52" customFormat="1" hidden="1" outlineLevel="1">
      <c r="B16" s="66">
        <v>9</v>
      </c>
      <c r="C16" s="67">
        <v>1.02E-4</v>
      </c>
      <c r="D16" s="67">
        <f>D15-(D15*C15)</f>
        <v>0.99179924414980136</v>
      </c>
      <c r="E16" s="117">
        <v>67.900000000000006</v>
      </c>
      <c r="F16" s="117"/>
      <c r="G16" s="67">
        <v>9.2999999999999997E-5</v>
      </c>
      <c r="H16" s="67">
        <f>H15-(H15*G15)</f>
        <v>0.99331082375474655</v>
      </c>
      <c r="I16" s="68">
        <v>72.59</v>
      </c>
      <c r="M16" s="66">
        <v>9</v>
      </c>
      <c r="N16" s="67">
        <v>1.02E-4</v>
      </c>
      <c r="O16" s="67">
        <f>O15-(O15*N15)</f>
        <v>0.99179920181708592</v>
      </c>
      <c r="P16" s="117">
        <v>67.900000000000006</v>
      </c>
      <c r="Q16" s="117"/>
      <c r="R16" s="67">
        <v>9.2999999999999997E-5</v>
      </c>
      <c r="S16" s="67">
        <f>S15-(S15*R15)</f>
        <v>0.99331051446889829</v>
      </c>
      <c r="T16" s="68">
        <v>72.59</v>
      </c>
    </row>
    <row r="17" spans="2:20" s="52" customFormat="1" hidden="1" outlineLevel="1">
      <c r="B17" s="66">
        <v>10</v>
      </c>
      <c r="C17" s="67">
        <v>9.1000000000000003E-5</v>
      </c>
      <c r="D17" s="67">
        <f>D16-(D16*C16)</f>
        <v>0.99169808062689813</v>
      </c>
      <c r="E17" s="117">
        <v>66.91</v>
      </c>
      <c r="F17" s="117"/>
      <c r="G17" s="67">
        <v>9.3999999999999994E-5</v>
      </c>
      <c r="H17" s="67">
        <f>H16-(H16*G16)</f>
        <v>0.99321844584813734</v>
      </c>
      <c r="I17" s="68">
        <v>71.599999999999994</v>
      </c>
      <c r="M17" s="66">
        <v>10</v>
      </c>
      <c r="N17" s="67">
        <v>9.1000000000000003E-5</v>
      </c>
      <c r="O17" s="67">
        <f>O16-(O16*N16)</f>
        <v>0.99169803829850056</v>
      </c>
      <c r="P17" s="117">
        <v>66.91</v>
      </c>
      <c r="Q17" s="117"/>
      <c r="R17" s="67">
        <v>9.3999999999999994E-5</v>
      </c>
      <c r="S17" s="67">
        <f>S16-(S16*R16)</f>
        <v>0.99321813659105262</v>
      </c>
      <c r="T17" s="68">
        <v>71.599999999999994</v>
      </c>
    </row>
    <row r="18" spans="2:20" s="52" customFormat="1" hidden="1" outlineLevel="1">
      <c r="B18" s="63">
        <v>11</v>
      </c>
      <c r="C18" s="64">
        <v>9.6000000000000002E-5</v>
      </c>
      <c r="D18" s="64">
        <f>D17-(D17*C17)</f>
        <v>0.99160783610156111</v>
      </c>
      <c r="E18" s="112">
        <v>65.92</v>
      </c>
      <c r="F18" s="112"/>
      <c r="G18" s="64">
        <v>1E-4</v>
      </c>
      <c r="H18" s="64">
        <f>H17-(H17*G17)</f>
        <v>0.99312508331422766</v>
      </c>
      <c r="I18" s="65">
        <v>70.599999999999994</v>
      </c>
      <c r="M18" s="63">
        <v>11</v>
      </c>
      <c r="N18" s="64">
        <v>9.6000000000000002E-5</v>
      </c>
      <c r="O18" s="64">
        <f>O17-(O17*N17)</f>
        <v>0.99160779377701536</v>
      </c>
      <c r="P18" s="112">
        <v>65.92</v>
      </c>
      <c r="Q18" s="112"/>
      <c r="R18" s="64">
        <v>1E-4</v>
      </c>
      <c r="S18" s="64">
        <f>S17-(S17*R17)</f>
        <v>0.99312477408621302</v>
      </c>
      <c r="T18" s="65">
        <v>70.599999999999994</v>
      </c>
    </row>
    <row r="19" spans="2:20" s="52" customFormat="1" hidden="1" outlineLevel="1">
      <c r="B19" s="63">
        <v>12</v>
      </c>
      <c r="C19" s="64">
        <v>1.2799999999999999E-4</v>
      </c>
      <c r="D19" s="64">
        <f>D18-(D18*C18)</f>
        <v>0.99151264174929532</v>
      </c>
      <c r="E19" s="112">
        <v>64.92</v>
      </c>
      <c r="F19" s="112"/>
      <c r="G19" s="64">
        <v>1.12E-4</v>
      </c>
      <c r="H19" s="64">
        <f>H18-(H18*G18)</f>
        <v>0.99302577080589627</v>
      </c>
      <c r="I19" s="65">
        <v>69.61</v>
      </c>
      <c r="M19" s="63">
        <v>12</v>
      </c>
      <c r="N19" s="64">
        <v>1.2799999999999999E-4</v>
      </c>
      <c r="O19" s="64">
        <f>O18-(O18*N18)</f>
        <v>0.99151259942881276</v>
      </c>
      <c r="P19" s="112">
        <v>64.92</v>
      </c>
      <c r="Q19" s="112"/>
      <c r="R19" s="64">
        <v>1.12E-4</v>
      </c>
      <c r="S19" s="64">
        <f>S18-(S18*R18)</f>
        <v>0.99302546160880445</v>
      </c>
      <c r="T19" s="65">
        <v>69.61</v>
      </c>
    </row>
    <row r="20" spans="2:20" s="52" customFormat="1" hidden="1" outlineLevel="1">
      <c r="B20" s="63">
        <v>13</v>
      </c>
      <c r="C20" s="64">
        <v>1.95E-4</v>
      </c>
      <c r="D20" s="64">
        <f>D19-(D19*C19)</f>
        <v>0.99138572813115144</v>
      </c>
      <c r="E20" s="112">
        <v>63.93</v>
      </c>
      <c r="F20" s="112"/>
      <c r="G20" s="64">
        <v>1.34E-4</v>
      </c>
      <c r="H20" s="64">
        <f>H19-(H19*G19)</f>
        <v>0.99291455191956601</v>
      </c>
      <c r="I20" s="65">
        <v>68.62</v>
      </c>
      <c r="M20" s="63">
        <v>13</v>
      </c>
      <c r="N20" s="64">
        <v>1.95E-4</v>
      </c>
      <c r="O20" s="64">
        <f>O19-(O19*N19)</f>
        <v>0.99138568581608588</v>
      </c>
      <c r="P20" s="112">
        <v>63.93</v>
      </c>
      <c r="Q20" s="112"/>
      <c r="R20" s="64">
        <v>1.34E-4</v>
      </c>
      <c r="S20" s="64">
        <f>S19-(S19*R19)</f>
        <v>0.99291424275710427</v>
      </c>
      <c r="T20" s="65">
        <v>68.62</v>
      </c>
    </row>
    <row r="21" spans="2:20" s="52" customFormat="1" hidden="1" outlineLevel="1">
      <c r="B21" s="63">
        <v>14</v>
      </c>
      <c r="C21" s="64">
        <v>2.8800000000000001E-4</v>
      </c>
      <c r="D21" s="64">
        <f>D20-(D20*C20)</f>
        <v>0.99119240791416585</v>
      </c>
      <c r="E21" s="112">
        <v>62.94</v>
      </c>
      <c r="F21" s="112"/>
      <c r="G21" s="64">
        <v>1.6200000000000001E-4</v>
      </c>
      <c r="H21" s="64">
        <f>H20-(H20*G20)</f>
        <v>0.99278150136960874</v>
      </c>
      <c r="I21" s="65">
        <v>67.63</v>
      </c>
      <c r="M21" s="63">
        <v>14</v>
      </c>
      <c r="N21" s="64">
        <v>2.8800000000000001E-4</v>
      </c>
      <c r="O21" s="64">
        <f>O20-(O20*N20)</f>
        <v>0.9911923656073518</v>
      </c>
      <c r="P21" s="112">
        <v>62.94</v>
      </c>
      <c r="Q21" s="112"/>
      <c r="R21" s="64">
        <v>1.6200000000000001E-4</v>
      </c>
      <c r="S21" s="64">
        <f>S20-(S20*R20)</f>
        <v>0.99278119224857486</v>
      </c>
      <c r="T21" s="65">
        <v>67.63</v>
      </c>
    </row>
    <row r="22" spans="2:20" s="52" customFormat="1" hidden="1" outlineLevel="1">
      <c r="B22" s="63">
        <v>15</v>
      </c>
      <c r="C22" s="64">
        <v>3.8900000000000002E-4</v>
      </c>
      <c r="D22" s="64">
        <f>D21-(D21*C21)</f>
        <v>0.99090694450068662</v>
      </c>
      <c r="E22" s="112">
        <v>61.96</v>
      </c>
      <c r="F22" s="112"/>
      <c r="G22" s="64">
        <v>1.94E-4</v>
      </c>
      <c r="H22" s="64">
        <f>H21-(H21*G21)</f>
        <v>0.99262067076638683</v>
      </c>
      <c r="I22" s="65">
        <v>66.64</v>
      </c>
      <c r="M22" s="63">
        <v>15</v>
      </c>
      <c r="N22" s="64">
        <v>3.8900000000000002E-4</v>
      </c>
      <c r="O22" s="64">
        <f>O21-(O21*N21)</f>
        <v>0.99090690220605693</v>
      </c>
      <c r="P22" s="112">
        <v>61.96</v>
      </c>
      <c r="Q22" s="112"/>
      <c r="R22" s="64">
        <v>1.94E-4</v>
      </c>
      <c r="S22" s="64">
        <f>S21-(S21*R21)</f>
        <v>0.99262036169543055</v>
      </c>
      <c r="T22" s="65">
        <v>66.64</v>
      </c>
    </row>
    <row r="23" spans="2:20" s="52" customFormat="1" hidden="1" outlineLevel="1">
      <c r="B23" s="63">
        <v>16</v>
      </c>
      <c r="C23" s="64">
        <v>4.9200000000000003E-4</v>
      </c>
      <c r="D23" s="64">
        <f>D22-(D22*C22)</f>
        <v>0.9905214816992759</v>
      </c>
      <c r="E23" s="112">
        <v>60.99</v>
      </c>
      <c r="F23" s="112"/>
      <c r="G23" s="64">
        <v>2.2599999999999999E-4</v>
      </c>
      <c r="H23" s="64">
        <f>H22-(H22*G22)</f>
        <v>0.99242810235625811</v>
      </c>
      <c r="I23" s="65">
        <v>65.650000000000006</v>
      </c>
      <c r="M23" s="63">
        <v>16</v>
      </c>
      <c r="N23" s="64">
        <v>4.9200000000000003E-4</v>
      </c>
      <c r="O23" s="64">
        <f>O22-(O22*N22)</f>
        <v>0.99052143942109883</v>
      </c>
      <c r="P23" s="112">
        <v>60.99</v>
      </c>
      <c r="Q23" s="112"/>
      <c r="R23" s="64">
        <v>2.2599999999999999E-4</v>
      </c>
      <c r="S23" s="64">
        <f>S22-(S22*R22)</f>
        <v>0.99242779334526166</v>
      </c>
      <c r="T23" s="65">
        <v>65.650000000000006</v>
      </c>
    </row>
    <row r="24" spans="2:20" s="52" customFormat="1" hidden="1" outlineLevel="1">
      <c r="B24" s="63">
        <v>17</v>
      </c>
      <c r="C24" s="64">
        <v>6.0700000000000001E-4</v>
      </c>
      <c r="D24" s="64">
        <f>D23-(D23*C23)</f>
        <v>0.99003414513027987</v>
      </c>
      <c r="E24" s="112">
        <v>60.02</v>
      </c>
      <c r="F24" s="112"/>
      <c r="G24" s="64">
        <v>2.61E-4</v>
      </c>
      <c r="H24" s="64">
        <f>H23-(H23*G23)</f>
        <v>0.99220381360512555</v>
      </c>
      <c r="I24" s="65">
        <v>64.67</v>
      </c>
      <c r="M24" s="63">
        <v>17</v>
      </c>
      <c r="N24" s="64">
        <v>6.0700000000000001E-4</v>
      </c>
      <c r="O24" s="64">
        <f>O23-(O23*N23)</f>
        <v>0.99003410287290361</v>
      </c>
      <c r="P24" s="112">
        <v>60.02</v>
      </c>
      <c r="Q24" s="112"/>
      <c r="R24" s="64">
        <v>2.61E-4</v>
      </c>
      <c r="S24" s="64">
        <f>S23-(S23*R23)</f>
        <v>0.99220350466396567</v>
      </c>
      <c r="T24" s="65">
        <v>64.67</v>
      </c>
    </row>
    <row r="25" spans="2:20" s="52" customFormat="1" hidden="1" outlineLevel="1">
      <c r="B25" s="63">
        <v>18</v>
      </c>
      <c r="C25" s="64">
        <v>7.3499999999999998E-4</v>
      </c>
      <c r="D25" s="64">
        <f>D24-(D24*C24)</f>
        <v>0.98943319440418576</v>
      </c>
      <c r="E25" s="112">
        <v>59.05</v>
      </c>
      <c r="F25" s="112"/>
      <c r="G25" s="64">
        <v>2.9700000000000001E-4</v>
      </c>
      <c r="H25" s="64">
        <f>H24-(H24*G24)</f>
        <v>0.99194484840977459</v>
      </c>
      <c r="I25" s="65">
        <v>63.68</v>
      </c>
      <c r="M25" s="63">
        <v>18</v>
      </c>
      <c r="N25" s="64">
        <v>7.3499999999999998E-4</v>
      </c>
      <c r="O25" s="64">
        <f>O24-(O24*N24)</f>
        <v>0.98943315217245975</v>
      </c>
      <c r="P25" s="112">
        <v>59.05</v>
      </c>
      <c r="Q25" s="112"/>
      <c r="R25" s="64">
        <v>2.9700000000000001E-4</v>
      </c>
      <c r="S25" s="64">
        <f>S24-(S24*R24)</f>
        <v>0.99194453954924833</v>
      </c>
      <c r="T25" s="65">
        <v>63.68</v>
      </c>
    </row>
    <row r="26" spans="2:20" s="52" customFormat="1" hidden="1" outlineLevel="1">
      <c r="B26" s="63">
        <v>19</v>
      </c>
      <c r="C26" s="64">
        <v>8.6899999999999998E-4</v>
      </c>
      <c r="D26" s="64">
        <f>D25-(D25*C25)</f>
        <v>0.98870596100629871</v>
      </c>
      <c r="E26" s="112">
        <v>58.09</v>
      </c>
      <c r="F26" s="112"/>
      <c r="G26" s="64">
        <v>3.3399999999999999E-4</v>
      </c>
      <c r="H26" s="64">
        <f>H25-(H25*G25)</f>
        <v>0.99165024078979691</v>
      </c>
      <c r="I26" s="65">
        <v>62.7</v>
      </c>
      <c r="M26" s="63">
        <v>19</v>
      </c>
      <c r="N26" s="64">
        <v>8.6899999999999998E-4</v>
      </c>
      <c r="O26" s="64">
        <f>O25-(O25*N25)</f>
        <v>0.98870591880561298</v>
      </c>
      <c r="P26" s="112">
        <v>58.09</v>
      </c>
      <c r="Q26" s="112"/>
      <c r="R26" s="64">
        <v>3.3399999999999999E-4</v>
      </c>
      <c r="S26" s="64">
        <f>S25-(S25*R25)</f>
        <v>0.99164993202100216</v>
      </c>
      <c r="T26" s="65">
        <v>62.7</v>
      </c>
    </row>
    <row r="27" spans="2:20" s="52" customFormat="1" hidden="1" outlineLevel="1">
      <c r="B27" s="63">
        <v>20</v>
      </c>
      <c r="C27" s="64">
        <v>1.011E-3</v>
      </c>
      <c r="D27" s="64">
        <f>D26-(D26*C26)</f>
        <v>0.98784677552618427</v>
      </c>
      <c r="E27" s="112">
        <v>57.14</v>
      </c>
      <c r="F27" s="112"/>
      <c r="G27" s="64">
        <v>3.7300000000000001E-4</v>
      </c>
      <c r="H27" s="64">
        <f>H26-(H26*G26)</f>
        <v>0.99131902960937313</v>
      </c>
      <c r="I27" s="65">
        <v>61.72</v>
      </c>
      <c r="M27" s="63">
        <v>20</v>
      </c>
      <c r="N27" s="64">
        <v>1.011E-3</v>
      </c>
      <c r="O27" s="64">
        <f>O26-(O26*N26)</f>
        <v>0.98784673336217088</v>
      </c>
      <c r="P27" s="112">
        <v>57.14</v>
      </c>
      <c r="Q27" s="112"/>
      <c r="R27" s="64">
        <v>3.7300000000000001E-4</v>
      </c>
      <c r="S27" s="64">
        <f>S26-(S26*R26)</f>
        <v>0.9913187209437071</v>
      </c>
      <c r="T27" s="65">
        <v>61.72</v>
      </c>
    </row>
    <row r="28" spans="2:20" s="52" customFormat="1" hidden="1" outlineLevel="1">
      <c r="B28" s="63">
        <v>21</v>
      </c>
      <c r="C28" s="64">
        <v>1.145E-3</v>
      </c>
      <c r="D28" s="64">
        <f>D27-(D27*C27)</f>
        <v>0.98684806243612733</v>
      </c>
      <c r="E28" s="112">
        <v>56.2</v>
      </c>
      <c r="F28" s="112"/>
      <c r="G28" s="64">
        <v>4.1199999999999999E-4</v>
      </c>
      <c r="H28" s="64">
        <f>H27-(H27*G27)</f>
        <v>0.99094926761132884</v>
      </c>
      <c r="I28" s="65">
        <v>60.75</v>
      </c>
      <c r="M28" s="63">
        <v>21</v>
      </c>
      <c r="N28" s="64">
        <v>1.145E-3</v>
      </c>
      <c r="O28" s="64">
        <f>O27-(O27*N27)</f>
        <v>0.98684802031474173</v>
      </c>
      <c r="P28" s="112">
        <v>56.2</v>
      </c>
      <c r="Q28" s="112"/>
      <c r="R28" s="64">
        <v>4.1199999999999999E-4</v>
      </c>
      <c r="S28" s="64">
        <f>S27-(S27*R27)</f>
        <v>0.99094895906079505</v>
      </c>
      <c r="T28" s="65">
        <v>60.75</v>
      </c>
    </row>
    <row r="29" spans="2:20" s="52" customFormat="1" hidden="1" outlineLevel="1">
      <c r="B29" s="63">
        <v>22</v>
      </c>
      <c r="C29" s="64">
        <v>1.2459999999999999E-3</v>
      </c>
      <c r="D29" s="64">
        <f>D28-(D28*C28)</f>
        <v>0.98571812140463799</v>
      </c>
      <c r="E29" s="112">
        <v>55.27</v>
      </c>
      <c r="F29" s="112"/>
      <c r="G29" s="64">
        <v>4.46E-4</v>
      </c>
      <c r="H29" s="64">
        <f>H28-(H28*G28)</f>
        <v>0.99054099651307292</v>
      </c>
      <c r="I29" s="65">
        <v>59.77</v>
      </c>
      <c r="M29" s="63">
        <v>22</v>
      </c>
      <c r="N29" s="64">
        <v>1.2459999999999999E-3</v>
      </c>
      <c r="O29" s="64">
        <f>O28-(O28*N28)</f>
        <v>0.98571807933148137</v>
      </c>
      <c r="P29" s="112">
        <v>55.27</v>
      </c>
      <c r="Q29" s="112"/>
      <c r="R29" s="64">
        <v>4.46E-4</v>
      </c>
      <c r="S29" s="64">
        <f>S28-(S28*R28)</f>
        <v>0.990540688089662</v>
      </c>
      <c r="T29" s="65">
        <v>59.77</v>
      </c>
    </row>
    <row r="30" spans="2:20" s="52" customFormat="1" hidden="1" outlineLevel="1">
      <c r="B30" s="63">
        <v>23</v>
      </c>
      <c r="C30" s="64">
        <v>1.3010000000000001E-3</v>
      </c>
      <c r="D30" s="64">
        <f>D29-(D29*C29)</f>
        <v>0.98448991662536778</v>
      </c>
      <c r="E30" s="112">
        <v>54.33</v>
      </c>
      <c r="F30" s="112"/>
      <c r="G30" s="64">
        <v>4.7199999999999998E-4</v>
      </c>
      <c r="H30" s="64">
        <f>H29-(H29*G29)</f>
        <v>0.99009921522862809</v>
      </c>
      <c r="I30" s="65">
        <v>58.8</v>
      </c>
      <c r="M30" s="63">
        <v>23</v>
      </c>
      <c r="N30" s="64">
        <v>1.3010000000000001E-3</v>
      </c>
      <c r="O30" s="64">
        <f>O29-(O29*N29)</f>
        <v>0.98448987460463433</v>
      </c>
      <c r="P30" s="112">
        <v>54.33</v>
      </c>
      <c r="Q30" s="112"/>
      <c r="R30" s="64">
        <v>4.7199999999999998E-4</v>
      </c>
      <c r="S30" s="64">
        <f>S29-(S29*R29)</f>
        <v>0.99009890694277403</v>
      </c>
      <c r="T30" s="65">
        <v>58.8</v>
      </c>
    </row>
    <row r="31" spans="2:20" s="52" customFormat="1" hidden="1" outlineLevel="1">
      <c r="B31" s="63">
        <v>24</v>
      </c>
      <c r="C31" s="64">
        <v>1.3209999999999999E-3</v>
      </c>
      <c r="D31" s="64">
        <f>D30-(D30*C30)</f>
        <v>0.98320909524383815</v>
      </c>
      <c r="E31" s="112">
        <v>53.4</v>
      </c>
      <c r="F31" s="112"/>
      <c r="G31" s="64">
        <v>4.9299999999999995E-4</v>
      </c>
      <c r="H31" s="64">
        <f>H30-(H30*G30)</f>
        <v>0.98963188839904015</v>
      </c>
      <c r="I31" s="65">
        <v>57.82</v>
      </c>
      <c r="M31" s="63">
        <v>24</v>
      </c>
      <c r="N31" s="64">
        <v>1.3209999999999999E-3</v>
      </c>
      <c r="O31" s="64">
        <f>O30-(O30*N30)</f>
        <v>0.98320905327777375</v>
      </c>
      <c r="P31" s="112">
        <v>53.4</v>
      </c>
      <c r="Q31" s="112"/>
      <c r="R31" s="64">
        <v>4.9299999999999995E-4</v>
      </c>
      <c r="S31" s="64">
        <f>S30-(S30*R30)</f>
        <v>0.98963158025869702</v>
      </c>
      <c r="T31" s="65">
        <v>57.82</v>
      </c>
    </row>
    <row r="32" spans="2:20" s="52" customFormat="1" hidden="1" outlineLevel="1">
      <c r="B32" s="63">
        <v>25</v>
      </c>
      <c r="C32" s="64">
        <v>1.33E-3</v>
      </c>
      <c r="D32" s="64">
        <f>D31-(D31*C31)</f>
        <v>0.98191027602902103</v>
      </c>
      <c r="E32" s="112">
        <v>52.47</v>
      </c>
      <c r="F32" s="112"/>
      <c r="G32" s="64">
        <v>5.13E-4</v>
      </c>
      <c r="H32" s="64">
        <f>H31-(H31*G31)</f>
        <v>0.98914399987805945</v>
      </c>
      <c r="I32" s="65">
        <v>56.85</v>
      </c>
      <c r="M32" s="63">
        <v>25</v>
      </c>
      <c r="N32" s="64">
        <v>1.33E-3</v>
      </c>
      <c r="O32" s="64">
        <f>O31-(O31*N31)</f>
        <v>0.98191023411839384</v>
      </c>
      <c r="P32" s="112">
        <v>52.47</v>
      </c>
      <c r="Q32" s="112"/>
      <c r="R32" s="64">
        <v>5.13E-4</v>
      </c>
      <c r="S32" s="64">
        <f>S31-(S31*R31)</f>
        <v>0.98914369188962947</v>
      </c>
      <c r="T32" s="65">
        <v>56.85</v>
      </c>
    </row>
    <row r="33" spans="2:20" s="52" customFormat="1" hidden="1" outlineLevel="1">
      <c r="B33" s="63">
        <v>26</v>
      </c>
      <c r="C33" s="64">
        <v>1.3450000000000001E-3</v>
      </c>
      <c r="D33" s="64">
        <f>D32-(D32*C32)</f>
        <v>0.98060433536190239</v>
      </c>
      <c r="E33" s="112">
        <v>51.54</v>
      </c>
      <c r="F33" s="112"/>
      <c r="G33" s="64">
        <v>5.3700000000000004E-4</v>
      </c>
      <c r="H33" s="64">
        <f>H32-(H32*G32)</f>
        <v>0.98863656900612196</v>
      </c>
      <c r="I33" s="65">
        <v>55.88</v>
      </c>
      <c r="M33" s="63">
        <v>26</v>
      </c>
      <c r="N33" s="64">
        <v>1.3450000000000001E-3</v>
      </c>
      <c r="O33" s="64">
        <f>O32-(O32*N32)</f>
        <v>0.98060429350701639</v>
      </c>
      <c r="P33" s="112">
        <v>51.54</v>
      </c>
      <c r="Q33" s="112"/>
      <c r="R33" s="64">
        <v>5.3700000000000004E-4</v>
      </c>
      <c r="S33" s="64">
        <f>S32-(S32*R32)</f>
        <v>0.98863626117569015</v>
      </c>
      <c r="T33" s="65">
        <v>55.88</v>
      </c>
    </row>
    <row r="34" spans="2:20" s="52" customFormat="1" hidden="1" outlineLevel="1">
      <c r="B34" s="63">
        <v>27</v>
      </c>
      <c r="C34" s="64">
        <v>1.3630000000000001E-3</v>
      </c>
      <c r="D34" s="64">
        <f>D33-(D33*C33)</f>
        <v>0.97928542253084061</v>
      </c>
      <c r="E34" s="112">
        <v>50.61</v>
      </c>
      <c r="F34" s="112"/>
      <c r="G34" s="64">
        <v>5.6300000000000002E-4</v>
      </c>
      <c r="H34" s="64">
        <f>H33-(H33*G33)</f>
        <v>0.98810567116856562</v>
      </c>
      <c r="I34" s="65">
        <v>54.91</v>
      </c>
      <c r="M34" s="63">
        <v>27</v>
      </c>
      <c r="N34" s="64">
        <v>1.3630000000000001E-3</v>
      </c>
      <c r="O34" s="64">
        <f>O33-(O33*N33)</f>
        <v>0.97928538073224947</v>
      </c>
      <c r="P34" s="112">
        <v>50.61</v>
      </c>
      <c r="Q34" s="112"/>
      <c r="R34" s="64">
        <v>5.6300000000000002E-4</v>
      </c>
      <c r="S34" s="64">
        <f>S33-(S33*R33)</f>
        <v>0.9881053635034388</v>
      </c>
      <c r="T34" s="65">
        <v>54.91</v>
      </c>
    </row>
    <row r="35" spans="2:20" s="52" customFormat="1" hidden="1" outlineLevel="1">
      <c r="B35" s="63">
        <v>28</v>
      </c>
      <c r="C35" s="64">
        <v>1.3910000000000001E-3</v>
      </c>
      <c r="D35" s="64">
        <f>D34-(D34*C34)</f>
        <v>0.97795065649993107</v>
      </c>
      <c r="E35" s="112">
        <v>49.68</v>
      </c>
      <c r="F35" s="112"/>
      <c r="G35" s="64">
        <v>5.9299999999999999E-4</v>
      </c>
      <c r="H35" s="64">
        <f>H34-(H34*G34)</f>
        <v>0.98754936767569768</v>
      </c>
      <c r="I35" s="65">
        <v>53.94</v>
      </c>
      <c r="M35" s="63">
        <v>28</v>
      </c>
      <c r="N35" s="64">
        <v>1.3910000000000001E-3</v>
      </c>
      <c r="O35" s="64">
        <f>O34-(O34*N34)</f>
        <v>0.97795061475831147</v>
      </c>
      <c r="P35" s="112">
        <v>49.68</v>
      </c>
      <c r="Q35" s="112"/>
      <c r="R35" s="64">
        <v>5.9299999999999999E-4</v>
      </c>
      <c r="S35" s="64">
        <f>S34-(S34*R34)</f>
        <v>0.98754906018378641</v>
      </c>
      <c r="T35" s="65">
        <v>53.94</v>
      </c>
    </row>
    <row r="36" spans="2:20" s="52" customFormat="1" hidden="1" outlineLevel="1">
      <c r="B36" s="63">
        <v>29</v>
      </c>
      <c r="C36" s="64">
        <v>1.4270000000000001E-3</v>
      </c>
      <c r="D36" s="64">
        <f>D35-(D35*C35)</f>
        <v>0.97659032713673966</v>
      </c>
      <c r="E36" s="112">
        <v>48.75</v>
      </c>
      <c r="F36" s="112"/>
      <c r="G36" s="64">
        <v>6.2699999999999995E-4</v>
      </c>
      <c r="H36" s="64">
        <f>H35-(H35*G35)</f>
        <v>0.98696375090066601</v>
      </c>
      <c r="I36" s="65">
        <v>52.97</v>
      </c>
      <c r="M36" s="63">
        <v>29</v>
      </c>
      <c r="N36" s="64">
        <v>1.4270000000000001E-3</v>
      </c>
      <c r="O36" s="64">
        <f>O35-(O35*N35)</f>
        <v>0.9765902854531826</v>
      </c>
      <c r="P36" s="112">
        <v>48.75</v>
      </c>
      <c r="Q36" s="112"/>
      <c r="R36" s="64">
        <v>6.2699999999999995E-4</v>
      </c>
      <c r="S36" s="64">
        <f>S35-(S35*R35)</f>
        <v>0.98696344359109744</v>
      </c>
      <c r="T36" s="65">
        <v>52.97</v>
      </c>
    </row>
    <row r="37" spans="2:20" s="52" customFormat="1" hidden="1" outlineLevel="1">
      <c r="B37" s="63">
        <v>30</v>
      </c>
      <c r="C37" s="64">
        <v>1.467E-3</v>
      </c>
      <c r="D37" s="64">
        <f>D36-(D36*C36)</f>
        <v>0.97519673273991547</v>
      </c>
      <c r="E37" s="112">
        <v>47.82</v>
      </c>
      <c r="F37" s="112"/>
      <c r="G37" s="64">
        <v>6.6399999999999999E-4</v>
      </c>
      <c r="H37" s="64">
        <f>H36-(H36*G36)</f>
        <v>0.98634492462885126</v>
      </c>
      <c r="I37" s="65">
        <v>52.01</v>
      </c>
      <c r="M37" s="63">
        <v>30</v>
      </c>
      <c r="N37" s="64">
        <v>1.467E-3</v>
      </c>
      <c r="O37" s="64">
        <f>O36-(O36*N36)</f>
        <v>0.97519669111584095</v>
      </c>
      <c r="P37" s="112">
        <v>47.82</v>
      </c>
      <c r="Q37" s="112"/>
      <c r="R37" s="64">
        <v>6.6399999999999999E-4</v>
      </c>
      <c r="S37" s="64">
        <f>S36-(S36*R36)</f>
        <v>0.98634461751196578</v>
      </c>
      <c r="T37" s="65">
        <v>52.01</v>
      </c>
    </row>
    <row r="38" spans="2:20" s="52" customFormat="1" hidden="1" outlineLevel="1">
      <c r="B38" s="63">
        <v>31</v>
      </c>
      <c r="C38" s="64">
        <v>1.505E-3</v>
      </c>
      <c r="D38" s="64">
        <f>D37-(D37*C37)</f>
        <v>0.97376611913298605</v>
      </c>
      <c r="E38" s="112">
        <v>46.89</v>
      </c>
      <c r="F38" s="112"/>
      <c r="G38" s="64">
        <v>7.0500000000000001E-4</v>
      </c>
      <c r="H38" s="64">
        <f>H37-(H37*G37)</f>
        <v>0.9856899915988977</v>
      </c>
      <c r="I38" s="65">
        <v>51.04</v>
      </c>
      <c r="M38" s="63">
        <v>31</v>
      </c>
      <c r="N38" s="64">
        <v>1.505E-3</v>
      </c>
      <c r="O38" s="64">
        <f>O37-(O37*N37)</f>
        <v>0.97376607756997402</v>
      </c>
      <c r="P38" s="112">
        <v>46.89</v>
      </c>
      <c r="Q38" s="112"/>
      <c r="R38" s="64">
        <v>7.0500000000000001E-4</v>
      </c>
      <c r="S38" s="64">
        <f>S37-(S37*R37)</f>
        <v>0.98568968468593787</v>
      </c>
      <c r="T38" s="65">
        <v>51.04</v>
      </c>
    </row>
    <row r="39" spans="2:20" s="52" customFormat="1" hidden="1" outlineLevel="1">
      <c r="B39" s="63">
        <v>32</v>
      </c>
      <c r="C39" s="64">
        <v>1.5410000000000001E-3</v>
      </c>
      <c r="D39" s="64">
        <f>D38-(D38*C38)</f>
        <v>0.97230060112369088</v>
      </c>
      <c r="E39" s="112">
        <v>45.96</v>
      </c>
      <c r="F39" s="112"/>
      <c r="G39" s="64">
        <v>7.4799999999999997E-4</v>
      </c>
      <c r="H39" s="64">
        <f>H38-(H38*G38)</f>
        <v>0.98499508015482051</v>
      </c>
      <c r="I39" s="65">
        <v>50.08</v>
      </c>
      <c r="M39" s="63">
        <v>32</v>
      </c>
      <c r="N39" s="64">
        <v>1.5410000000000001E-3</v>
      </c>
      <c r="O39" s="64">
        <f>O38-(O38*N38)</f>
        <v>0.97230055962323125</v>
      </c>
      <c r="P39" s="112">
        <v>45.96</v>
      </c>
      <c r="Q39" s="112"/>
      <c r="R39" s="64">
        <v>7.4799999999999997E-4</v>
      </c>
      <c r="S39" s="64">
        <f>S38-(S38*R38)</f>
        <v>0.98499477345823427</v>
      </c>
      <c r="T39" s="65">
        <v>50.08</v>
      </c>
    </row>
    <row r="40" spans="2:20" s="52" customFormat="1" hidden="1" outlineLevel="1">
      <c r="B40" s="63">
        <v>33</v>
      </c>
      <c r="C40" s="64">
        <v>1.573E-3</v>
      </c>
      <c r="D40" s="64">
        <f>D39-(D39*C39)</f>
        <v>0.97080228589735929</v>
      </c>
      <c r="E40" s="112">
        <v>45.03</v>
      </c>
      <c r="F40" s="112"/>
      <c r="G40" s="64">
        <v>7.94E-4</v>
      </c>
      <c r="H40" s="64">
        <f>H39-(H39*G39)</f>
        <v>0.98425830383486468</v>
      </c>
      <c r="I40" s="65">
        <v>49.11</v>
      </c>
      <c r="M40" s="63">
        <v>33</v>
      </c>
      <c r="N40" s="64">
        <v>1.573E-3</v>
      </c>
      <c r="O40" s="64">
        <f>O39-(O39*N39)</f>
        <v>0.97080224446085184</v>
      </c>
      <c r="P40" s="112">
        <v>45.03</v>
      </c>
      <c r="Q40" s="112"/>
      <c r="R40" s="64">
        <v>7.94E-4</v>
      </c>
      <c r="S40" s="64">
        <f>S39-(S39*R39)</f>
        <v>0.98425799736768749</v>
      </c>
      <c r="T40" s="65">
        <v>49.11</v>
      </c>
    </row>
    <row r="41" spans="2:20" s="52" customFormat="1" hidden="1" outlineLevel="1">
      <c r="B41" s="63">
        <v>34</v>
      </c>
      <c r="C41" s="64">
        <v>1.606E-3</v>
      </c>
      <c r="D41" s="64">
        <f>D40-(D40*C40)</f>
        <v>0.96927521390164273</v>
      </c>
      <c r="E41" s="112">
        <v>44.1</v>
      </c>
      <c r="F41" s="112"/>
      <c r="G41" s="64">
        <v>8.4500000000000005E-4</v>
      </c>
      <c r="H41" s="64">
        <f>H40-(H40*G40)</f>
        <v>0.98347680274161975</v>
      </c>
      <c r="I41" s="65">
        <v>48.15</v>
      </c>
      <c r="M41" s="63">
        <v>34</v>
      </c>
      <c r="N41" s="64">
        <v>1.606E-3</v>
      </c>
      <c r="O41" s="64">
        <f>O40-(O40*N40)</f>
        <v>0.96927517253031492</v>
      </c>
      <c r="P41" s="112">
        <v>44.1</v>
      </c>
      <c r="Q41" s="112"/>
      <c r="R41" s="64">
        <v>8.4500000000000005E-4</v>
      </c>
      <c r="S41" s="64">
        <f>S40-(S40*R40)</f>
        <v>0.98347649651777758</v>
      </c>
      <c r="T41" s="65">
        <v>48.15</v>
      </c>
    </row>
    <row r="42" spans="2:20" s="52" customFormat="1" hidden="1" outlineLevel="1">
      <c r="B42" s="63">
        <v>35</v>
      </c>
      <c r="C42" s="64">
        <v>1.6479999999999999E-3</v>
      </c>
      <c r="D42" s="64">
        <f>D41-(D41*C41)</f>
        <v>0.96771855790811667</v>
      </c>
      <c r="E42" s="112">
        <v>43.17</v>
      </c>
      <c r="F42" s="112"/>
      <c r="G42" s="64">
        <v>9.0300000000000005E-4</v>
      </c>
      <c r="H42" s="64">
        <f>H41-(H41*G41)</f>
        <v>0.98264576484330313</v>
      </c>
      <c r="I42" s="65">
        <v>47.19</v>
      </c>
      <c r="M42" s="63">
        <v>35</v>
      </c>
      <c r="N42" s="64">
        <v>1.6479999999999999E-3</v>
      </c>
      <c r="O42" s="64">
        <f>O41-(O41*N41)</f>
        <v>0.96771851660323127</v>
      </c>
      <c r="P42" s="112">
        <v>43.17</v>
      </c>
      <c r="Q42" s="112"/>
      <c r="R42" s="64">
        <v>9.0300000000000005E-4</v>
      </c>
      <c r="S42" s="64">
        <f>S41-(S41*R41)</f>
        <v>0.98264545887822008</v>
      </c>
      <c r="T42" s="65">
        <v>47.19</v>
      </c>
    </row>
    <row r="43" spans="2:20" s="52" customFormat="1" hidden="1" outlineLevel="1">
      <c r="B43" s="63">
        <v>36</v>
      </c>
      <c r="C43" s="64">
        <v>1.704E-3</v>
      </c>
      <c r="D43" s="64">
        <f>D42-(D42*C42)</f>
        <v>0.96612375772468406</v>
      </c>
      <c r="E43" s="112">
        <v>42.24</v>
      </c>
      <c r="F43" s="112"/>
      <c r="G43" s="64">
        <v>9.68E-4</v>
      </c>
      <c r="H43" s="64">
        <f>H42-(H42*G42)</f>
        <v>0.98175843571764965</v>
      </c>
      <c r="I43" s="65">
        <v>46.23</v>
      </c>
      <c r="M43" s="63">
        <v>36</v>
      </c>
      <c r="N43" s="64">
        <v>1.704E-3</v>
      </c>
      <c r="O43" s="64">
        <f>O42-(O42*N42)</f>
        <v>0.9661237164878691</v>
      </c>
      <c r="P43" s="112">
        <v>42.24</v>
      </c>
      <c r="Q43" s="112"/>
      <c r="R43" s="64">
        <v>9.68E-4</v>
      </c>
      <c r="S43" s="64">
        <f>S42-(S42*R42)</f>
        <v>0.98175813002885304</v>
      </c>
      <c r="T43" s="65">
        <v>46.23</v>
      </c>
    </row>
    <row r="44" spans="2:20" s="52" customFormat="1" hidden="1" outlineLevel="1">
      <c r="B44" s="63">
        <v>37</v>
      </c>
      <c r="C44" s="64">
        <v>1.774E-3</v>
      </c>
      <c r="D44" s="64">
        <f>D43-(D43*C43)</f>
        <v>0.96447748284152124</v>
      </c>
      <c r="E44" s="112">
        <v>41.31</v>
      </c>
      <c r="F44" s="112"/>
      <c r="G44" s="64">
        <v>1.0380000000000001E-3</v>
      </c>
      <c r="H44" s="64">
        <f>H43-(H43*G43)</f>
        <v>0.98080809355187493</v>
      </c>
      <c r="I44" s="65">
        <v>45.28</v>
      </c>
      <c r="M44" s="63">
        <v>37</v>
      </c>
      <c r="N44" s="64">
        <v>1.774E-3</v>
      </c>
      <c r="O44" s="64">
        <f>O43-(O43*N43)</f>
        <v>0.96447744167497373</v>
      </c>
      <c r="P44" s="112">
        <v>41.31</v>
      </c>
      <c r="Q44" s="112"/>
      <c r="R44" s="64">
        <v>1.0380000000000001E-3</v>
      </c>
      <c r="S44" s="64">
        <f>S43-(S43*R43)</f>
        <v>0.98080778815898506</v>
      </c>
      <c r="T44" s="65">
        <v>45.28</v>
      </c>
    </row>
    <row r="45" spans="2:20" s="52" customFormat="1" hidden="1" outlineLevel="1">
      <c r="B45" s="63">
        <v>38</v>
      </c>
      <c r="C45" s="64">
        <v>1.861E-3</v>
      </c>
      <c r="D45" s="64">
        <f>D44-(D44*C44)</f>
        <v>0.96276649978696038</v>
      </c>
      <c r="E45" s="112">
        <v>40.380000000000003</v>
      </c>
      <c r="F45" s="112"/>
      <c r="G45" s="64">
        <v>1.1130000000000001E-3</v>
      </c>
      <c r="H45" s="64">
        <f>H44-(H44*G44)</f>
        <v>0.9797900147507681</v>
      </c>
      <c r="I45" s="65">
        <v>44.33</v>
      </c>
      <c r="M45" s="63">
        <v>38</v>
      </c>
      <c r="N45" s="64">
        <v>1.861E-3</v>
      </c>
      <c r="O45" s="64">
        <f>O44-(O44*N44)</f>
        <v>0.96276645869344235</v>
      </c>
      <c r="P45" s="112">
        <v>40.380000000000003</v>
      </c>
      <c r="Q45" s="112"/>
      <c r="R45" s="64">
        <v>1.1130000000000001E-3</v>
      </c>
      <c r="S45" s="64">
        <f>S44-(S44*R44)</f>
        <v>0.979789709674876</v>
      </c>
      <c r="T45" s="65">
        <v>44.33</v>
      </c>
    </row>
    <row r="46" spans="2:20" s="52" customFormat="1" hidden="1" outlineLevel="1">
      <c r="B46" s="63">
        <v>39</v>
      </c>
      <c r="C46" s="64">
        <v>1.967E-3</v>
      </c>
      <c r="D46" s="64">
        <f>D45-(D45*C45)</f>
        <v>0.96097479133085684</v>
      </c>
      <c r="E46" s="112">
        <v>39.46</v>
      </c>
      <c r="F46" s="112"/>
      <c r="G46" s="64">
        <v>1.196E-3</v>
      </c>
      <c r="H46" s="64">
        <f>H45-(H45*G45)</f>
        <v>0.9786995084643505</v>
      </c>
      <c r="I46" s="65">
        <v>43.37</v>
      </c>
      <c r="M46" s="63">
        <v>39</v>
      </c>
      <c r="N46" s="64">
        <v>1.967E-3</v>
      </c>
      <c r="O46" s="64">
        <f>O45-(O45*N45)</f>
        <v>0.96097475031381385</v>
      </c>
      <c r="P46" s="112">
        <v>39.46</v>
      </c>
      <c r="Q46" s="112"/>
      <c r="R46" s="64">
        <v>1.196E-3</v>
      </c>
      <c r="S46" s="64">
        <f>S45-(S45*R45)</f>
        <v>0.97869920372800789</v>
      </c>
      <c r="T46" s="65">
        <v>43.37</v>
      </c>
    </row>
    <row r="47" spans="2:20" s="52" customFormat="1" hidden="1" outlineLevel="1">
      <c r="B47" s="63">
        <v>40</v>
      </c>
      <c r="C47" s="64">
        <v>2.0920000000000001E-3</v>
      </c>
      <c r="D47" s="64">
        <f>D46-(D46*C46)</f>
        <v>0.95908455391630909</v>
      </c>
      <c r="E47" s="112">
        <v>38.53</v>
      </c>
      <c r="F47" s="112"/>
      <c r="G47" s="64">
        <v>1.2869999999999999E-3</v>
      </c>
      <c r="H47" s="64">
        <f>H46-(H46*G46)</f>
        <v>0.97752898385222708</v>
      </c>
      <c r="I47" s="65">
        <v>42.43</v>
      </c>
      <c r="M47" s="63">
        <v>40</v>
      </c>
      <c r="N47" s="64">
        <v>2.0920000000000001E-3</v>
      </c>
      <c r="O47" s="64">
        <f>O46-(O46*N46)</f>
        <v>0.95908451297994657</v>
      </c>
      <c r="P47" s="112">
        <v>38.53</v>
      </c>
      <c r="Q47" s="112"/>
      <c r="R47" s="64">
        <v>1.2869999999999999E-3</v>
      </c>
      <c r="S47" s="64">
        <f>S46-(S46*R46)</f>
        <v>0.97752867948034916</v>
      </c>
      <c r="T47" s="65">
        <v>42.43</v>
      </c>
    </row>
    <row r="48" spans="2:20" s="52" customFormat="1" hidden="1" outlineLevel="1">
      <c r="B48" s="63">
        <v>41</v>
      </c>
      <c r="C48" s="64">
        <v>2.2399999999999998E-3</v>
      </c>
      <c r="D48" s="64">
        <f>D47-(D47*C47)</f>
        <v>0.95707814902951616</v>
      </c>
      <c r="E48" s="112">
        <v>37.61</v>
      </c>
      <c r="F48" s="112"/>
      <c r="G48" s="64">
        <v>1.3929999999999999E-3</v>
      </c>
      <c r="H48" s="64">
        <f>H47-(H47*G47)</f>
        <v>0.97627090405000927</v>
      </c>
      <c r="I48" s="65">
        <v>41.48</v>
      </c>
      <c r="M48" s="63">
        <v>41</v>
      </c>
      <c r="N48" s="64">
        <v>2.2399999999999998E-3</v>
      </c>
      <c r="O48" s="64">
        <f>O47-(O47*N47)</f>
        <v>0.95707810817879257</v>
      </c>
      <c r="P48" s="112">
        <v>37.61</v>
      </c>
      <c r="Q48" s="112"/>
      <c r="R48" s="64">
        <v>1.3929999999999999E-3</v>
      </c>
      <c r="S48" s="64">
        <f>S47-(S47*R47)</f>
        <v>0.976270600069858</v>
      </c>
      <c r="T48" s="65">
        <v>41.48</v>
      </c>
    </row>
    <row r="49" spans="2:20" s="52" customFormat="1" hidden="1" outlineLevel="1">
      <c r="B49" s="63">
        <v>42</v>
      </c>
      <c r="C49" s="64">
        <v>2.418E-3</v>
      </c>
      <c r="D49" s="64">
        <f>D48-(D48*C48)</f>
        <v>0.95493429397569007</v>
      </c>
      <c r="E49" s="112">
        <v>36.700000000000003</v>
      </c>
      <c r="F49" s="112"/>
      <c r="G49" s="64">
        <v>1.5169999999999999E-3</v>
      </c>
      <c r="H49" s="64">
        <f>H48-(H48*G48)</f>
        <v>0.97491095868066757</v>
      </c>
      <c r="I49" s="65">
        <v>40.54</v>
      </c>
      <c r="M49" s="63">
        <v>42</v>
      </c>
      <c r="N49" s="64">
        <v>2.418E-3</v>
      </c>
      <c r="O49" s="64">
        <f>O48-(O48*N48)</f>
        <v>0.95493425321647207</v>
      </c>
      <c r="P49" s="112">
        <v>36.700000000000003</v>
      </c>
      <c r="Q49" s="112"/>
      <c r="R49" s="64">
        <v>1.5169999999999999E-3</v>
      </c>
      <c r="S49" s="64">
        <f>S48-(S48*R48)</f>
        <v>0.97491065512396069</v>
      </c>
      <c r="T49" s="65">
        <v>40.54</v>
      </c>
    </row>
    <row r="50" spans="2:20" s="52" customFormat="1" hidden="1" outlineLevel="1">
      <c r="B50" s="63">
        <v>43</v>
      </c>
      <c r="C50" s="64">
        <v>2.6289999999999998E-3</v>
      </c>
      <c r="D50" s="64">
        <f>D49-(D49*C49)</f>
        <v>0.95262526285285687</v>
      </c>
      <c r="E50" s="112">
        <v>35.78</v>
      </c>
      <c r="F50" s="112"/>
      <c r="G50" s="64">
        <v>1.6620000000000001E-3</v>
      </c>
      <c r="H50" s="64">
        <f>H49-(H49*G49)</f>
        <v>0.97343201875634899</v>
      </c>
      <c r="I50" s="65">
        <v>39.6</v>
      </c>
      <c r="M50" s="63">
        <v>43</v>
      </c>
      <c r="N50" s="64">
        <v>2.6289999999999998E-3</v>
      </c>
      <c r="O50" s="64">
        <f>O49-(O49*N49)</f>
        <v>0.9526252221921947</v>
      </c>
      <c r="P50" s="112">
        <v>35.78</v>
      </c>
      <c r="Q50" s="112"/>
      <c r="R50" s="64">
        <v>1.6620000000000001E-3</v>
      </c>
      <c r="S50" s="64">
        <f>S49-(S49*R49)</f>
        <v>0.97343171566013764</v>
      </c>
      <c r="T50" s="65">
        <v>39.6</v>
      </c>
    </row>
    <row r="51" spans="2:20" s="52" customFormat="1" hidden="1" outlineLevel="1">
      <c r="B51" s="63">
        <v>44</v>
      </c>
      <c r="C51" s="64">
        <v>2.8730000000000001E-3</v>
      </c>
      <c r="D51" s="64">
        <f>D50-(D50*C50)</f>
        <v>0.95012081103681667</v>
      </c>
      <c r="E51" s="112">
        <v>34.880000000000003</v>
      </c>
      <c r="F51" s="112"/>
      <c r="G51" s="64">
        <v>1.8270000000000001E-3</v>
      </c>
      <c r="H51" s="64">
        <f>H50-(H50*G50)</f>
        <v>0.97181417474117593</v>
      </c>
      <c r="I51" s="65">
        <v>38.659999999999997</v>
      </c>
      <c r="M51" s="63">
        <v>44</v>
      </c>
      <c r="N51" s="64">
        <v>2.8730000000000001E-3</v>
      </c>
      <c r="O51" s="64">
        <f>O50-(O50*N50)</f>
        <v>0.95012077048305144</v>
      </c>
      <c r="P51" s="112">
        <v>34.880000000000003</v>
      </c>
      <c r="Q51" s="112"/>
      <c r="R51" s="64">
        <v>1.8270000000000001E-3</v>
      </c>
      <c r="S51" s="64">
        <f>S50-(S50*R50)</f>
        <v>0.97181387214871051</v>
      </c>
      <c r="T51" s="65">
        <v>38.659999999999997</v>
      </c>
    </row>
    <row r="52" spans="2:20" s="52" customFormat="1" hidden="1" outlineLevel="1">
      <c r="B52" s="63">
        <v>45</v>
      </c>
      <c r="C52" s="64">
        <v>3.1459999999999999E-3</v>
      </c>
      <c r="D52" s="64">
        <f>D51-(D51*C51)</f>
        <v>0.94739111394670794</v>
      </c>
      <c r="E52" s="112">
        <v>33.979999999999997</v>
      </c>
      <c r="F52" s="112"/>
      <c r="G52" s="64">
        <v>2.0049999999999998E-3</v>
      </c>
      <c r="H52" s="64">
        <f>H51-(H51*G51)</f>
        <v>0.97003867024392376</v>
      </c>
      <c r="I52" s="65">
        <v>37.729999999999997</v>
      </c>
      <c r="M52" s="63">
        <v>45</v>
      </c>
      <c r="N52" s="64">
        <v>3.1459999999999999E-3</v>
      </c>
      <c r="O52" s="64">
        <f>O51-(O51*N51)</f>
        <v>0.94739107350945362</v>
      </c>
      <c r="P52" s="112">
        <v>33.979999999999997</v>
      </c>
      <c r="Q52" s="112"/>
      <c r="R52" s="64">
        <v>2.0049999999999998E-3</v>
      </c>
      <c r="S52" s="64">
        <f>S51-(S51*R51)</f>
        <v>0.97003836820429479</v>
      </c>
      <c r="T52" s="65">
        <v>37.729999999999997</v>
      </c>
    </row>
    <row r="53" spans="2:20" s="52" customFormat="1" hidden="1" outlineLevel="1">
      <c r="B53" s="63">
        <v>46</v>
      </c>
      <c r="C53" s="64">
        <v>3.447E-3</v>
      </c>
      <c r="D53" s="64">
        <f>D52-(D52*C52)</f>
        <v>0.94441062150223165</v>
      </c>
      <c r="E53" s="112">
        <v>33.08</v>
      </c>
      <c r="F53" s="112"/>
      <c r="G53" s="64">
        <v>2.1979999999999999E-3</v>
      </c>
      <c r="H53" s="64">
        <f>H52-(H52*G52)</f>
        <v>0.96809374271008475</v>
      </c>
      <c r="I53" s="65">
        <v>36.81</v>
      </c>
      <c r="M53" s="63">
        <v>46</v>
      </c>
      <c r="N53" s="64">
        <v>3.447E-3</v>
      </c>
      <c r="O53" s="64">
        <f>O52-(O52*N52)</f>
        <v>0.9444105811921929</v>
      </c>
      <c r="P53" s="112">
        <v>33.08</v>
      </c>
      <c r="Q53" s="112"/>
      <c r="R53" s="64">
        <v>2.1979999999999999E-3</v>
      </c>
      <c r="S53" s="64">
        <f>S52-(S52*R52)</f>
        <v>0.96809344127604513</v>
      </c>
      <c r="T53" s="65">
        <v>36.81</v>
      </c>
    </row>
    <row r="54" spans="2:20" s="52" customFormat="1" hidden="1" outlineLevel="1">
      <c r="B54" s="63">
        <v>47</v>
      </c>
      <c r="C54" s="64">
        <v>3.787E-3</v>
      </c>
      <c r="D54" s="64">
        <f>D53-(D53*C53)</f>
        <v>0.94115523808991342</v>
      </c>
      <c r="E54" s="112">
        <v>32.19</v>
      </c>
      <c r="F54" s="112"/>
      <c r="G54" s="64">
        <v>2.4120000000000001E-3</v>
      </c>
      <c r="H54" s="64">
        <f>H53-(H53*G53)</f>
        <v>0.96596587266360801</v>
      </c>
      <c r="I54" s="65">
        <v>35.89</v>
      </c>
      <c r="M54" s="63">
        <v>47</v>
      </c>
      <c r="N54" s="64">
        <v>3.787E-3</v>
      </c>
      <c r="O54" s="64">
        <f>O53-(O53*N53)</f>
        <v>0.94115519791882341</v>
      </c>
      <c r="P54" s="112">
        <v>32.19</v>
      </c>
      <c r="Q54" s="112"/>
      <c r="R54" s="64">
        <v>2.4120000000000001E-3</v>
      </c>
      <c r="S54" s="64">
        <f>S53-(S53*R53)</f>
        <v>0.9659655718921204</v>
      </c>
      <c r="T54" s="65">
        <v>35.89</v>
      </c>
    </row>
    <row r="55" spans="2:20" s="52" customFormat="1" hidden="1" outlineLevel="1">
      <c r="B55" s="63">
        <v>48</v>
      </c>
      <c r="C55" s="64">
        <v>4.1669999999999997E-3</v>
      </c>
      <c r="D55" s="64">
        <f>D54-(D54*C54)</f>
        <v>0.9375910832032669</v>
      </c>
      <c r="E55" s="112">
        <v>31.32</v>
      </c>
      <c r="F55" s="112"/>
      <c r="G55" s="64">
        <v>2.6480000000000002E-3</v>
      </c>
      <c r="H55" s="64">
        <f>H54-(H54*G54)</f>
        <v>0.96363596297874343</v>
      </c>
      <c r="I55" s="65">
        <v>34.97</v>
      </c>
      <c r="M55" s="63">
        <v>48</v>
      </c>
      <c r="N55" s="64">
        <v>4.1669999999999997E-3</v>
      </c>
      <c r="O55" s="64">
        <f>O54-(O54*N54)</f>
        <v>0.93759104318430486</v>
      </c>
      <c r="P55" s="112">
        <v>31.32</v>
      </c>
      <c r="Q55" s="112"/>
      <c r="R55" s="64">
        <v>2.6480000000000002E-3</v>
      </c>
      <c r="S55" s="64">
        <f>S54-(S54*R54)</f>
        <v>0.96363566293271663</v>
      </c>
      <c r="T55" s="65">
        <v>34.97</v>
      </c>
    </row>
    <row r="56" spans="2:20" s="52" customFormat="1" hidden="1" outlineLevel="1">
      <c r="B56" s="63">
        <v>49</v>
      </c>
      <c r="C56" s="64">
        <v>4.5859999999999998E-3</v>
      </c>
      <c r="D56" s="64">
        <f>D55-(D55*C55)</f>
        <v>0.93368414115955889</v>
      </c>
      <c r="E56" s="112">
        <v>30.44</v>
      </c>
      <c r="F56" s="112"/>
      <c r="G56" s="64">
        <v>2.9039999999999999E-3</v>
      </c>
      <c r="H56" s="64">
        <f>H55-(H55*G55)</f>
        <v>0.9610842549487757</v>
      </c>
      <c r="I56" s="65">
        <v>34.06</v>
      </c>
      <c r="M56" s="63">
        <v>49</v>
      </c>
      <c r="N56" s="64">
        <v>4.5859999999999998E-3</v>
      </c>
      <c r="O56" s="64">
        <f>O55-(O55*N55)</f>
        <v>0.93368410130735591</v>
      </c>
      <c r="P56" s="112">
        <v>30.44</v>
      </c>
      <c r="Q56" s="112"/>
      <c r="R56" s="64">
        <v>2.9039999999999999E-3</v>
      </c>
      <c r="S56" s="64">
        <f>S55-(S55*R55)</f>
        <v>0.96108395569727079</v>
      </c>
      <c r="T56" s="65">
        <v>34.06</v>
      </c>
    </row>
    <row r="57" spans="2:20" s="52" customFormat="1" hidden="1" outlineLevel="1">
      <c r="B57" s="63">
        <v>50</v>
      </c>
      <c r="C57" s="64">
        <v>5.0379999999999999E-3</v>
      </c>
      <c r="D57" s="64">
        <f>D56-(D56*C56)</f>
        <v>0.92940226568820117</v>
      </c>
      <c r="E57" s="112">
        <v>29.58</v>
      </c>
      <c r="F57" s="112"/>
      <c r="G57" s="64">
        <v>3.1819999999999999E-3</v>
      </c>
      <c r="H57" s="64">
        <f>H56-(H56*G56)</f>
        <v>0.95829326627240441</v>
      </c>
      <c r="I57" s="65">
        <v>33.159999999999997</v>
      </c>
      <c r="M57" s="63">
        <v>50</v>
      </c>
      <c r="N57" s="64">
        <v>5.0379999999999999E-3</v>
      </c>
      <c r="O57" s="64">
        <f>O56-(O56*N56)</f>
        <v>0.92940222601876032</v>
      </c>
      <c r="P57" s="112">
        <v>29.58</v>
      </c>
      <c r="Q57" s="112"/>
      <c r="R57" s="64">
        <v>3.1819999999999999E-3</v>
      </c>
      <c r="S57" s="64">
        <f>S56-(S56*R56)</f>
        <v>0.95829296788992591</v>
      </c>
      <c r="T57" s="65">
        <v>33.159999999999997</v>
      </c>
    </row>
    <row r="58" spans="2:20" s="52" customFormat="1" hidden="1" outlineLevel="1">
      <c r="B58" s="63">
        <v>51</v>
      </c>
      <c r="C58" s="64">
        <v>5.5199999999999997E-3</v>
      </c>
      <c r="D58" s="64">
        <f>D57-(D57*C57)</f>
        <v>0.92471993707366396</v>
      </c>
      <c r="E58" s="112">
        <v>28.73</v>
      </c>
      <c r="F58" s="112"/>
      <c r="G58" s="64">
        <v>3.473E-3</v>
      </c>
      <c r="H58" s="64">
        <f>H57-(H57*G57)</f>
        <v>0.95524397709912567</v>
      </c>
      <c r="I58" s="65">
        <v>32.270000000000003</v>
      </c>
      <c r="M58" s="63">
        <v>51</v>
      </c>
      <c r="N58" s="64">
        <v>5.5199999999999997E-3</v>
      </c>
      <c r="O58" s="64">
        <f>O57-(O57*N57)</f>
        <v>0.9247198976040778</v>
      </c>
      <c r="P58" s="112">
        <v>28.73</v>
      </c>
      <c r="Q58" s="112"/>
      <c r="R58" s="64">
        <v>3.473E-3</v>
      </c>
      <c r="S58" s="64">
        <f>S57-(S57*R57)</f>
        <v>0.95524367966610013</v>
      </c>
      <c r="T58" s="65">
        <v>32.270000000000003</v>
      </c>
    </row>
    <row r="59" spans="2:20" s="52" customFormat="1" hidden="1" outlineLevel="1">
      <c r="B59" s="63">
        <v>52</v>
      </c>
      <c r="C59" s="64">
        <v>6.0359999999999997E-3</v>
      </c>
      <c r="D59" s="64">
        <f>D58-(D58*C58)</f>
        <v>0.91961548302101737</v>
      </c>
      <c r="E59" s="112">
        <v>27.89</v>
      </c>
      <c r="F59" s="112"/>
      <c r="G59" s="64">
        <v>3.7669999999999999E-3</v>
      </c>
      <c r="H59" s="64">
        <f>H58-(H58*G58)</f>
        <v>0.9519264147666604</v>
      </c>
      <c r="I59" s="65">
        <v>31.38</v>
      </c>
      <c r="M59" s="63">
        <v>52</v>
      </c>
      <c r="N59" s="64">
        <v>6.0359999999999997E-3</v>
      </c>
      <c r="O59" s="64">
        <f>O58-(O58*N58)</f>
        <v>0.91961544376930326</v>
      </c>
      <c r="P59" s="112">
        <v>27.89</v>
      </c>
      <c r="Q59" s="112"/>
      <c r="R59" s="64">
        <v>3.7669999999999999E-3</v>
      </c>
      <c r="S59" s="64">
        <f>S58-(S58*R58)</f>
        <v>0.95192611836661978</v>
      </c>
      <c r="T59" s="65">
        <v>31.38</v>
      </c>
    </row>
    <row r="60" spans="2:20" s="52" customFormat="1" hidden="1" outlineLevel="1">
      <c r="B60" s="63">
        <v>53</v>
      </c>
      <c r="C60" s="64">
        <v>6.587E-3</v>
      </c>
      <c r="D60" s="64">
        <f>D59-(D59*C59)</f>
        <v>0.91406468396550256</v>
      </c>
      <c r="E60" s="112">
        <v>27.05</v>
      </c>
      <c r="F60" s="112"/>
      <c r="G60" s="64">
        <v>4.058E-3</v>
      </c>
      <c r="H60" s="64">
        <f>H59-(H59*G59)</f>
        <v>0.94834050796223435</v>
      </c>
      <c r="I60" s="65">
        <v>30.49</v>
      </c>
      <c r="M60" s="63">
        <v>53</v>
      </c>
      <c r="N60" s="64">
        <v>6.587E-3</v>
      </c>
      <c r="O60" s="64">
        <f>O59-(O59*N59)</f>
        <v>0.91406464495071171</v>
      </c>
      <c r="P60" s="112">
        <v>27.05</v>
      </c>
      <c r="Q60" s="112"/>
      <c r="R60" s="64">
        <v>4.058E-3</v>
      </c>
      <c r="S60" s="64">
        <f>S59-(S59*R59)</f>
        <v>0.9483402126787327</v>
      </c>
      <c r="T60" s="65">
        <v>30.49</v>
      </c>
    </row>
    <row r="61" spans="2:20" s="52" customFormat="1" hidden="1" outlineLevel="1">
      <c r="B61" s="63">
        <v>54</v>
      </c>
      <c r="C61" s="64">
        <v>7.1700000000000002E-3</v>
      </c>
      <c r="D61" s="64">
        <f>D60-(D60*C60)</f>
        <v>0.90804373989222176</v>
      </c>
      <c r="E61" s="112">
        <v>26.23</v>
      </c>
      <c r="F61" s="112"/>
      <c r="G61" s="64">
        <v>4.352E-3</v>
      </c>
      <c r="H61" s="64">
        <f>H60-(H60*G60)</f>
        <v>0.94449214218092359</v>
      </c>
      <c r="I61" s="65">
        <v>29.62</v>
      </c>
      <c r="M61" s="63">
        <v>54</v>
      </c>
      <c r="N61" s="64">
        <v>7.1700000000000002E-3</v>
      </c>
      <c r="O61" s="64">
        <f>O60-(O60*N60)</f>
        <v>0.90804370113442134</v>
      </c>
      <c r="P61" s="112">
        <v>26.23</v>
      </c>
      <c r="Q61" s="112"/>
      <c r="R61" s="64">
        <v>4.352E-3</v>
      </c>
      <c r="S61" s="64">
        <f>S60-(S60*R60)</f>
        <v>0.94449184809568243</v>
      </c>
      <c r="T61" s="65">
        <v>29.62</v>
      </c>
    </row>
    <row r="62" spans="2:20" s="52" customFormat="1" hidden="1" outlineLevel="1">
      <c r="B62" s="63">
        <v>55</v>
      </c>
      <c r="C62" s="64">
        <v>7.8009999999999998E-3</v>
      </c>
      <c r="D62" s="64">
        <f>D61-(D61*C61)</f>
        <v>0.90153306627719454</v>
      </c>
      <c r="E62" s="112">
        <v>25.41</v>
      </c>
      <c r="F62" s="112"/>
      <c r="G62" s="64">
        <v>4.6810000000000003E-3</v>
      </c>
      <c r="H62" s="64">
        <f>H61-(H61*G61)</f>
        <v>0.94038171237815216</v>
      </c>
      <c r="I62" s="65">
        <v>28.74</v>
      </c>
      <c r="M62" s="63">
        <v>55</v>
      </c>
      <c r="N62" s="64">
        <v>7.8009999999999998E-3</v>
      </c>
      <c r="O62" s="64">
        <f>O61-(O61*N61)</f>
        <v>0.9015330277972875</v>
      </c>
      <c r="P62" s="112">
        <v>25.41</v>
      </c>
      <c r="Q62" s="112"/>
      <c r="R62" s="64">
        <v>4.6810000000000003E-3</v>
      </c>
      <c r="S62" s="64">
        <f>S61-(S61*R61)</f>
        <v>0.94038141957276999</v>
      </c>
      <c r="T62" s="65">
        <v>28.74</v>
      </c>
    </row>
    <row r="63" spans="2:20" s="52" customFormat="1" hidden="1" outlineLevel="1">
      <c r="B63" s="63">
        <v>56</v>
      </c>
      <c r="C63" s="64">
        <v>8.4659999999999996E-3</v>
      </c>
      <c r="D63" s="64">
        <f>D62-(D62*C62)</f>
        <v>0.89450020682716613</v>
      </c>
      <c r="E63" s="112">
        <v>24.61</v>
      </c>
      <c r="F63" s="112"/>
      <c r="G63" s="64">
        <v>5.0400000000000002E-3</v>
      </c>
      <c r="H63" s="64">
        <f>H62-(H62*G62)</f>
        <v>0.93597978558251005</v>
      </c>
      <c r="I63" s="65">
        <v>27.88</v>
      </c>
      <c r="M63" s="63">
        <v>56</v>
      </c>
      <c r="N63" s="64">
        <v>8.4659999999999996E-3</v>
      </c>
      <c r="O63" s="64">
        <f>O62-(O62*N62)</f>
        <v>0.89450016864744086</v>
      </c>
      <c r="P63" s="112">
        <v>24.61</v>
      </c>
      <c r="Q63" s="112"/>
      <c r="R63" s="64">
        <v>5.0400000000000002E-3</v>
      </c>
      <c r="S63" s="64">
        <f>S62-(S62*R62)</f>
        <v>0.93597949414774984</v>
      </c>
      <c r="T63" s="65">
        <v>27.88</v>
      </c>
    </row>
    <row r="64" spans="2:20" s="52" customFormat="1" hidden="1" outlineLevel="1">
      <c r="B64" s="63">
        <v>57</v>
      </c>
      <c r="C64" s="64">
        <v>9.1330000000000005E-3</v>
      </c>
      <c r="D64" s="64">
        <f>D63-(D63*C63)</f>
        <v>0.88692736807616734</v>
      </c>
      <c r="E64" s="112">
        <v>23.82</v>
      </c>
      <c r="F64" s="112"/>
      <c r="G64" s="64">
        <v>5.4000000000000003E-3</v>
      </c>
      <c r="H64" s="64">
        <f>H63-(H63*G63)</f>
        <v>0.93126244746317421</v>
      </c>
      <c r="I64" s="65">
        <v>27.01</v>
      </c>
      <c r="M64" s="63">
        <v>57</v>
      </c>
      <c r="N64" s="64">
        <v>9.1330000000000005E-3</v>
      </c>
      <c r="O64" s="64">
        <f>O63-(O63*N63)</f>
        <v>0.88692733021967163</v>
      </c>
      <c r="P64" s="112">
        <v>23.82</v>
      </c>
      <c r="Q64" s="112"/>
      <c r="R64" s="64">
        <v>5.4000000000000003E-3</v>
      </c>
      <c r="S64" s="64">
        <f>S63-(S63*R63)</f>
        <v>0.93126215749724517</v>
      </c>
      <c r="T64" s="65">
        <v>27.01</v>
      </c>
    </row>
    <row r="65" spans="2:20" s="52" customFormat="1" hidden="1" outlineLevel="1">
      <c r="B65" s="63">
        <v>58</v>
      </c>
      <c r="C65" s="64">
        <v>9.7920000000000004E-3</v>
      </c>
      <c r="D65" s="64">
        <f>D64-(D64*C64)</f>
        <v>0.87882706042352776</v>
      </c>
      <c r="E65" s="112">
        <v>23.03</v>
      </c>
      <c r="F65" s="112"/>
      <c r="G65" s="64">
        <v>5.7559999999999998E-3</v>
      </c>
      <c r="H65" s="64">
        <f>H64-(H64*G64)</f>
        <v>0.92623363024687311</v>
      </c>
      <c r="I65" s="65">
        <v>26.16</v>
      </c>
      <c r="M65" s="63">
        <v>58</v>
      </c>
      <c r="N65" s="64">
        <v>9.7920000000000004E-3</v>
      </c>
      <c r="O65" s="64">
        <f>O64-(O64*N64)</f>
        <v>0.87882702291277537</v>
      </c>
      <c r="P65" s="112">
        <v>23.03</v>
      </c>
      <c r="Q65" s="112"/>
      <c r="R65" s="64">
        <v>5.7559999999999998E-3</v>
      </c>
      <c r="S65" s="64">
        <f>S64-(S64*R64)</f>
        <v>0.92623334184676009</v>
      </c>
      <c r="T65" s="65">
        <v>26.16</v>
      </c>
    </row>
    <row r="66" spans="2:20" s="52" customFormat="1" hidden="1" outlineLevel="1">
      <c r="B66" s="63">
        <v>59</v>
      </c>
      <c r="C66" s="64">
        <v>1.0462000000000001E-2</v>
      </c>
      <c r="D66" s="64">
        <f>D65-(D65*C65)</f>
        <v>0.87022158584786058</v>
      </c>
      <c r="E66" s="112">
        <v>22.25</v>
      </c>
      <c r="F66" s="112"/>
      <c r="G66" s="64">
        <v>6.1279999999999998E-3</v>
      </c>
      <c r="H66" s="64">
        <f>H65-(H65*G65)</f>
        <v>0.92090222947117206</v>
      </c>
      <c r="I66" s="65">
        <v>25.31</v>
      </c>
      <c r="M66" s="63">
        <v>59</v>
      </c>
      <c r="N66" s="64">
        <v>1.0462000000000001E-2</v>
      </c>
      <c r="O66" s="64">
        <f>O65-(O65*N65)</f>
        <v>0.87022154870441348</v>
      </c>
      <c r="P66" s="112">
        <v>22.25</v>
      </c>
      <c r="Q66" s="112"/>
      <c r="R66" s="64">
        <v>6.1279999999999998E-3</v>
      </c>
      <c r="S66" s="64">
        <f>S65-(S65*R65)</f>
        <v>0.92090194273109016</v>
      </c>
      <c r="T66" s="65">
        <v>25.31</v>
      </c>
    </row>
    <row r="67" spans="2:20" s="52" customFormat="1" hidden="1" outlineLevel="1">
      <c r="B67" s="63">
        <v>60</v>
      </c>
      <c r="C67" s="64">
        <v>1.1197E-2</v>
      </c>
      <c r="D67" s="64">
        <f>D66-(D66*C66)</f>
        <v>0.86111732761672022</v>
      </c>
      <c r="E67" s="112">
        <v>21.48</v>
      </c>
      <c r="F67" s="112"/>
      <c r="G67" s="64">
        <v>6.5449999999999996E-3</v>
      </c>
      <c r="H67" s="64">
        <f>H66-(H66*G66)</f>
        <v>0.91525894060897273</v>
      </c>
      <c r="I67" s="65">
        <v>24.46</v>
      </c>
      <c r="M67" s="63">
        <v>60</v>
      </c>
      <c r="N67" s="64">
        <v>1.1197E-2</v>
      </c>
      <c r="O67" s="64">
        <f>O66-(O66*N66)</f>
        <v>0.86111729086186795</v>
      </c>
      <c r="P67" s="112">
        <v>21.48</v>
      </c>
      <c r="Q67" s="112"/>
      <c r="R67" s="64">
        <v>6.5449999999999996E-3</v>
      </c>
      <c r="S67" s="64">
        <f>S66-(S66*R66)</f>
        <v>0.91525865562603403</v>
      </c>
      <c r="T67" s="65">
        <v>24.46</v>
      </c>
    </row>
    <row r="68" spans="2:20" s="52" customFormat="1" hidden="1" outlineLevel="1">
      <c r="B68" s="63">
        <v>61</v>
      </c>
      <c r="C68" s="64">
        <v>1.2009000000000001E-2</v>
      </c>
      <c r="D68" s="64">
        <f>D67-(D67*C67)</f>
        <v>0.85147539689939578</v>
      </c>
      <c r="E68" s="112">
        <v>20.72</v>
      </c>
      <c r="F68" s="112"/>
      <c r="G68" s="64">
        <v>7.0340000000000003E-3</v>
      </c>
      <c r="H68" s="64">
        <f>H67-(H67*G67)</f>
        <v>0.90926857084268697</v>
      </c>
      <c r="I68" s="65">
        <v>23.62</v>
      </c>
      <c r="M68" s="63">
        <v>61</v>
      </c>
      <c r="N68" s="64">
        <v>1.2009000000000001E-2</v>
      </c>
      <c r="O68" s="64">
        <f>O67-(O67*N67)</f>
        <v>0.85147536055608763</v>
      </c>
      <c r="P68" s="112">
        <v>20.72</v>
      </c>
      <c r="Q68" s="112"/>
      <c r="R68" s="64">
        <v>7.0340000000000003E-3</v>
      </c>
      <c r="S68" s="64">
        <f>S67-(S67*R67)</f>
        <v>0.9092682877249616</v>
      </c>
      <c r="T68" s="65">
        <v>23.62</v>
      </c>
    </row>
    <row r="69" spans="2:20" s="52" customFormat="1" hidden="1" outlineLevel="1">
      <c r="B69" s="63">
        <v>62</v>
      </c>
      <c r="C69" s="64">
        <v>1.2867E-2</v>
      </c>
      <c r="D69" s="64">
        <f>D68-(D68*C68)</f>
        <v>0.84125002885803091</v>
      </c>
      <c r="E69" s="112">
        <v>19.97</v>
      </c>
      <c r="F69" s="112"/>
      <c r="G69" s="64">
        <v>7.607E-3</v>
      </c>
      <c r="H69" s="64">
        <f>H68-(H68*G68)</f>
        <v>0.90287277571537949</v>
      </c>
      <c r="I69" s="65">
        <v>22.78</v>
      </c>
      <c r="M69" s="63">
        <v>62</v>
      </c>
      <c r="N69" s="64">
        <v>1.2867E-2</v>
      </c>
      <c r="O69" s="64">
        <f>O68-(O68*N68)</f>
        <v>0.84124999295116953</v>
      </c>
      <c r="P69" s="112">
        <v>19.97</v>
      </c>
      <c r="Q69" s="112"/>
      <c r="R69" s="64">
        <v>7.607E-3</v>
      </c>
      <c r="S69" s="64">
        <f>S68-(S68*R68)</f>
        <v>0.90287249458910424</v>
      </c>
      <c r="T69" s="65">
        <v>22.78</v>
      </c>
    </row>
    <row r="70" spans="2:20" s="52" customFormat="1" hidden="1" outlineLevel="1">
      <c r="B70" s="63">
        <v>63</v>
      </c>
      <c r="C70" s="64">
        <v>1.3772E-2</v>
      </c>
      <c r="D70" s="64">
        <f>D69-(D69*C69)</f>
        <v>0.83042566473671464</v>
      </c>
      <c r="E70" s="112">
        <v>19.22</v>
      </c>
      <c r="F70" s="112"/>
      <c r="G70" s="64">
        <v>8.2810000000000002E-3</v>
      </c>
      <c r="H70" s="64">
        <f>H69-(H69*G69)</f>
        <v>0.8960046225105126</v>
      </c>
      <c r="I70" s="65">
        <v>21.95</v>
      </c>
      <c r="M70" s="63">
        <v>63</v>
      </c>
      <c r="N70" s="64">
        <v>1.3772E-2</v>
      </c>
      <c r="O70" s="64">
        <f>O69-(O69*N69)</f>
        <v>0.83042562929186681</v>
      </c>
      <c r="P70" s="112">
        <v>19.22</v>
      </c>
      <c r="Q70" s="112"/>
      <c r="R70" s="64">
        <v>8.2810000000000002E-3</v>
      </c>
      <c r="S70" s="64">
        <f>S69-(S69*R69)</f>
        <v>0.89600434352276492</v>
      </c>
      <c r="T70" s="65">
        <v>21.95</v>
      </c>
    </row>
    <row r="71" spans="2:20" s="52" customFormat="1" hidden="1" outlineLevel="1">
      <c r="B71" s="63">
        <v>64</v>
      </c>
      <c r="C71" s="64">
        <v>1.4749E-2</v>
      </c>
      <c r="D71" s="64">
        <f>D70-(D70*C70)</f>
        <v>0.81898904248196058</v>
      </c>
      <c r="E71" s="112">
        <v>18.48</v>
      </c>
      <c r="F71" s="112"/>
      <c r="G71" s="64">
        <v>9.0570000000000008E-3</v>
      </c>
      <c r="H71" s="64">
        <f>H70-(H70*G70)</f>
        <v>0.8885848082315031</v>
      </c>
      <c r="I71" s="65">
        <v>21.13</v>
      </c>
      <c r="M71" s="63">
        <v>64</v>
      </c>
      <c r="N71" s="64">
        <v>1.4749E-2</v>
      </c>
      <c r="O71" s="64">
        <f>O70-(O70*N70)</f>
        <v>0.81898900752525927</v>
      </c>
      <c r="P71" s="112">
        <v>18.48</v>
      </c>
      <c r="Q71" s="112"/>
      <c r="R71" s="64">
        <v>9.0570000000000008E-3</v>
      </c>
      <c r="S71" s="64">
        <f>S70-(S70*R70)</f>
        <v>0.88858453155405293</v>
      </c>
      <c r="T71" s="65">
        <v>21.13</v>
      </c>
    </row>
    <row r="72" spans="2:20" s="52" customFormat="1" hidden="1" outlineLevel="1">
      <c r="B72" s="63">
        <v>65</v>
      </c>
      <c r="C72" s="64">
        <v>1.5852000000000002E-2</v>
      </c>
      <c r="D72" s="64">
        <f>D71-(D71*C71)</f>
        <v>0.80690977309439416</v>
      </c>
      <c r="E72" s="112">
        <v>17.75</v>
      </c>
      <c r="F72" s="112"/>
      <c r="G72" s="64">
        <v>9.953E-3</v>
      </c>
      <c r="H72" s="64">
        <f>H71-(H71*G71)</f>
        <v>0.88053689562335036</v>
      </c>
      <c r="I72" s="65">
        <v>20.32</v>
      </c>
      <c r="M72" s="63">
        <v>65</v>
      </c>
      <c r="N72" s="64">
        <v>1.5852000000000002E-2</v>
      </c>
      <c r="O72" s="64">
        <f>O71-(O71*N71)</f>
        <v>0.8069097386532692</v>
      </c>
      <c r="P72" s="112">
        <v>17.75</v>
      </c>
      <c r="Q72" s="112"/>
      <c r="R72" s="64">
        <v>9.953E-3</v>
      </c>
      <c r="S72" s="64">
        <f>S71-(S71*R71)</f>
        <v>0.88053662145176792</v>
      </c>
      <c r="T72" s="65">
        <v>20.32</v>
      </c>
    </row>
    <row r="73" spans="2:20" s="52" customFormat="1" hidden="1" outlineLevel="1">
      <c r="B73" s="63">
        <v>66</v>
      </c>
      <c r="C73" s="64">
        <v>1.7097000000000001E-2</v>
      </c>
      <c r="D73" s="64">
        <f>D72-(D72*C72)</f>
        <v>0.79411863937130178</v>
      </c>
      <c r="E73" s="112">
        <v>17.03</v>
      </c>
      <c r="F73" s="112"/>
      <c r="G73" s="64">
        <v>1.095E-2</v>
      </c>
      <c r="H73" s="64">
        <f>H72-(H72*G72)</f>
        <v>0.8717729119012112</v>
      </c>
      <c r="I73" s="65">
        <v>19.52</v>
      </c>
      <c r="M73" s="63">
        <v>66</v>
      </c>
      <c r="N73" s="64">
        <v>1.7097000000000001E-2</v>
      </c>
      <c r="O73" s="64">
        <f>O72-(O72*N72)</f>
        <v>0.79411860547613755</v>
      </c>
      <c r="P73" s="112">
        <v>17.03</v>
      </c>
      <c r="Q73" s="112"/>
      <c r="R73" s="64">
        <v>1.095E-2</v>
      </c>
      <c r="S73" s="64">
        <f>S72-(S72*R72)</f>
        <v>0.87177264045845848</v>
      </c>
      <c r="T73" s="65">
        <v>19.52</v>
      </c>
    </row>
    <row r="74" spans="2:20" s="52" customFormat="1" hidden="1" outlineLevel="1">
      <c r="B74" s="63">
        <v>67</v>
      </c>
      <c r="C74" s="64">
        <v>1.8463E-2</v>
      </c>
      <c r="D74" s="64">
        <f>D73-(D73*C73)</f>
        <v>0.78054159299397063</v>
      </c>
      <c r="E74" s="112">
        <v>16.32</v>
      </c>
      <c r="F74" s="112"/>
      <c r="G74" s="64">
        <v>1.201E-2</v>
      </c>
      <c r="H74" s="64">
        <f>H73-(H73*G73)</f>
        <v>0.86222699851589291</v>
      </c>
      <c r="I74" s="65">
        <v>18.73</v>
      </c>
      <c r="M74" s="63">
        <v>67</v>
      </c>
      <c r="N74" s="64">
        <v>1.8463E-2</v>
      </c>
      <c r="O74" s="64">
        <f>O73-(O73*N73)</f>
        <v>0.78054155967831207</v>
      </c>
      <c r="P74" s="112">
        <v>16.32</v>
      </c>
      <c r="Q74" s="112"/>
      <c r="R74" s="64">
        <v>1.201E-2</v>
      </c>
      <c r="S74" s="64">
        <f>S73-(S73*R73)</f>
        <v>0.86222673004543837</v>
      </c>
      <c r="T74" s="65">
        <v>18.73</v>
      </c>
    </row>
    <row r="75" spans="2:20" s="52" customFormat="1" hidden="1" outlineLevel="1">
      <c r="B75" s="63">
        <v>68</v>
      </c>
      <c r="C75" s="64">
        <v>1.9959000000000001E-2</v>
      </c>
      <c r="D75" s="64">
        <f>D74-(D74*C74)</f>
        <v>0.76613045356252296</v>
      </c>
      <c r="E75" s="112">
        <v>15.61</v>
      </c>
      <c r="F75" s="112"/>
      <c r="G75" s="64">
        <v>1.3124E-2</v>
      </c>
      <c r="H75" s="64">
        <f>H74-(H74*G74)</f>
        <v>0.85187165226371708</v>
      </c>
      <c r="I75" s="65">
        <v>17.95</v>
      </c>
      <c r="M75" s="63">
        <v>68</v>
      </c>
      <c r="N75" s="64">
        <v>1.9959000000000001E-2</v>
      </c>
      <c r="O75" s="64">
        <f>O74-(O74*N74)</f>
        <v>0.76613042086197136</v>
      </c>
      <c r="P75" s="112">
        <v>15.61</v>
      </c>
      <c r="Q75" s="112"/>
      <c r="R75" s="64">
        <v>1.3124E-2</v>
      </c>
      <c r="S75" s="64">
        <f>S74-(S74*R74)</f>
        <v>0.85187138701759268</v>
      </c>
      <c r="T75" s="65">
        <v>17.95</v>
      </c>
    </row>
    <row r="76" spans="2:20" s="52" customFormat="1" hidden="1" outlineLevel="1">
      <c r="B76" s="63">
        <v>69</v>
      </c>
      <c r="C76" s="64">
        <v>2.1616E-2</v>
      </c>
      <c r="D76" s="64">
        <f>D75-(D75*C75)</f>
        <v>0.75083925583986855</v>
      </c>
      <c r="E76" s="112">
        <v>14.92</v>
      </c>
      <c r="F76" s="112"/>
      <c r="G76" s="64">
        <v>1.4330000000000001E-2</v>
      </c>
      <c r="H76" s="64">
        <f>H75-(H75*G75)</f>
        <v>0.84069168869940802</v>
      </c>
      <c r="I76" s="65">
        <v>17.18</v>
      </c>
      <c r="M76" s="63">
        <v>69</v>
      </c>
      <c r="N76" s="64">
        <v>2.1616E-2</v>
      </c>
      <c r="O76" s="64">
        <f>O75-(O75*N75)</f>
        <v>0.75083922379198731</v>
      </c>
      <c r="P76" s="112">
        <v>14.92</v>
      </c>
      <c r="Q76" s="112"/>
      <c r="R76" s="64">
        <v>1.4330000000000001E-2</v>
      </c>
      <c r="S76" s="64">
        <f>S75-(S75*R75)</f>
        <v>0.84069142693437382</v>
      </c>
      <c r="T76" s="65">
        <v>17.18</v>
      </c>
    </row>
    <row r="77" spans="2:20" s="52" customFormat="1" hidden="1" outlineLevel="1">
      <c r="B77" s="63">
        <v>70</v>
      </c>
      <c r="C77" s="64">
        <v>2.3528E-2</v>
      </c>
      <c r="D77" s="64">
        <f>D76-(D76*C76)</f>
        <v>0.73460911448563393</v>
      </c>
      <c r="E77" s="112">
        <v>14.24</v>
      </c>
      <c r="F77" s="112"/>
      <c r="G77" s="64">
        <v>1.5727999999999999E-2</v>
      </c>
      <c r="H77" s="64">
        <f>H76-(H76*G76)</f>
        <v>0.82864457680034553</v>
      </c>
      <c r="I77" s="65">
        <v>16.43</v>
      </c>
      <c r="M77" s="63">
        <v>70</v>
      </c>
      <c r="N77" s="64">
        <v>2.3528E-2</v>
      </c>
      <c r="O77" s="64">
        <f>O76-(O76*N76)</f>
        <v>0.73460908313049966</v>
      </c>
      <c r="P77" s="112">
        <v>14.24</v>
      </c>
      <c r="Q77" s="112"/>
      <c r="R77" s="64">
        <v>1.5727999999999999E-2</v>
      </c>
      <c r="S77" s="64">
        <f>S76-(S76*R76)</f>
        <v>0.82864431878640421</v>
      </c>
      <c r="T77" s="65">
        <v>16.43</v>
      </c>
    </row>
    <row r="78" spans="2:20" s="52" customFormat="1" hidden="1" outlineLevel="1">
      <c r="B78" s="63">
        <v>71</v>
      </c>
      <c r="C78" s="64">
        <v>2.5693000000000001E-2</v>
      </c>
      <c r="D78" s="64">
        <f>D77-(D77*C77)</f>
        <v>0.7173252312400159</v>
      </c>
      <c r="E78" s="112">
        <v>13.57</v>
      </c>
      <c r="F78" s="112"/>
      <c r="G78" s="64">
        <v>1.7337999999999999E-2</v>
      </c>
      <c r="H78" s="64">
        <f>H77-(H77*G77)</f>
        <v>0.81561165489642973</v>
      </c>
      <c r="I78" s="65">
        <v>15.68</v>
      </c>
      <c r="M78" s="63">
        <v>71</v>
      </c>
      <c r="N78" s="64">
        <v>2.5693000000000001E-2</v>
      </c>
      <c r="O78" s="64">
        <f>O77-(O77*N77)</f>
        <v>0.7173252006226053</v>
      </c>
      <c r="P78" s="112">
        <v>13.57</v>
      </c>
      <c r="Q78" s="112"/>
      <c r="R78" s="64">
        <v>1.7337999999999999E-2</v>
      </c>
      <c r="S78" s="64">
        <f>S77-(S77*R77)</f>
        <v>0.81561140094053164</v>
      </c>
      <c r="T78" s="65">
        <v>15.68</v>
      </c>
    </row>
    <row r="79" spans="2:20" s="52" customFormat="1" hidden="1" outlineLevel="1">
      <c r="B79" s="63">
        <v>72</v>
      </c>
      <c r="C79" s="64">
        <v>2.8041E-2</v>
      </c>
      <c r="D79" s="64">
        <f>D78-(D78*C78)</f>
        <v>0.69889499407376621</v>
      </c>
      <c r="E79" s="112">
        <v>12.92</v>
      </c>
      <c r="F79" s="112"/>
      <c r="G79" s="64">
        <v>1.9108E-2</v>
      </c>
      <c r="H79" s="64">
        <f>H78-(H78*G78)</f>
        <v>0.80147058002383542</v>
      </c>
      <c r="I79" s="65">
        <v>14.95</v>
      </c>
      <c r="M79" s="63">
        <v>72</v>
      </c>
      <c r="N79" s="64">
        <v>2.8041E-2</v>
      </c>
      <c r="O79" s="64">
        <f>O78-(O78*N78)</f>
        <v>0.69889496424300868</v>
      </c>
      <c r="P79" s="112">
        <v>12.92</v>
      </c>
      <c r="Q79" s="112"/>
      <c r="R79" s="64">
        <v>1.9108E-2</v>
      </c>
      <c r="S79" s="64">
        <f>S78-(S78*R78)</f>
        <v>0.80147033047102467</v>
      </c>
      <c r="T79" s="65">
        <v>14.95</v>
      </c>
    </row>
    <row r="80" spans="2:20" s="52" customFormat="1" hidden="1" outlineLevel="1">
      <c r="B80" s="63">
        <v>73</v>
      </c>
      <c r="C80" s="64">
        <v>3.0567E-2</v>
      </c>
      <c r="D80" s="64">
        <f>D79-(D79*C79)</f>
        <v>0.67929727954494368</v>
      </c>
      <c r="E80" s="112">
        <v>12.27</v>
      </c>
      <c r="F80" s="112"/>
      <c r="G80" s="64">
        <v>2.1041000000000001E-2</v>
      </c>
      <c r="H80" s="64">
        <f>H79-(H79*G79)</f>
        <v>0.78615608018074001</v>
      </c>
      <c r="I80" s="65">
        <v>14.23</v>
      </c>
      <c r="M80" s="63">
        <v>73</v>
      </c>
      <c r="N80" s="64">
        <v>3.0567E-2</v>
      </c>
      <c r="O80" s="64">
        <f>O79-(O79*N79)</f>
        <v>0.67929725055067047</v>
      </c>
      <c r="P80" s="112">
        <v>12.27</v>
      </c>
      <c r="Q80" s="112"/>
      <c r="R80" s="64">
        <v>2.1041000000000001E-2</v>
      </c>
      <c r="S80" s="64">
        <f>S79-(S79*R79)</f>
        <v>0.78615583539638434</v>
      </c>
      <c r="T80" s="65">
        <v>14.23</v>
      </c>
    </row>
    <row r="81" spans="2:22" s="52" customFormat="1" hidden="1" outlineLevel="1">
      <c r="B81" s="63">
        <v>74</v>
      </c>
      <c r="C81" s="64">
        <v>3.3347000000000002E-2</v>
      </c>
      <c r="D81" s="64">
        <f>D80-(D80*C80)</f>
        <v>0.65853319960109336</v>
      </c>
      <c r="E81" s="112">
        <v>11.65</v>
      </c>
      <c r="F81" s="112"/>
      <c r="G81" s="64">
        <v>2.3191E-2</v>
      </c>
      <c r="H81" s="64">
        <f>H80-(H80*G80)</f>
        <v>0.7696145700976571</v>
      </c>
      <c r="I81" s="65">
        <v>13.53</v>
      </c>
      <c r="M81" s="63">
        <v>74</v>
      </c>
      <c r="N81" s="64">
        <v>3.3347000000000002E-2</v>
      </c>
      <c r="O81" s="64">
        <f>O80-(O80*N80)</f>
        <v>0.6585331714930881</v>
      </c>
      <c r="P81" s="112">
        <v>11.65</v>
      </c>
      <c r="Q81" s="112"/>
      <c r="R81" s="64">
        <v>2.3191E-2</v>
      </c>
      <c r="S81" s="64">
        <f>S80-(S80*R80)</f>
        <v>0.769614330463809</v>
      </c>
      <c r="T81" s="65">
        <v>13.53</v>
      </c>
    </row>
    <row r="82" spans="2:22" s="52" customFormat="1" hidden="1" outlineLevel="1">
      <c r="B82" s="63">
        <v>75</v>
      </c>
      <c r="C82" s="64">
        <v>3.6572E-2</v>
      </c>
      <c r="D82" s="64">
        <f>D81-(D81*C81)</f>
        <v>0.63657309299399567</v>
      </c>
      <c r="E82" s="112">
        <v>11.03</v>
      </c>
      <c r="F82" s="112"/>
      <c r="G82" s="64">
        <v>2.5713E-2</v>
      </c>
      <c r="H82" s="64">
        <f>H81-(H81*G81)</f>
        <v>0.75176643860252235</v>
      </c>
      <c r="I82" s="65">
        <v>12.83</v>
      </c>
      <c r="M82" s="63">
        <v>75</v>
      </c>
      <c r="N82" s="64">
        <v>3.6572E-2</v>
      </c>
      <c r="O82" s="64">
        <f>O81-(O81*N81)</f>
        <v>0.63657306582330808</v>
      </c>
      <c r="P82" s="112">
        <v>11.03</v>
      </c>
      <c r="Q82" s="112"/>
      <c r="R82" s="64">
        <v>2.5713E-2</v>
      </c>
      <c r="S82" s="64">
        <f>S81-(S81*R81)</f>
        <v>0.75176620452602283</v>
      </c>
      <c r="T82" s="65">
        <v>12.83</v>
      </c>
    </row>
    <row r="83" spans="2:22" s="52" customFormat="1" hidden="1" outlineLevel="1">
      <c r="B83" s="63">
        <v>76</v>
      </c>
      <c r="C83" s="64">
        <v>4.0275999999999999E-2</v>
      </c>
      <c r="D83" s="64">
        <f>D82-(D82*C82)</f>
        <v>0.61329234183701931</v>
      </c>
      <c r="E83" s="112">
        <v>10.43</v>
      </c>
      <c r="F83" s="112"/>
      <c r="G83" s="64">
        <v>2.8608999999999999E-2</v>
      </c>
      <c r="H83" s="64">
        <f>H82-(H82*G82)</f>
        <v>0.73243626816673568</v>
      </c>
      <c r="I83" s="65">
        <v>12.16</v>
      </c>
      <c r="M83" s="63">
        <v>76</v>
      </c>
      <c r="N83" s="64">
        <v>4.0275999999999999E-2</v>
      </c>
      <c r="O83" s="64">
        <f>O82-(O82*N82)</f>
        <v>0.61329231566001807</v>
      </c>
      <c r="P83" s="112">
        <v>10.43</v>
      </c>
      <c r="Q83" s="112"/>
      <c r="R83" s="64">
        <v>2.8608999999999999E-2</v>
      </c>
      <c r="S83" s="64">
        <f>S82-(S82*R82)</f>
        <v>0.73243604010904517</v>
      </c>
      <c r="T83" s="65">
        <v>12.16</v>
      </c>
    </row>
    <row r="84" spans="2:22" s="52" customFormat="1" hidden="1" outlineLevel="1">
      <c r="B84" s="63">
        <v>77</v>
      </c>
      <c r="C84" s="64">
        <v>4.4347999999999999E-2</v>
      </c>
      <c r="D84" s="64">
        <f>D83-(D83*C83)</f>
        <v>0.58859137947719153</v>
      </c>
      <c r="E84" s="112">
        <v>9.85</v>
      </c>
      <c r="F84" s="112"/>
      <c r="G84" s="64">
        <v>3.1759999999999997E-2</v>
      </c>
      <c r="H84" s="64">
        <f>H83-(H83*G83)</f>
        <v>0.71148199897075359</v>
      </c>
      <c r="I84" s="65">
        <v>11.5</v>
      </c>
      <c r="M84" s="63">
        <v>77</v>
      </c>
      <c r="N84" s="64">
        <v>4.4347999999999999E-2</v>
      </c>
      <c r="O84" s="64">
        <f>O83-(O83*N83)</f>
        <v>0.58859135435449517</v>
      </c>
      <c r="P84" s="112">
        <v>9.85</v>
      </c>
      <c r="Q84" s="112"/>
      <c r="R84" s="64">
        <v>3.1759999999999997E-2</v>
      </c>
      <c r="S84" s="64">
        <f>S83-(S83*R83)</f>
        <v>0.71148177743756547</v>
      </c>
      <c r="T84" s="65">
        <v>11.5</v>
      </c>
    </row>
    <row r="85" spans="2:22" s="52" customFormat="1" hidden="1" outlineLevel="1">
      <c r="B85" s="63">
        <v>78</v>
      </c>
      <c r="C85" s="64">
        <v>4.8797E-2</v>
      </c>
      <c r="D85" s="64">
        <f>D84-(D84*C84)</f>
        <v>0.56248852898013701</v>
      </c>
      <c r="E85" s="112">
        <v>9.2799999999999994</v>
      </c>
      <c r="F85" s="112"/>
      <c r="G85" s="64">
        <v>3.5157000000000001E-2</v>
      </c>
      <c r="H85" s="64">
        <f>H84-(H84*G84)</f>
        <v>0.68888533068344249</v>
      </c>
      <c r="I85" s="65">
        <v>10.86</v>
      </c>
      <c r="M85" s="63">
        <v>78</v>
      </c>
      <c r="N85" s="64">
        <v>4.8797E-2</v>
      </c>
      <c r="O85" s="64">
        <f>O84-(O84*N84)</f>
        <v>0.56248850497158198</v>
      </c>
      <c r="P85" s="112">
        <v>9.2799999999999994</v>
      </c>
      <c r="Q85" s="112"/>
      <c r="R85" s="64">
        <v>3.5157000000000001E-2</v>
      </c>
      <c r="S85" s="64">
        <f>S84-(S84*R84)</f>
        <v>0.68888511618614834</v>
      </c>
      <c r="T85" s="65">
        <v>10.86</v>
      </c>
    </row>
    <row r="86" spans="2:22" s="52" customFormat="1" hidden="1" outlineLevel="1">
      <c r="B86" s="63" t="s">
        <v>72</v>
      </c>
      <c r="C86" s="116" t="s">
        <v>72</v>
      </c>
      <c r="D86" s="116" t="s">
        <v>72</v>
      </c>
      <c r="E86" s="116" t="s">
        <v>72</v>
      </c>
      <c r="F86" s="112"/>
      <c r="G86" s="116" t="s">
        <v>72</v>
      </c>
      <c r="H86" s="116" t="s">
        <v>72</v>
      </c>
      <c r="I86" s="63" t="s">
        <v>72</v>
      </c>
      <c r="M86" s="63" t="s">
        <v>72</v>
      </c>
      <c r="N86" s="116" t="s">
        <v>72</v>
      </c>
      <c r="O86" s="116" t="s">
        <v>72</v>
      </c>
      <c r="P86" s="116" t="s">
        <v>72</v>
      </c>
      <c r="Q86" s="112"/>
      <c r="R86" s="116" t="s">
        <v>72</v>
      </c>
      <c r="S86" s="116" t="s">
        <v>72</v>
      </c>
      <c r="T86" s="63" t="s">
        <v>72</v>
      </c>
    </row>
    <row r="87" spans="2:22" s="52" customFormat="1" hidden="1" outlineLevel="1">
      <c r="B87" s="63"/>
      <c r="C87" s="64"/>
      <c r="D87" s="64"/>
      <c r="E87" s="112"/>
      <c r="F87" s="112"/>
      <c r="G87" s="64"/>
      <c r="H87" s="64"/>
      <c r="I87" s="65"/>
      <c r="M87" s="63"/>
      <c r="N87" s="64"/>
      <c r="O87" s="64"/>
      <c r="P87" s="112"/>
      <c r="Q87" s="112"/>
      <c r="R87" s="64"/>
      <c r="S87" s="64"/>
      <c r="T87" s="65"/>
    </row>
    <row r="88" spans="2:22" s="52" customFormat="1" collapsed="1">
      <c r="B88" s="63">
        <v>79</v>
      </c>
      <c r="C88" s="64">
        <v>5.3739000000000002E-2</v>
      </c>
      <c r="D88" s="64">
        <f>D85-(D85*C85)</f>
        <v>0.53504077623149326</v>
      </c>
      <c r="E88" s="112">
        <v>8.73</v>
      </c>
      <c r="F88" s="112"/>
      <c r="G88" s="64">
        <v>3.8920000000000003E-2</v>
      </c>
      <c r="H88" s="64">
        <f>H85-(H85*G85)</f>
        <v>0.66466618911260467</v>
      </c>
      <c r="I88" s="65">
        <v>10.24</v>
      </c>
      <c r="M88" s="63">
        <v>79</v>
      </c>
      <c r="N88" s="111">
        <f>ROUND(C88,6)</f>
        <v>5.3739000000000002E-2</v>
      </c>
      <c r="O88" s="111">
        <f>ROUND(D88,6)</f>
        <v>0.53504099999999999</v>
      </c>
      <c r="P88" s="112">
        <v>8.73</v>
      </c>
      <c r="Q88" s="112"/>
      <c r="R88" s="111">
        <f>ROUND(G88,6)</f>
        <v>3.8920000000000003E-2</v>
      </c>
      <c r="S88" s="111">
        <f>ROUND(H88,6)</f>
        <v>0.66466599999999998</v>
      </c>
      <c r="T88" s="65">
        <v>10.24</v>
      </c>
    </row>
    <row r="89" spans="2:22" s="52" customFormat="1">
      <c r="B89" s="63">
        <v>80</v>
      </c>
      <c r="C89" s="64">
        <v>5.9402999999999997E-2</v>
      </c>
      <c r="D89" s="64">
        <f>D88-(D88*C88)</f>
        <v>0.5062882199575891</v>
      </c>
      <c r="E89" s="112">
        <v>8.1999999999999993</v>
      </c>
      <c r="F89" s="112"/>
      <c r="G89" s="64">
        <v>4.3289000000000001E-2</v>
      </c>
      <c r="H89" s="64">
        <f>H88-(H88*G88)</f>
        <v>0.63879738103234207</v>
      </c>
      <c r="I89" s="65">
        <v>9.64</v>
      </c>
      <c r="M89" s="63">
        <v>80</v>
      </c>
      <c r="N89" s="115">
        <f>ROUND(C89,6)</f>
        <v>5.9402999999999997E-2</v>
      </c>
      <c r="O89" s="111">
        <f>ROUND(D89,6)</f>
        <v>0.50628799999999996</v>
      </c>
      <c r="P89" s="112">
        <v>8.1999999999999993</v>
      </c>
      <c r="Q89" s="112"/>
      <c r="R89" s="111">
        <f>ROUND(G89,6)</f>
        <v>4.3289000000000001E-2</v>
      </c>
      <c r="S89" s="111">
        <f>ROUND(H89,6)</f>
        <v>0.63879699999999995</v>
      </c>
      <c r="T89" s="65">
        <v>9.64</v>
      </c>
      <c r="V89" s="114">
        <f>(1-N89)</f>
        <v>0.94059700000000002</v>
      </c>
    </row>
    <row r="90" spans="2:22" s="52" customFormat="1">
      <c r="B90" s="63">
        <v>81</v>
      </c>
      <c r="C90" s="64">
        <v>6.5873000000000001E-2</v>
      </c>
      <c r="D90" s="64">
        <f>D89-(D89*C89)</f>
        <v>0.47621318082744846</v>
      </c>
      <c r="E90" s="112">
        <v>7.68</v>
      </c>
      <c r="F90" s="112"/>
      <c r="G90" s="64">
        <v>4.8356000000000003E-2</v>
      </c>
      <c r="H90" s="64">
        <f>H89-(H89*G89)</f>
        <v>0.611144481204833</v>
      </c>
      <c r="I90" s="65">
        <v>9.0500000000000007</v>
      </c>
      <c r="M90" s="63">
        <v>81</v>
      </c>
      <c r="N90" s="111">
        <f>ROUND(C90,6)</f>
        <v>6.5873000000000001E-2</v>
      </c>
      <c r="O90" s="111">
        <f>ROUND(D90,6)</f>
        <v>0.476213</v>
      </c>
      <c r="P90" s="112">
        <v>7.68</v>
      </c>
      <c r="Q90" s="112"/>
      <c r="R90" s="111">
        <f>ROUND(G90,6)</f>
        <v>4.8356000000000003E-2</v>
      </c>
      <c r="S90" s="111">
        <f>ROUND(H90,6)</f>
        <v>0.61114400000000002</v>
      </c>
      <c r="T90" s="65">
        <v>9.0500000000000007</v>
      </c>
      <c r="V90" s="114">
        <f>N90</f>
        <v>6.5873000000000001E-2</v>
      </c>
    </row>
    <row r="91" spans="2:22" s="52" customFormat="1">
      <c r="B91" s="63">
        <v>82</v>
      </c>
      <c r="C91" s="64">
        <v>7.3081999999999994E-2</v>
      </c>
      <c r="D91" s="64">
        <f>D90-(D90*C90)</f>
        <v>0.44484358996680196</v>
      </c>
      <c r="E91" s="112">
        <v>7.19</v>
      </c>
      <c r="F91" s="112"/>
      <c r="G91" s="64">
        <v>5.4040999999999999E-2</v>
      </c>
      <c r="H91" s="64">
        <f>H90-(H90*G90)</f>
        <v>0.5815919786716921</v>
      </c>
      <c r="I91" s="65">
        <v>8.48</v>
      </c>
      <c r="M91" s="63">
        <v>82</v>
      </c>
      <c r="N91" s="111">
        <f>ROUND(C91,6)</f>
        <v>7.3081999999999994E-2</v>
      </c>
      <c r="O91" s="111">
        <f>ROUND(D91,6)</f>
        <v>0.44484400000000002</v>
      </c>
      <c r="P91" s="112">
        <v>7.19</v>
      </c>
      <c r="Q91" s="112"/>
      <c r="R91" s="111">
        <f>ROUND(G91,6)</f>
        <v>5.4040999999999999E-2</v>
      </c>
      <c r="S91" s="111">
        <f>ROUND(H91,6)</f>
        <v>0.581592</v>
      </c>
      <c r="T91" s="65">
        <v>8.48</v>
      </c>
      <c r="V91" s="113">
        <f>V89*V90</f>
        <v>6.1959946181000002E-2</v>
      </c>
    </row>
    <row r="92" spans="2:22" s="52" customFormat="1">
      <c r="B92" s="63">
        <v>83</v>
      </c>
      <c r="C92" s="64">
        <v>8.1070000000000003E-2</v>
      </c>
      <c r="D92" s="64">
        <f>D91-(D91*C91)</f>
        <v>0.41233353072484813</v>
      </c>
      <c r="E92" s="112">
        <v>6.72</v>
      </c>
      <c r="F92" s="112"/>
      <c r="G92" s="64">
        <v>6.0384E-2</v>
      </c>
      <c r="H92" s="64">
        <f>H91-(H91*G91)</f>
        <v>0.55016216655229522</v>
      </c>
      <c r="I92" s="65">
        <v>7.94</v>
      </c>
      <c r="M92" s="63">
        <v>83</v>
      </c>
      <c r="N92" s="111">
        <f>ROUND(C92,6)</f>
        <v>8.1070000000000003E-2</v>
      </c>
      <c r="O92" s="111">
        <f>ROUND(D92,6)</f>
        <v>0.41233399999999998</v>
      </c>
      <c r="P92" s="112">
        <v>6.72</v>
      </c>
      <c r="Q92" s="112"/>
      <c r="R92" s="111">
        <f>ROUND(G92,6)</f>
        <v>6.0384E-2</v>
      </c>
      <c r="S92" s="111">
        <f>ROUND(H92,6)</f>
        <v>0.55016200000000004</v>
      </c>
      <c r="T92" s="65">
        <v>7.94</v>
      </c>
      <c r="V92" s="109">
        <f>V91</f>
        <v>6.1959946181000002E-2</v>
      </c>
    </row>
    <row r="93" spans="2:22" s="52" customFormat="1">
      <c r="B93" s="63"/>
      <c r="C93" s="64"/>
      <c r="D93" s="64"/>
      <c r="E93" s="65"/>
      <c r="F93" s="65"/>
      <c r="G93" s="64"/>
      <c r="H93" s="64"/>
      <c r="I93" s="65"/>
    </row>
    <row r="94" spans="2:22" s="52" customFormat="1">
      <c r="B94" s="63"/>
      <c r="C94" s="64"/>
      <c r="D94" s="64"/>
      <c r="E94" s="65"/>
      <c r="F94" s="65"/>
      <c r="G94" s="64"/>
      <c r="H94" s="64"/>
      <c r="I94" s="65"/>
    </row>
    <row r="95" spans="2:22" s="52" customFormat="1">
      <c r="B95" s="63">
        <v>84</v>
      </c>
      <c r="C95" s="64">
        <v>8.9946999999999999E-2</v>
      </c>
      <c r="D95" s="64">
        <f>D92-(D92*C92)</f>
        <v>0.37890565138898469</v>
      </c>
      <c r="E95" s="65">
        <v>6.27</v>
      </c>
      <c r="F95" s="65"/>
      <c r="G95" s="64">
        <v>6.7498000000000002E-2</v>
      </c>
      <c r="H95" s="64">
        <f>H92-(H92*G92)</f>
        <v>0.51694117428720143</v>
      </c>
      <c r="I95" s="65">
        <v>7.42</v>
      </c>
      <c r="N95" s="110">
        <f>N90*N89</f>
        <v>3.9130538190000003E-3</v>
      </c>
    </row>
    <row r="96" spans="2:22" s="52" customFormat="1">
      <c r="B96" s="63">
        <v>85</v>
      </c>
      <c r="C96" s="64">
        <v>9.9842E-2</v>
      </c>
      <c r="D96" s="64">
        <f>D95-(D95*C95)</f>
        <v>0.34482422476349966</v>
      </c>
      <c r="E96" s="65">
        <v>5.84</v>
      </c>
      <c r="F96" s="65"/>
      <c r="G96" s="64">
        <v>7.5516E-2</v>
      </c>
      <c r="H96" s="64">
        <f>H95-(H95*G95)</f>
        <v>0.4820486789051639</v>
      </c>
      <c r="I96" s="65">
        <v>6.92</v>
      </c>
    </row>
    <row r="97" spans="2:15" s="52" customFormat="1">
      <c r="B97" s="63">
        <v>86</v>
      </c>
      <c r="C97" s="64">
        <v>0.110863</v>
      </c>
      <c r="D97" s="64">
        <f>D96-(D96*C96)</f>
        <v>0.31039628451466234</v>
      </c>
      <c r="E97" s="65">
        <v>5.43</v>
      </c>
      <c r="F97" s="65"/>
      <c r="G97" s="64">
        <v>8.4556000000000006E-2</v>
      </c>
      <c r="H97" s="64">
        <f>H96-(H96*G96)</f>
        <v>0.44564629086896157</v>
      </c>
      <c r="I97" s="65">
        <v>6.44</v>
      </c>
    </row>
    <row r="98" spans="2:15" s="52" customFormat="1">
      <c r="B98" s="63">
        <v>87</v>
      </c>
      <c r="C98" s="64">
        <v>0.123088</v>
      </c>
      <c r="D98" s="64">
        <f>D97-(D97*C97)</f>
        <v>0.27598482122451334</v>
      </c>
      <c r="E98" s="65">
        <v>5.04</v>
      </c>
      <c r="F98" s="65"/>
      <c r="G98" s="64">
        <v>9.4702999999999996E-2</v>
      </c>
      <c r="H98" s="64">
        <f>H97-(H97*G97)</f>
        <v>0.40796422309824565</v>
      </c>
      <c r="I98" s="65">
        <v>5.99</v>
      </c>
      <c r="N98" s="109">
        <f>N89+N90</f>
        <v>0.125276</v>
      </c>
    </row>
    <row r="99" spans="2:15" s="52" customFormat="1">
      <c r="B99" s="63">
        <v>88</v>
      </c>
      <c r="C99" s="64">
        <v>0.13656299999999999</v>
      </c>
      <c r="D99" s="64">
        <f>D98-(D98*C98)</f>
        <v>0.24201440154963044</v>
      </c>
      <c r="E99" s="65">
        <v>4.68</v>
      </c>
      <c r="F99" s="65"/>
      <c r="G99" s="64">
        <v>0.106014</v>
      </c>
      <c r="H99" s="64">
        <f>H98-(H98*G98)</f>
        <v>0.36932878727817248</v>
      </c>
      <c r="I99" s="65">
        <v>5.57</v>
      </c>
    </row>
    <row r="100" spans="2:15" s="52" customFormat="1">
      <c r="B100" s="63">
        <v>89</v>
      </c>
      <c r="C100" s="64">
        <v>0.15129899999999999</v>
      </c>
      <c r="D100" s="64">
        <f>D99-(D99*C99)</f>
        <v>0.20896418883080825</v>
      </c>
      <c r="E100" s="65">
        <v>4.34</v>
      </c>
      <c r="F100" s="65"/>
      <c r="G100" s="64">
        <v>0.11851299999999999</v>
      </c>
      <c r="H100" s="64">
        <f>H99-(H99*G99)</f>
        <v>0.33017476522366429</v>
      </c>
      <c r="I100" s="65">
        <v>5.17</v>
      </c>
    </row>
    <row r="101" spans="2:15" s="52" customFormat="1">
      <c r="B101" s="69">
        <v>90</v>
      </c>
      <c r="C101" s="70">
        <v>0.167291</v>
      </c>
      <c r="D101" s="70">
        <f>D100-(D100*C100)</f>
        <v>0.17734811602489581</v>
      </c>
      <c r="E101" s="71">
        <v>4.03</v>
      </c>
      <c r="F101" s="71"/>
      <c r="G101" s="70">
        <v>0.13220599999999999</v>
      </c>
      <c r="H101" s="70">
        <f>H100-(H100*G100)</f>
        <v>0.29104476327271217</v>
      </c>
      <c r="I101" s="71">
        <v>4.8</v>
      </c>
      <c r="O101" s="109">
        <f>O89*O90*N91</f>
        <v>1.7620137972154205E-2</v>
      </c>
    </row>
    <row r="102" spans="2:15" s="52" customFormat="1">
      <c r="B102" s="69">
        <v>91</v>
      </c>
      <c r="C102" s="70">
        <v>0.18451999999999999</v>
      </c>
      <c r="D102" s="70">
        <f>D101-(D101*C101)</f>
        <v>0.14767937234697495</v>
      </c>
      <c r="E102" s="71">
        <v>3.74</v>
      </c>
      <c r="F102" s="71"/>
      <c r="G102" s="70">
        <v>0.147092</v>
      </c>
      <c r="H102" s="70">
        <f>H101-(H101*G101)</f>
        <v>0.25256689929948001</v>
      </c>
      <c r="I102" s="71">
        <v>4.45</v>
      </c>
      <c r="K102" s="77"/>
    </row>
    <row r="103" spans="2:15" s="52" customFormat="1">
      <c r="B103" s="63">
        <v>92</v>
      </c>
      <c r="C103" s="64">
        <v>0.202954</v>
      </c>
      <c r="D103" s="64">
        <f>D102-(D102*C102)</f>
        <v>0.12042957456151113</v>
      </c>
      <c r="E103" s="65">
        <v>3.47</v>
      </c>
      <c r="F103" s="65"/>
      <c r="G103" s="64">
        <v>0.16315399999999999</v>
      </c>
      <c r="H103" s="64">
        <f>H102-(H102*G102)</f>
        <v>0.21541632894772089</v>
      </c>
      <c r="I103" s="65">
        <v>4.13</v>
      </c>
    </row>
    <row r="104" spans="2:15" s="52" customFormat="1">
      <c r="B104" s="63">
        <v>93</v>
      </c>
      <c r="C104" s="64">
        <v>0.222555</v>
      </c>
      <c r="D104" s="64">
        <f>D103-(D103*C103)</f>
        <v>9.5987910685954192E-2</v>
      </c>
      <c r="E104" s="65">
        <v>3.23</v>
      </c>
      <c r="F104" s="65"/>
      <c r="G104" s="64">
        <v>0.180371</v>
      </c>
      <c r="H104" s="64">
        <f>H103-(H103*G103)</f>
        <v>0.18027029321458443</v>
      </c>
      <c r="I104" s="65">
        <v>3.84</v>
      </c>
    </row>
    <row r="105" spans="2:15" s="52" customFormat="1">
      <c r="B105" s="63">
        <v>94</v>
      </c>
      <c r="C105" s="64">
        <v>0.24327199999999999</v>
      </c>
      <c r="D105" s="64">
        <f>D104-(D104*C104)</f>
        <v>7.4625321223241656E-2</v>
      </c>
      <c r="E105" s="65">
        <v>3.01</v>
      </c>
      <c r="F105" s="65"/>
      <c r="G105" s="64">
        <v>0.198714</v>
      </c>
      <c r="H105" s="64">
        <f>H104-(H104*G104)</f>
        <v>0.14775476015717662</v>
      </c>
      <c r="I105" s="65">
        <v>3.57</v>
      </c>
    </row>
    <row r="106" spans="2:15" s="52" customFormat="1">
      <c r="B106" s="63">
        <v>95</v>
      </c>
      <c r="C106" s="64">
        <v>0.26382100000000003</v>
      </c>
      <c r="D106" s="64">
        <f>D105-(D105*C105)</f>
        <v>5.6471070078621212E-2</v>
      </c>
      <c r="E106" s="65">
        <v>2.82</v>
      </c>
      <c r="F106" s="65"/>
      <c r="G106" s="64">
        <v>0.21726400000000001</v>
      </c>
      <c r="H106" s="64">
        <f>H105-(H105*G105)</f>
        <v>0.11839382074730342</v>
      </c>
      <c r="I106" s="65">
        <v>3.34</v>
      </c>
    </row>
    <row r="107" spans="2:15" s="52" customFormat="1">
      <c r="B107" s="63">
        <v>96</v>
      </c>
      <c r="C107" s="64">
        <v>0.283833</v>
      </c>
      <c r="D107" s="64">
        <f>D106-(D106*C106)</f>
        <v>4.1572815899409282E-2</v>
      </c>
      <c r="E107" s="65">
        <v>2.64</v>
      </c>
      <c r="F107" s="65"/>
      <c r="G107" s="64">
        <v>0.235735</v>
      </c>
      <c r="H107" s="64">
        <f>H106-(H106*G106)</f>
        <v>9.2671105676461293E-2</v>
      </c>
      <c r="I107" s="65">
        <v>3.12</v>
      </c>
    </row>
    <row r="108" spans="2:15" s="52" customFormat="1">
      <c r="B108" s="63">
        <v>97</v>
      </c>
      <c r="C108" s="64">
        <v>0.30291600000000002</v>
      </c>
      <c r="D108" s="64">
        <f>D107-(D107*C107)</f>
        <v>2.9773078844232248E-2</v>
      </c>
      <c r="E108" s="65">
        <v>2.4900000000000002</v>
      </c>
      <c r="F108" s="65"/>
      <c r="G108" s="64">
        <v>0.25380999999999998</v>
      </c>
      <c r="H108" s="64">
        <f>H107-(H107*G107)</f>
        <v>7.0825282579820695E-2</v>
      </c>
      <c r="I108" s="65">
        <v>2.93</v>
      </c>
    </row>
    <row r="109" spans="2:15" s="52" customFormat="1">
      <c r="B109" s="63">
        <v>98</v>
      </c>
      <c r="C109" s="64">
        <v>0.32067200000000001</v>
      </c>
      <c r="D109" s="64">
        <f>D108-(D108*C108)</f>
        <v>2.075433689305279E-2</v>
      </c>
      <c r="E109" s="65">
        <v>2.36</v>
      </c>
      <c r="F109" s="65"/>
      <c r="G109" s="64">
        <v>0.27115499999999998</v>
      </c>
      <c r="H109" s="64">
        <f>H108-(H108*G108)</f>
        <v>5.2849117608236407E-2</v>
      </c>
      <c r="I109" s="65">
        <v>2.76</v>
      </c>
    </row>
    <row r="110" spans="2:15" s="52" customFormat="1">
      <c r="B110" s="63">
        <v>99</v>
      </c>
      <c r="C110" s="64">
        <v>0.33670600000000001</v>
      </c>
      <c r="D110" s="64">
        <f>D109-(D109*C109)</f>
        <v>1.4099002172883766E-2</v>
      </c>
      <c r="E110" s="65">
        <v>2.2400000000000002</v>
      </c>
      <c r="F110" s="65"/>
      <c r="G110" s="64">
        <v>0.28742400000000001</v>
      </c>
      <c r="H110" s="64">
        <f>H109-(H109*G109)</f>
        <v>3.8518815123175065E-2</v>
      </c>
      <c r="I110" s="65">
        <v>2.6</v>
      </c>
    </row>
    <row r="111" spans="2:15" s="52" customFormat="1">
      <c r="B111" s="63">
        <v>100</v>
      </c>
      <c r="C111" s="64">
        <v>0.35354099999999999</v>
      </c>
      <c r="D111" s="64">
        <f>D110-(D110*C110)</f>
        <v>9.3517835472607634E-3</v>
      </c>
      <c r="E111" s="65">
        <v>2.12</v>
      </c>
      <c r="F111" s="65"/>
      <c r="G111" s="64">
        <v>0.30467</v>
      </c>
      <c r="H111" s="64">
        <f>H110-(H110*G110)</f>
        <v>2.7447583205211595E-2</v>
      </c>
      <c r="I111" s="65">
        <v>2.4500000000000002</v>
      </c>
    </row>
    <row r="112" spans="2:15" s="52" customFormat="1">
      <c r="B112" s="63">
        <v>101</v>
      </c>
      <c r="C112" s="64">
        <v>0.37121799999999999</v>
      </c>
      <c r="D112" s="64">
        <f>D111-(D111*C111)</f>
        <v>6.0455446401786461E-3</v>
      </c>
      <c r="E112" s="65">
        <v>2.0099999999999998</v>
      </c>
      <c r="F112" s="65"/>
      <c r="G112" s="64">
        <v>0.32295000000000001</v>
      </c>
      <c r="H112" s="64">
        <f>H111-(H111*G111)</f>
        <v>1.9085128030079779E-2</v>
      </c>
      <c r="I112" s="65">
        <v>2.2999999999999998</v>
      </c>
    </row>
    <row r="113" spans="2:9" s="52" customFormat="1">
      <c r="B113" s="63">
        <v>102</v>
      </c>
      <c r="C113" s="64">
        <v>0.38977899999999999</v>
      </c>
      <c r="D113" s="64">
        <f>D112-(D112*C112)</f>
        <v>3.8013296499408095E-3</v>
      </c>
      <c r="E113" s="65">
        <v>1.9</v>
      </c>
      <c r="F113" s="65"/>
      <c r="G113" s="64">
        <v>0.34232699999999999</v>
      </c>
      <c r="H113" s="64">
        <f>H112-(H112*G112)</f>
        <v>1.2921585932765513E-2</v>
      </c>
      <c r="I113" s="65">
        <v>2.17</v>
      </c>
    </row>
    <row r="114" spans="2:9" s="52" customFormat="1">
      <c r="B114" s="63">
        <v>103</v>
      </c>
      <c r="C114" s="64">
        <v>0.40926800000000002</v>
      </c>
      <c r="D114" s="64">
        <f>D113-(D113*C113)</f>
        <v>2.3196511803165306E-3</v>
      </c>
      <c r="E114" s="65">
        <v>1.8</v>
      </c>
      <c r="F114" s="65"/>
      <c r="G114" s="64">
        <v>0.362867</v>
      </c>
      <c r="H114" s="64">
        <f>H113-(H113*G113)</f>
        <v>8.4981781851596935E-3</v>
      </c>
      <c r="I114" s="65">
        <v>2.0299999999999998</v>
      </c>
    </row>
    <row r="115" spans="2:9" s="52" customFormat="1">
      <c r="B115" s="63">
        <v>104</v>
      </c>
      <c r="C115" s="64">
        <v>0.429732</v>
      </c>
      <c r="D115" s="64">
        <f>D114-(D114*C114)</f>
        <v>1.3702921810507447E-3</v>
      </c>
      <c r="E115" s="65">
        <v>1.7</v>
      </c>
      <c r="F115" s="65"/>
      <c r="G115" s="64">
        <v>0.38463900000000001</v>
      </c>
      <c r="H115" s="64">
        <f>H114-(H114*G114)</f>
        <v>5.4144697616453508E-3</v>
      </c>
      <c r="I115" s="65">
        <v>1.91</v>
      </c>
    </row>
    <row r="116" spans="2:9" s="52" customFormat="1">
      <c r="B116" s="63">
        <v>105</v>
      </c>
      <c r="C116" s="64">
        <v>0.45121800000000001</v>
      </c>
      <c r="D116" s="64">
        <f>D115-(D115*C115)</f>
        <v>7.8143378150344605E-4</v>
      </c>
      <c r="E116" s="65">
        <v>1.6</v>
      </c>
      <c r="F116" s="65"/>
      <c r="G116" s="64">
        <v>0.407717</v>
      </c>
      <c r="H116" s="64">
        <f>H115-(H115*G115)</f>
        <v>3.3318535269958446E-3</v>
      </c>
      <c r="I116" s="65">
        <v>1.78</v>
      </c>
    </row>
    <row r="117" spans="2:9" s="52" customFormat="1">
      <c r="B117" s="63">
        <v>106</v>
      </c>
      <c r="C117" s="64">
        <v>0.47377900000000001</v>
      </c>
      <c r="D117" s="64">
        <f>D116-(D116*C116)</f>
        <v>4.2883679348102414E-4</v>
      </c>
      <c r="E117" s="65">
        <v>1.51</v>
      </c>
      <c r="F117" s="65"/>
      <c r="G117" s="64">
        <v>0.43218000000000001</v>
      </c>
      <c r="H117" s="64">
        <f>H116-(H116*G116)</f>
        <v>1.9734002025296798E-3</v>
      </c>
      <c r="I117" s="65">
        <v>1.67</v>
      </c>
    </row>
    <row r="118" spans="2:9" s="52" customFormat="1">
      <c r="B118" s="63">
        <v>107</v>
      </c>
      <c r="C118" s="64">
        <v>0.49746800000000002</v>
      </c>
      <c r="D118" s="64">
        <f>D117-(D117*C117)</f>
        <v>2.2566292630237799E-4</v>
      </c>
      <c r="E118" s="65">
        <v>1.42</v>
      </c>
      <c r="F118" s="65"/>
      <c r="G118" s="64">
        <v>0.45811099999999999</v>
      </c>
      <c r="H118" s="64">
        <f>H117-(H117*G117)</f>
        <v>1.1205361030004028E-3</v>
      </c>
      <c r="I118" s="65">
        <v>1.56</v>
      </c>
    </row>
    <row r="119" spans="2:9" s="52" customFormat="1">
      <c r="B119" s="63">
        <v>108</v>
      </c>
      <c r="C119" s="64">
        <v>0.52234100000000006</v>
      </c>
      <c r="D119" s="64">
        <f>D118-(D118*C118)</f>
        <v>1.1340284168058661E-4</v>
      </c>
      <c r="E119" s="65">
        <v>1.34</v>
      </c>
      <c r="F119" s="65"/>
      <c r="G119" s="64">
        <v>0.485597</v>
      </c>
      <c r="H119" s="64">
        <f>H118-(H118*G118)</f>
        <v>6.0720618831878526E-4</v>
      </c>
      <c r="I119" s="65">
        <v>1.45</v>
      </c>
    </row>
    <row r="120" spans="2:9" s="52" customFormat="1">
      <c r="B120" s="63">
        <v>109</v>
      </c>
      <c r="C120" s="64">
        <v>0.548458</v>
      </c>
      <c r="D120" s="64">
        <f>D119-(D119*C119)</f>
        <v>5.416788795430731E-5</v>
      </c>
      <c r="E120" s="65">
        <v>1.26</v>
      </c>
      <c r="F120" s="65"/>
      <c r="G120" s="64">
        <v>0.514733</v>
      </c>
      <c r="H120" s="64">
        <f>H119-(H119*G119)</f>
        <v>3.123486848897481E-4</v>
      </c>
      <c r="I120" s="65">
        <v>1.35</v>
      </c>
    </row>
    <row r="121" spans="2:9" s="52" customFormat="1">
      <c r="B121" s="63">
        <v>110</v>
      </c>
      <c r="C121" s="64">
        <v>0.57588099999999998</v>
      </c>
      <c r="D121" s="64">
        <f>D120-(D120*C120)</f>
        <v>2.4459076462663831E-5</v>
      </c>
      <c r="E121" s="65">
        <v>1.18</v>
      </c>
      <c r="F121" s="65"/>
      <c r="G121" s="64">
        <v>0.54561700000000002</v>
      </c>
      <c r="H121" s="64">
        <f>H120-(H120*G120)</f>
        <v>1.515725092703934E-4</v>
      </c>
      <c r="I121" s="65">
        <v>1.26</v>
      </c>
    </row>
    <row r="122" spans="2:9" s="52" customFormat="1">
      <c r="B122" s="63">
        <v>111</v>
      </c>
      <c r="C122" s="64">
        <v>0.60467499999999996</v>
      </c>
      <c r="D122" s="64">
        <f>D121-(D121*C121)</f>
        <v>1.0373559050268522E-5</v>
      </c>
      <c r="E122" s="65">
        <v>1.1100000000000001</v>
      </c>
      <c r="F122" s="65"/>
      <c r="G122" s="64">
        <v>0.57835400000000003</v>
      </c>
      <c r="H122" s="64">
        <f>H121-(H121*G121)</f>
        <v>6.8871971479809167E-5</v>
      </c>
      <c r="I122" s="65">
        <v>1.17</v>
      </c>
    </row>
    <row r="123" spans="2:9" s="52" customFormat="1">
      <c r="B123" s="63">
        <v>112</v>
      </c>
      <c r="C123" s="64">
        <v>0.63490899999999995</v>
      </c>
      <c r="D123" s="64">
        <f>D122-(D122*C122)</f>
        <v>4.1009272315474037E-6</v>
      </c>
      <c r="E123" s="65">
        <v>1.04</v>
      </c>
      <c r="F123" s="65"/>
      <c r="G123" s="64">
        <v>0.61305500000000002</v>
      </c>
      <c r="H123" s="64">
        <f>H122-(H122*G122)</f>
        <v>2.9039591286575614E-5</v>
      </c>
      <c r="I123" s="65">
        <v>1.08</v>
      </c>
    </row>
    <row r="124" spans="2:9" s="52" customFormat="1">
      <c r="B124" s="63">
        <v>113</v>
      </c>
      <c r="C124" s="64">
        <v>0.666655</v>
      </c>
      <c r="D124" s="64">
        <f>D123-(D123*C123)</f>
        <v>1.4972116238928733E-6</v>
      </c>
      <c r="E124" s="65">
        <v>0.97</v>
      </c>
      <c r="F124" s="65"/>
      <c r="G124" s="64">
        <v>0.64983900000000006</v>
      </c>
      <c r="H124" s="64">
        <f>H123-(H123*G123)</f>
        <v>1.1236724650384002E-5</v>
      </c>
      <c r="I124" s="65">
        <v>1</v>
      </c>
    </row>
    <row r="125" spans="2:9" s="52" customFormat="1">
      <c r="B125" s="63">
        <v>114</v>
      </c>
      <c r="C125" s="64">
        <v>0.69998700000000003</v>
      </c>
      <c r="D125" s="64">
        <f>D124-(D124*C124)</f>
        <v>4.9908800876656982E-7</v>
      </c>
      <c r="E125" s="65">
        <v>0.9</v>
      </c>
      <c r="F125" s="65"/>
      <c r="G125" s="64">
        <v>0.68882900000000002</v>
      </c>
      <c r="H125" s="64">
        <f>H124-(H124*G124)</f>
        <v>3.9346627403031122E-6</v>
      </c>
      <c r="I125" s="65">
        <v>0.92</v>
      </c>
    </row>
    <row r="126" spans="2:9" s="52" customFormat="1">
      <c r="B126" s="63">
        <v>115</v>
      </c>
      <c r="C126" s="64">
        <v>0.73498699999999995</v>
      </c>
      <c r="D126" s="64">
        <f>D125-(D125*C125)</f>
        <v>1.4973289077408489E-7</v>
      </c>
      <c r="E126" s="65">
        <v>0.84</v>
      </c>
      <c r="F126" s="65"/>
      <c r="G126" s="64">
        <v>0.730159</v>
      </c>
      <c r="H126" s="64">
        <f>H125-(H125*G125)</f>
        <v>1.2243529395628595E-6</v>
      </c>
      <c r="I126" s="65">
        <v>0.85</v>
      </c>
    </row>
    <row r="127" spans="2:9" s="52" customFormat="1">
      <c r="B127" s="63">
        <v>116</v>
      </c>
      <c r="C127" s="64">
        <v>0.77173599999999998</v>
      </c>
      <c r="D127" s="64">
        <f>D126-(D126*C126)</f>
        <v>3.9681162582712572E-8</v>
      </c>
      <c r="E127" s="65">
        <v>0.78</v>
      </c>
      <c r="F127" s="65"/>
      <c r="G127" s="64">
        <v>0.77173599999999998</v>
      </c>
      <c r="H127" s="64">
        <f>H126-(H126*G126)</f>
        <v>3.3038062156458161E-7</v>
      </c>
      <c r="I127" s="65">
        <v>0.78</v>
      </c>
    </row>
    <row r="128" spans="2:9" s="52" customFormat="1">
      <c r="B128" s="63">
        <v>117</v>
      </c>
      <c r="C128" s="64">
        <v>0.81032300000000002</v>
      </c>
      <c r="D128" s="64">
        <f>D127-(D127*C127)</f>
        <v>9.0577808957803056E-9</v>
      </c>
      <c r="E128" s="65">
        <v>0.72</v>
      </c>
      <c r="F128" s="65"/>
      <c r="G128" s="64">
        <v>0.81032300000000002</v>
      </c>
      <c r="H128" s="64">
        <f>H127-(H127*G127)</f>
        <v>7.5414002200817665E-8</v>
      </c>
      <c r="I128" s="65">
        <v>0.72</v>
      </c>
    </row>
    <row r="129" spans="2:9" s="52" customFormat="1">
      <c r="B129" s="63">
        <v>118</v>
      </c>
      <c r="C129" s="64">
        <v>0.85083900000000001</v>
      </c>
      <c r="D129" s="64">
        <f>D128-(D128*C128)</f>
        <v>1.7180527069689209E-9</v>
      </c>
      <c r="E129" s="65">
        <v>0.67</v>
      </c>
      <c r="F129" s="65"/>
      <c r="G129" s="64">
        <v>0.85083900000000001</v>
      </c>
      <c r="H129" s="64">
        <f>H128-(H128*G128)</f>
        <v>1.430430169544449E-8</v>
      </c>
      <c r="I129" s="65">
        <v>0.67</v>
      </c>
    </row>
    <row r="130" spans="2:9" s="52" customFormat="1">
      <c r="B130" s="63">
        <v>119</v>
      </c>
      <c r="C130" s="64">
        <v>0.89338099999999998</v>
      </c>
      <c r="D130" s="64">
        <f>D129-(D129*C129)</f>
        <v>2.5626645982419117E-10</v>
      </c>
      <c r="E130" s="65">
        <v>0.61</v>
      </c>
      <c r="F130" s="65"/>
      <c r="G130" s="64">
        <v>0.89338099999999998</v>
      </c>
      <c r="H130" s="64">
        <f>H129-(H129*G129)</f>
        <v>2.1336439451941957E-9</v>
      </c>
      <c r="I130" s="65">
        <v>0.61</v>
      </c>
    </row>
    <row r="131" spans="2:9" s="52" customFormat="1" ht="15.75" customHeight="1">
      <c r="B131" s="72" t="s">
        <v>95</v>
      </c>
      <c r="C131" s="72"/>
      <c r="D131" s="72"/>
      <c r="E131" s="72"/>
      <c r="F131" s="72"/>
      <c r="G131" s="72"/>
      <c r="H131" s="72"/>
      <c r="I131" s="72"/>
    </row>
    <row r="132" spans="2:9" s="52" customFormat="1" ht="15.75" customHeight="1">
      <c r="B132" s="72" t="s">
        <v>94</v>
      </c>
      <c r="C132" s="72"/>
      <c r="D132" s="72"/>
      <c r="E132" s="72"/>
      <c r="F132" s="72"/>
      <c r="G132" s="72"/>
      <c r="H132" s="72"/>
      <c r="I132" s="72"/>
    </row>
    <row r="133" spans="2:9" s="52" customFormat="1">
      <c r="B133" s="74"/>
      <c r="C133" s="74"/>
      <c r="D133" s="74"/>
      <c r="E133" s="74"/>
      <c r="F133" s="75"/>
      <c r="G133" s="74"/>
      <c r="H133" s="74"/>
      <c r="I133" s="74"/>
    </row>
    <row r="134" spans="2:9" s="52" customFormat="1" ht="63" customHeight="1">
      <c r="B134" s="76" t="s">
        <v>28</v>
      </c>
      <c r="C134" s="76"/>
      <c r="D134" s="76"/>
      <c r="E134" s="76"/>
      <c r="F134" s="73"/>
      <c r="G134" s="76"/>
      <c r="H134" s="76"/>
      <c r="I134" s="76"/>
    </row>
    <row r="135" spans="2:9" s="52" customFormat="1">
      <c r="B135" s="74"/>
      <c r="C135" s="74"/>
      <c r="D135" s="74"/>
      <c r="E135" s="74"/>
      <c r="F135" s="75"/>
      <c r="G135" s="74"/>
      <c r="H135" s="74"/>
      <c r="I135" s="74"/>
    </row>
    <row r="136" spans="2:9" s="52" customFormat="1" ht="31.5" customHeight="1">
      <c r="B136" s="76" t="s">
        <v>29</v>
      </c>
      <c r="C136" s="76"/>
      <c r="D136" s="76"/>
      <c r="E136" s="76"/>
      <c r="F136" s="73"/>
      <c r="G136" s="76"/>
      <c r="H136" s="76"/>
      <c r="I136" s="76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5402-6DE9-4187-92D7-53A9158F19C8}">
  <dimension ref="B5:O104"/>
  <sheetViews>
    <sheetView showGridLines="0" workbookViewId="0">
      <selection activeCell="D33" sqref="D33"/>
    </sheetView>
  </sheetViews>
  <sheetFormatPr defaultColWidth="8.85546875" defaultRowHeight="15"/>
  <cols>
    <col min="1" max="3" width="8.85546875" style="132"/>
    <col min="4" max="4" width="35.5703125" style="132" customWidth="1"/>
    <col min="5" max="5" width="8.85546875" style="132"/>
    <col min="6" max="6" width="2.7109375" style="132" customWidth="1"/>
    <col min="7" max="7" width="25.7109375" style="132" customWidth="1"/>
    <col min="8" max="16384" width="8.85546875" style="132"/>
  </cols>
  <sheetData>
    <row r="5" spans="4:5" s="132" customFormat="1">
      <c r="D5" s="141" t="s">
        <v>127</v>
      </c>
      <c r="E5" s="135"/>
    </row>
    <row r="6" spans="4:5" s="132" customFormat="1">
      <c r="D6" s="151" t="s">
        <v>126</v>
      </c>
      <c r="E6" s="150"/>
    </row>
    <row r="7" spans="4:5" s="132" customFormat="1">
      <c r="D7" s="156" t="s">
        <v>128</v>
      </c>
      <c r="E7" s="155"/>
    </row>
    <row r="8" spans="4:5" s="132" customFormat="1" ht="6" customHeight="1"/>
    <row r="9" spans="4:5" s="132" customFormat="1">
      <c r="D9" s="133" t="s">
        <v>45</v>
      </c>
      <c r="E9" s="148">
        <v>0.75</v>
      </c>
    </row>
    <row r="10" spans="4:5" s="132" customFormat="1">
      <c r="D10" s="133" t="s">
        <v>46</v>
      </c>
      <c r="E10" s="148">
        <v>0.3</v>
      </c>
    </row>
    <row r="11" spans="4:5" s="132" customFormat="1">
      <c r="D11" s="133" t="s">
        <v>122</v>
      </c>
      <c r="E11" s="146">
        <f>E9+E10</f>
        <v>1.05</v>
      </c>
    </row>
    <row r="12" spans="4:5" s="132" customFormat="1">
      <c r="D12" s="133" t="s">
        <v>48</v>
      </c>
      <c r="E12" s="157" t="s">
        <v>121</v>
      </c>
    </row>
    <row r="13" spans="4:5" s="132" customFormat="1">
      <c r="D13" s="133" t="s">
        <v>120</v>
      </c>
      <c r="E13" s="158" t="s">
        <v>119</v>
      </c>
    </row>
    <row r="14" spans="4:5" s="132" customFormat="1">
      <c r="D14" s="133" t="s">
        <v>118</v>
      </c>
      <c r="E14" s="157" t="s">
        <v>117</v>
      </c>
    </row>
    <row r="15" spans="4:5" s="132" customFormat="1">
      <c r="D15" s="133" t="s">
        <v>50</v>
      </c>
      <c r="E15" s="157" t="s">
        <v>116</v>
      </c>
    </row>
    <row r="16" spans="4:5" s="132" customFormat="1">
      <c r="D16" s="133"/>
      <c r="E16" s="133"/>
    </row>
    <row r="17" spans="4:13" s="132" customFormat="1">
      <c r="D17" s="133"/>
      <c r="E17" s="133"/>
    </row>
    <row r="18" spans="4:13" s="132" customFormat="1">
      <c r="D18" s="133"/>
      <c r="E18" s="133"/>
    </row>
    <row r="19" spans="4:13" s="132" customFormat="1">
      <c r="D19" s="141" t="s">
        <v>127</v>
      </c>
      <c r="E19" s="135"/>
    </row>
    <row r="20" spans="4:13" s="132" customFormat="1">
      <c r="D20" s="151" t="s">
        <v>126</v>
      </c>
      <c r="E20" s="150"/>
    </row>
    <row r="21" spans="4:13" s="132" customFormat="1">
      <c r="D21" s="156" t="s">
        <v>125</v>
      </c>
      <c r="E21" s="155"/>
    </row>
    <row r="22" spans="4:13" s="132" customFormat="1" ht="6" customHeight="1"/>
    <row r="23" spans="4:13" s="132" customFormat="1">
      <c r="D23" s="133" t="s">
        <v>45</v>
      </c>
      <c r="E23" s="148">
        <v>0.75</v>
      </c>
    </row>
    <row r="24" spans="4:13" s="132" customFormat="1">
      <c r="D24" s="133" t="s">
        <v>46</v>
      </c>
      <c r="E24" s="154">
        <v>0.3</v>
      </c>
    </row>
    <row r="25" spans="4:13" s="132" customFormat="1">
      <c r="D25" s="133" t="s">
        <v>122</v>
      </c>
      <c r="E25" s="152">
        <f>E23+E24</f>
        <v>1.05</v>
      </c>
    </row>
    <row r="26" spans="4:13" s="132" customFormat="1">
      <c r="D26" s="133" t="s">
        <v>48</v>
      </c>
      <c r="E26" s="154">
        <v>0.01</v>
      </c>
    </row>
    <row r="27" spans="4:13" s="132" customFormat="1">
      <c r="D27" s="133" t="s">
        <v>120</v>
      </c>
      <c r="E27" s="152">
        <f>E25+E26</f>
        <v>1.06</v>
      </c>
    </row>
    <row r="28" spans="4:13" s="132" customFormat="1">
      <c r="D28" s="133" t="s">
        <v>118</v>
      </c>
      <c r="E28" s="153">
        <v>-0.09</v>
      </c>
    </row>
    <row r="29" spans="4:13" s="132" customFormat="1">
      <c r="D29" s="133" t="s">
        <v>50</v>
      </c>
      <c r="E29" s="152">
        <f>E27+E28</f>
        <v>0.97000000000000008</v>
      </c>
    </row>
    <row r="31" spans="4:13" s="132" customFormat="1">
      <c r="L31" s="141" t="s">
        <v>124</v>
      </c>
      <c r="M31" s="135"/>
    </row>
    <row r="32" spans="4:13" s="132" customFormat="1">
      <c r="L32" s="151" t="s">
        <v>123</v>
      </c>
      <c r="M32" s="150"/>
    </row>
    <row r="33" spans="2:15" s="132" customFormat="1">
      <c r="I33" s="149">
        <v>30000</v>
      </c>
      <c r="J33" s="147">
        <f>I33*0.015/100</f>
        <v>4.5</v>
      </c>
      <c r="L33" s="133" t="s">
        <v>45</v>
      </c>
      <c r="O33" s="148">
        <v>0.75</v>
      </c>
    </row>
    <row r="34" spans="2:15" s="132" customFormat="1">
      <c r="J34" s="132">
        <v>14.74</v>
      </c>
      <c r="L34" s="133" t="s">
        <v>46</v>
      </c>
      <c r="O34" s="148">
        <v>0.3</v>
      </c>
    </row>
    <row r="35" spans="2:15" s="132" customFormat="1">
      <c r="J35" s="147">
        <f>J34-J33</f>
        <v>10.24</v>
      </c>
      <c r="L35" s="133" t="s">
        <v>122</v>
      </c>
      <c r="O35" s="146">
        <f>O33+O34</f>
        <v>1.05</v>
      </c>
    </row>
    <row r="36" spans="2:15" s="132" customFormat="1">
      <c r="L36" s="133" t="s">
        <v>48</v>
      </c>
      <c r="O36" s="144" t="s">
        <v>121</v>
      </c>
    </row>
    <row r="37" spans="2:15" s="132" customFormat="1">
      <c r="L37" s="133" t="s">
        <v>120</v>
      </c>
      <c r="O37" s="145" t="s">
        <v>119</v>
      </c>
    </row>
    <row r="38" spans="2:15" s="132" customFormat="1">
      <c r="L38" s="133" t="s">
        <v>118</v>
      </c>
      <c r="O38" s="144" t="s">
        <v>117</v>
      </c>
    </row>
    <row r="39" spans="2:15" s="132" customFormat="1">
      <c r="L39" s="133" t="s">
        <v>50</v>
      </c>
      <c r="O39" s="144" t="s">
        <v>116</v>
      </c>
    </row>
    <row r="46" spans="2:15" s="132" customFormat="1">
      <c r="B46" s="132" t="s">
        <v>11</v>
      </c>
      <c r="D46" s="133" t="s">
        <v>9</v>
      </c>
    </row>
    <row r="48" spans="2:15" s="132" customFormat="1">
      <c r="D48" s="141" t="s">
        <v>0</v>
      </c>
      <c r="E48" s="141"/>
      <c r="F48" s="133"/>
      <c r="G48" s="140" t="s">
        <v>6</v>
      </c>
      <c r="H48" s="140"/>
    </row>
    <row r="49" spans="2:8" s="132" customFormat="1">
      <c r="D49" s="132" t="s">
        <v>1</v>
      </c>
      <c r="E49" s="139">
        <v>5</v>
      </c>
      <c r="G49" s="132" t="s">
        <v>7</v>
      </c>
      <c r="H49" s="139">
        <v>90</v>
      </c>
    </row>
    <row r="50" spans="2:8" s="132" customFormat="1">
      <c r="D50" s="132" t="s">
        <v>2</v>
      </c>
      <c r="E50" s="139">
        <v>10</v>
      </c>
      <c r="G50" s="132" t="s">
        <v>10</v>
      </c>
      <c r="H50" s="139">
        <v>5</v>
      </c>
    </row>
    <row r="51" spans="2:8" s="132" customFormat="1">
      <c r="D51" s="132" t="s">
        <v>3</v>
      </c>
      <c r="E51" s="139">
        <v>80</v>
      </c>
      <c r="G51" s="132" t="s">
        <v>8</v>
      </c>
      <c r="H51" s="139">
        <f>E53-H49-H50</f>
        <v>5</v>
      </c>
    </row>
    <row r="52" spans="2:8" s="132" customFormat="1">
      <c r="D52" s="132" t="s">
        <v>4</v>
      </c>
      <c r="E52" s="139">
        <v>5</v>
      </c>
    </row>
    <row r="53" spans="2:8" s="132" customFormat="1">
      <c r="D53" s="59" t="s">
        <v>5</v>
      </c>
      <c r="E53" s="138">
        <f>SUM(E49:E52)</f>
        <v>100</v>
      </c>
      <c r="F53" s="133"/>
      <c r="G53" s="59" t="s">
        <v>5</v>
      </c>
      <c r="H53" s="138">
        <f>SUM(H49:H52)</f>
        <v>100</v>
      </c>
    </row>
    <row r="56" spans="2:8" s="132" customFormat="1">
      <c r="B56" s="132" t="s">
        <v>18</v>
      </c>
      <c r="D56" s="132" t="s">
        <v>13</v>
      </c>
      <c r="E56" s="143">
        <v>3</v>
      </c>
    </row>
    <row r="57" spans="2:8" s="132" customFormat="1">
      <c r="D57" s="132" t="s">
        <v>14</v>
      </c>
      <c r="E57" s="143">
        <v>-0.8</v>
      </c>
    </row>
    <row r="58" spans="2:8" s="132" customFormat="1">
      <c r="D58" s="132" t="s">
        <v>15</v>
      </c>
      <c r="E58" s="143">
        <v>0.9</v>
      </c>
    </row>
    <row r="59" spans="2:8" s="132" customFormat="1">
      <c r="D59" s="132" t="s">
        <v>16</v>
      </c>
      <c r="E59" s="143">
        <v>-2.5</v>
      </c>
    </row>
    <row r="60" spans="2:8" s="132" customFormat="1">
      <c r="D60" s="132" t="s">
        <v>17</v>
      </c>
      <c r="E60" s="142">
        <f>SUM(E56:E59)</f>
        <v>0.60000000000000009</v>
      </c>
    </row>
    <row r="63" spans="2:8" s="132" customFormat="1">
      <c r="B63" s="132" t="s">
        <v>12</v>
      </c>
      <c r="D63" s="133" t="s">
        <v>19</v>
      </c>
    </row>
    <row r="65" spans="2:8" s="132" customFormat="1">
      <c r="D65" s="141" t="s">
        <v>0</v>
      </c>
      <c r="E65" s="141"/>
      <c r="F65" s="133"/>
      <c r="G65" s="140" t="s">
        <v>6</v>
      </c>
      <c r="H65" s="140"/>
    </row>
    <row r="66" spans="2:8" s="132" customFormat="1">
      <c r="D66" s="132" t="s">
        <v>1</v>
      </c>
      <c r="E66" s="139">
        <v>5</v>
      </c>
      <c r="G66" s="132" t="s">
        <v>7</v>
      </c>
      <c r="H66" s="139">
        <v>94</v>
      </c>
    </row>
    <row r="67" spans="2:8" s="132" customFormat="1">
      <c r="D67" s="132" t="s">
        <v>2</v>
      </c>
      <c r="E67" s="139">
        <v>10</v>
      </c>
      <c r="G67" s="132" t="s">
        <v>10</v>
      </c>
      <c r="H67" s="139">
        <v>5</v>
      </c>
    </row>
    <row r="68" spans="2:8" s="132" customFormat="1">
      <c r="D68" s="132" t="s">
        <v>3</v>
      </c>
      <c r="E68" s="139">
        <v>80</v>
      </c>
      <c r="G68" s="132" t="s">
        <v>8</v>
      </c>
      <c r="H68" s="139">
        <f>E70-H66-H67</f>
        <v>1</v>
      </c>
    </row>
    <row r="69" spans="2:8" s="132" customFormat="1">
      <c r="D69" s="132" t="s">
        <v>4</v>
      </c>
      <c r="E69" s="139">
        <v>5</v>
      </c>
    </row>
    <row r="70" spans="2:8" s="132" customFormat="1">
      <c r="D70" s="59" t="s">
        <v>5</v>
      </c>
      <c r="E70" s="138">
        <f>SUM(E66:E69)</f>
        <v>100</v>
      </c>
      <c r="F70" s="133"/>
      <c r="G70" s="59" t="s">
        <v>5</v>
      </c>
      <c r="H70" s="138">
        <f>SUM(H66:H69)</f>
        <v>100</v>
      </c>
    </row>
    <row r="73" spans="2:8" s="132" customFormat="1">
      <c r="B73" s="132" t="s">
        <v>20</v>
      </c>
      <c r="D73" s="133" t="s">
        <v>21</v>
      </c>
    </row>
    <row r="75" spans="2:8" s="132" customFormat="1">
      <c r="D75" s="141" t="s">
        <v>0</v>
      </c>
      <c r="E75" s="141"/>
      <c r="F75" s="133"/>
      <c r="G75" s="140" t="s">
        <v>6</v>
      </c>
      <c r="H75" s="140"/>
    </row>
    <row r="76" spans="2:8" s="132" customFormat="1">
      <c r="D76" s="132" t="s">
        <v>22</v>
      </c>
      <c r="E76" s="139">
        <v>90</v>
      </c>
      <c r="G76" s="132" t="s">
        <v>24</v>
      </c>
      <c r="H76" s="139">
        <v>80</v>
      </c>
    </row>
    <row r="77" spans="2:8" s="132" customFormat="1">
      <c r="D77" s="132" t="s">
        <v>23</v>
      </c>
      <c r="E77" s="139">
        <v>10</v>
      </c>
      <c r="G77" s="132" t="s">
        <v>10</v>
      </c>
      <c r="H77" s="139">
        <v>10</v>
      </c>
    </row>
    <row r="78" spans="2:8" s="132" customFormat="1">
      <c r="E78" s="139"/>
      <c r="G78" s="132" t="s">
        <v>8</v>
      </c>
      <c r="H78" s="139">
        <f>E79-H76-H77</f>
        <v>10</v>
      </c>
    </row>
    <row r="79" spans="2:8" s="132" customFormat="1">
      <c r="D79" s="59" t="s">
        <v>5</v>
      </c>
      <c r="E79" s="138">
        <f>SUM(E76:E78)</f>
        <v>100</v>
      </c>
      <c r="F79" s="133"/>
      <c r="G79" s="59" t="s">
        <v>5</v>
      </c>
      <c r="H79" s="138">
        <f>SUM(H76:H78)</f>
        <v>100</v>
      </c>
    </row>
    <row r="82" spans="2:8" s="132" customFormat="1">
      <c r="B82" s="132" t="s">
        <v>25</v>
      </c>
      <c r="D82" s="133" t="s">
        <v>26</v>
      </c>
    </row>
    <row r="84" spans="2:8" s="132" customFormat="1">
      <c r="D84" s="141" t="s">
        <v>0</v>
      </c>
      <c r="E84" s="141"/>
      <c r="F84" s="133"/>
      <c r="G84" s="140" t="s">
        <v>6</v>
      </c>
      <c r="H84" s="140"/>
    </row>
    <row r="85" spans="2:8" s="132" customFormat="1">
      <c r="D85" s="132" t="s">
        <v>22</v>
      </c>
      <c r="E85" s="139">
        <v>90</v>
      </c>
      <c r="G85" s="132" t="s">
        <v>24</v>
      </c>
      <c r="H85" s="139">
        <v>45</v>
      </c>
    </row>
    <row r="86" spans="2:8" s="132" customFormat="1">
      <c r="D86" s="132" t="s">
        <v>23</v>
      </c>
      <c r="E86" s="139">
        <v>10</v>
      </c>
      <c r="G86" s="132" t="s">
        <v>27</v>
      </c>
      <c r="H86" s="139">
        <v>15</v>
      </c>
    </row>
    <row r="87" spans="2:8" s="132" customFormat="1">
      <c r="E87" s="139"/>
      <c r="G87" s="132" t="s">
        <v>10</v>
      </c>
      <c r="H87" s="139">
        <v>10</v>
      </c>
    </row>
    <row r="88" spans="2:8" s="132" customFormat="1">
      <c r="E88" s="139"/>
      <c r="G88" s="132" t="s">
        <v>8</v>
      </c>
      <c r="H88" s="139">
        <f>E89-SUM(H85:H87)</f>
        <v>30</v>
      </c>
    </row>
    <row r="89" spans="2:8" s="132" customFormat="1">
      <c r="D89" s="59" t="s">
        <v>5</v>
      </c>
      <c r="E89" s="138">
        <f>SUM(E85:E88)</f>
        <v>100</v>
      </c>
      <c r="F89" s="133"/>
      <c r="G89" s="59" t="s">
        <v>5</v>
      </c>
      <c r="H89" s="138">
        <f>SUM(H85:H88)</f>
        <v>100</v>
      </c>
    </row>
    <row r="92" spans="2:8" s="132" customFormat="1">
      <c r="B92" s="132" t="s">
        <v>44</v>
      </c>
      <c r="D92" s="137" t="s">
        <v>52</v>
      </c>
    </row>
    <row r="94" spans="2:8" s="132" customFormat="1">
      <c r="D94" s="132" t="s">
        <v>45</v>
      </c>
      <c r="E94" s="136">
        <v>0.75</v>
      </c>
    </row>
    <row r="95" spans="2:8" s="132" customFormat="1">
      <c r="D95" s="132" t="s">
        <v>46</v>
      </c>
      <c r="E95" s="136">
        <v>0.3</v>
      </c>
    </row>
    <row r="96" spans="2:8" s="132" customFormat="1">
      <c r="D96" s="135" t="s">
        <v>47</v>
      </c>
      <c r="E96" s="134">
        <f>+E94+E95</f>
        <v>1.05</v>
      </c>
    </row>
    <row r="97" spans="4:5" s="132" customFormat="1">
      <c r="D97" s="132" t="s">
        <v>48</v>
      </c>
      <c r="E97" s="136">
        <v>0.01</v>
      </c>
    </row>
    <row r="98" spans="4:5" s="132" customFormat="1">
      <c r="D98" s="132" t="s">
        <v>49</v>
      </c>
      <c r="E98" s="136">
        <f>+E96+E97</f>
        <v>1.06</v>
      </c>
    </row>
    <row r="99" spans="4:5" s="132" customFormat="1">
      <c r="D99" s="132" t="s">
        <v>51</v>
      </c>
      <c r="E99" s="136">
        <v>-0.09</v>
      </c>
    </row>
    <row r="100" spans="4:5" s="132" customFormat="1">
      <c r="D100" s="135" t="s">
        <v>50</v>
      </c>
      <c r="E100" s="134">
        <f>+E98+E99</f>
        <v>0.97000000000000008</v>
      </c>
    </row>
    <row r="104" spans="4:5" s="132" customFormat="1">
      <c r="D104" s="133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697E-10D9-4FB2-9585-591FA31892EC}">
  <dimension ref="B3:E10"/>
  <sheetViews>
    <sheetView workbookViewId="0">
      <selection activeCell="E10" sqref="E10"/>
    </sheetView>
  </sheetViews>
  <sheetFormatPr defaultRowHeight="15"/>
  <sheetData>
    <row r="3" spans="2:5">
      <c r="D3" s="160" t="s">
        <v>133</v>
      </c>
      <c r="E3" s="160">
        <v>704.3</v>
      </c>
    </row>
    <row r="4" spans="2:5">
      <c r="B4" t="s">
        <v>132</v>
      </c>
      <c r="D4">
        <v>40</v>
      </c>
      <c r="E4">
        <v>35</v>
      </c>
    </row>
    <row r="5" spans="2:5">
      <c r="B5" t="s">
        <v>131</v>
      </c>
      <c r="D5" s="101">
        <v>0.75</v>
      </c>
      <c r="E5" s="101">
        <v>0.7</v>
      </c>
    </row>
    <row r="6" spans="2:5">
      <c r="B6" t="s">
        <v>130</v>
      </c>
      <c r="D6">
        <v>20</v>
      </c>
      <c r="E6">
        <v>18</v>
      </c>
    </row>
    <row r="7" spans="2:5">
      <c r="D7">
        <f>D6*D5</f>
        <v>15</v>
      </c>
      <c r="E7" s="131">
        <f>E6*E5</f>
        <v>12.6</v>
      </c>
    </row>
    <row r="8" spans="2:5">
      <c r="B8" t="s">
        <v>129</v>
      </c>
      <c r="D8" s="108">
        <f>D7/D4</f>
        <v>0.375</v>
      </c>
      <c r="E8" s="83">
        <f>E7/E4</f>
        <v>0.36</v>
      </c>
    </row>
    <row r="10" spans="2:5">
      <c r="E10" s="159">
        <f>E6*E5</f>
        <v>12.6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525-58C9-47BF-B1D8-F7547EBC3162}">
  <dimension ref="C3:Q12"/>
  <sheetViews>
    <sheetView workbookViewId="0">
      <selection activeCell="P12" sqref="P12"/>
    </sheetView>
  </sheetViews>
  <sheetFormatPr defaultRowHeight="15"/>
  <cols>
    <col min="4" max="4" width="13.28515625" bestFit="1" customWidth="1"/>
    <col min="16" max="16" width="10.5703125" bestFit="1" customWidth="1"/>
  </cols>
  <sheetData>
    <row r="3" spans="3:17">
      <c r="C3" t="s">
        <v>136</v>
      </c>
      <c r="D3" s="84">
        <v>9.3000000000000007</v>
      </c>
      <c r="E3" s="84">
        <f>D3</f>
        <v>9.3000000000000007</v>
      </c>
      <c r="F3" s="84">
        <f>D3</f>
        <v>9.3000000000000007</v>
      </c>
    </row>
    <row r="4" spans="3:17">
      <c r="C4" t="s">
        <v>135</v>
      </c>
      <c r="D4" s="84">
        <v>0.5</v>
      </c>
      <c r="E4" s="84"/>
      <c r="F4" s="84">
        <f>D4</f>
        <v>0.5</v>
      </c>
      <c r="P4">
        <v>100</v>
      </c>
    </row>
    <row r="5" spans="3:17">
      <c r="C5" t="s">
        <v>134</v>
      </c>
      <c r="D5" s="84">
        <v>1</v>
      </c>
      <c r="E5" s="84"/>
      <c r="F5" s="84">
        <f>D5</f>
        <v>1</v>
      </c>
      <c r="O5" s="164">
        <v>7.0000000000000007E-2</v>
      </c>
      <c r="P5">
        <f>P4*(1+O5)</f>
        <v>107</v>
      </c>
    </row>
    <row r="6" spans="3:17">
      <c r="D6" s="84">
        <f>SUM(D3:D5)</f>
        <v>10.8</v>
      </c>
      <c r="E6" s="84">
        <f>SUM(E3:E5)</f>
        <v>9.3000000000000007</v>
      </c>
      <c r="F6" s="84">
        <f>D6</f>
        <v>10.8</v>
      </c>
      <c r="O6" s="164">
        <v>0.15</v>
      </c>
      <c r="P6">
        <f>P5*(1+O6)</f>
        <v>123.05</v>
      </c>
    </row>
    <row r="7" spans="3:17">
      <c r="D7" s="166">
        <v>1.2</v>
      </c>
      <c r="E7" s="166">
        <v>1.2</v>
      </c>
      <c r="F7" s="166">
        <v>1.2</v>
      </c>
      <c r="O7" s="164">
        <v>0.2</v>
      </c>
      <c r="P7">
        <f>P6*(1+O7)</f>
        <v>147.66</v>
      </c>
    </row>
    <row r="8" spans="3:17">
      <c r="D8" s="165">
        <f>D6/D7</f>
        <v>9.0000000000000018</v>
      </c>
      <c r="E8" s="165">
        <f>E6/E7</f>
        <v>7.7500000000000009</v>
      </c>
      <c r="F8" s="165">
        <f>F6/F7</f>
        <v>9.0000000000000018</v>
      </c>
      <c r="O8" s="164">
        <v>0.05</v>
      </c>
      <c r="P8">
        <f>P7*(1+O8)</f>
        <v>155.04300000000001</v>
      </c>
    </row>
    <row r="9" spans="3:17">
      <c r="O9" s="164">
        <v>0.18</v>
      </c>
      <c r="P9">
        <f>P8*(1+O9)</f>
        <v>182.95074</v>
      </c>
    </row>
    <row r="10" spans="3:17">
      <c r="O10" s="163">
        <f>AVERAGE(O5:O9)</f>
        <v>0.13</v>
      </c>
      <c r="P10" s="99">
        <f>(P9/P4)^(1/5)-1</f>
        <v>0.12840976060323372</v>
      </c>
    </row>
    <row r="11" spans="3:17">
      <c r="P11" s="162">
        <f>_xlfn.VAR.P(O5:O9)</f>
        <v>3.5600000000000011E-3</v>
      </c>
      <c r="Q11" s="99">
        <f>SQRT(P11)</f>
        <v>5.9665735560705202E-2</v>
      </c>
    </row>
    <row r="12" spans="3:17">
      <c r="P12" s="161">
        <f>O10-P11/2</f>
        <v>0.12822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A9A9-20A1-4BC0-9EFC-016DD768E616}">
  <dimension ref="A2:K23"/>
  <sheetViews>
    <sheetView showGridLines="0" workbookViewId="0">
      <selection activeCell="K23" sqref="K23"/>
    </sheetView>
  </sheetViews>
  <sheetFormatPr defaultRowHeight="15"/>
  <cols>
    <col min="2" max="10" width="9.7109375" customWidth="1"/>
  </cols>
  <sheetData>
    <row r="2" spans="1:11">
      <c r="B2" s="190" t="s">
        <v>156</v>
      </c>
      <c r="C2" s="190"/>
      <c r="D2" s="190"/>
      <c r="E2" s="190"/>
      <c r="F2" s="190"/>
      <c r="G2" s="190"/>
    </row>
    <row r="3" spans="1:11">
      <c r="B3" s="187" t="s">
        <v>155</v>
      </c>
      <c r="C3" s="187" t="s">
        <v>154</v>
      </c>
      <c r="D3" s="189" t="s">
        <v>149</v>
      </c>
      <c r="E3" s="174" t="s">
        <v>153</v>
      </c>
      <c r="F3" s="174" t="s">
        <v>5</v>
      </c>
      <c r="G3" s="174" t="s">
        <v>152</v>
      </c>
      <c r="H3" s="174"/>
    </row>
    <row r="4" spans="1:11">
      <c r="B4" s="180" t="s">
        <v>68</v>
      </c>
      <c r="C4" s="180" t="s">
        <v>150</v>
      </c>
      <c r="D4" s="180" t="s">
        <v>151</v>
      </c>
      <c r="E4" s="180" t="s">
        <v>150</v>
      </c>
      <c r="F4" s="180" t="s">
        <v>150</v>
      </c>
      <c r="G4" s="180" t="s">
        <v>149</v>
      </c>
      <c r="H4" s="187"/>
    </row>
    <row r="5" spans="1:11">
      <c r="B5" s="187" t="s">
        <v>148</v>
      </c>
      <c r="C5" s="187"/>
      <c r="D5" s="187"/>
      <c r="E5" s="188">
        <v>0.2</v>
      </c>
      <c r="F5" s="187" t="s">
        <v>147</v>
      </c>
      <c r="G5" s="187" t="s">
        <v>146</v>
      </c>
      <c r="H5" s="187"/>
    </row>
    <row r="6" spans="1:11" ht="8.1" customHeight="1">
      <c r="B6" s="187"/>
      <c r="C6" s="187"/>
      <c r="D6" s="187"/>
      <c r="E6" s="187"/>
      <c r="F6" s="187"/>
      <c r="G6" s="187"/>
      <c r="H6" s="187"/>
    </row>
    <row r="7" spans="1:11">
      <c r="A7">
        <v>1</v>
      </c>
      <c r="B7" s="83">
        <v>-0.03</v>
      </c>
      <c r="C7" s="83">
        <v>0.01</v>
      </c>
      <c r="D7" s="186">
        <f>B7-C7</f>
        <v>-0.04</v>
      </c>
      <c r="E7" s="161">
        <f>MAX($E$5*D7,0)</f>
        <v>0</v>
      </c>
      <c r="F7" s="100">
        <f>C7+E7</f>
        <v>0.01</v>
      </c>
      <c r="G7" s="100">
        <f>B7-F7</f>
        <v>-0.04</v>
      </c>
      <c r="H7" s="100"/>
      <c r="K7" s="103"/>
    </row>
    <row r="8" spans="1:11">
      <c r="A8">
        <v>2</v>
      </c>
      <c r="B8" s="83">
        <v>0.01</v>
      </c>
      <c r="C8" s="83">
        <f>$C$7</f>
        <v>0.01</v>
      </c>
      <c r="D8" s="186">
        <f>B8-C8</f>
        <v>0</v>
      </c>
      <c r="E8" s="161">
        <f>MAX($E$5*D8,0)</f>
        <v>0</v>
      </c>
      <c r="F8" s="100">
        <f>C8+E8</f>
        <v>0.01</v>
      </c>
      <c r="G8" s="100">
        <f>B8-F8</f>
        <v>0</v>
      </c>
      <c r="H8" s="100"/>
      <c r="K8" s="103"/>
    </row>
    <row r="9" spans="1:11">
      <c r="A9">
        <v>3</v>
      </c>
      <c r="B9" s="83">
        <v>0.11</v>
      </c>
      <c r="C9" s="83">
        <f>$C$7</f>
        <v>0.01</v>
      </c>
      <c r="D9" s="186">
        <f>B9-C9</f>
        <v>0.1</v>
      </c>
      <c r="E9" s="161">
        <f>MAX($E$5*D9,0)</f>
        <v>2.0000000000000004E-2</v>
      </c>
      <c r="F9" s="100">
        <f>C9+E9</f>
        <v>3.0000000000000006E-2</v>
      </c>
      <c r="G9" s="100">
        <f>B9-F9</f>
        <v>7.9999999999999988E-2</v>
      </c>
      <c r="H9" s="100"/>
      <c r="K9" s="103"/>
    </row>
    <row r="10" spans="1:11">
      <c r="A10">
        <v>4</v>
      </c>
      <c r="B10" s="185">
        <v>0.21</v>
      </c>
      <c r="C10" s="185">
        <f>$C$7</f>
        <v>0.01</v>
      </c>
      <c r="D10" s="184">
        <f>B10-C10</f>
        <v>0.19999999999999998</v>
      </c>
      <c r="E10" s="183">
        <f>MAX($E$5*D10,0)</f>
        <v>0.04</v>
      </c>
      <c r="F10" s="182">
        <f>C10+E10</f>
        <v>0.05</v>
      </c>
      <c r="G10" s="182">
        <f>B10-F10</f>
        <v>0.15999999999999998</v>
      </c>
      <c r="H10" s="100"/>
      <c r="K10" s="103"/>
    </row>
    <row r="11" spans="1:11">
      <c r="A11" s="174" t="s">
        <v>145</v>
      </c>
      <c r="B11" s="181">
        <f>AVERAGE(B7:B10)</f>
        <v>7.4999999999999997E-2</v>
      </c>
      <c r="C11" s="169">
        <f>AVERAGE(C7:C10)</f>
        <v>0.01</v>
      </c>
      <c r="E11" s="169">
        <f>AVERAGE(E7:E10)</f>
        <v>1.5000000000000001E-2</v>
      </c>
      <c r="F11" s="169">
        <f>AVERAGE(F7:F10)</f>
        <v>2.5000000000000001E-2</v>
      </c>
      <c r="G11" s="167">
        <f>AVERAGE(G7:G10)</f>
        <v>4.9999999999999989E-2</v>
      </c>
      <c r="H11" s="100"/>
      <c r="K11" s="163"/>
    </row>
    <row r="12" spans="1:11" ht="8.1" customHeight="1"/>
    <row r="13" spans="1:11">
      <c r="E13" s="94"/>
      <c r="F13" s="180" t="s">
        <v>144</v>
      </c>
    </row>
    <row r="14" spans="1:11">
      <c r="D14" s="179"/>
      <c r="F14" s="174" t="s">
        <v>143</v>
      </c>
      <c r="G14" s="178">
        <v>0.01</v>
      </c>
      <c r="J14" s="101"/>
    </row>
    <row r="15" spans="1:11">
      <c r="C15" s="177"/>
      <c r="F15" s="176" t="s">
        <v>142</v>
      </c>
      <c r="G15" s="167">
        <f>10%*(G11-G14)</f>
        <v>3.9999999999999992E-3</v>
      </c>
      <c r="J15" s="101"/>
    </row>
    <row r="16" spans="1:11">
      <c r="C16" s="177"/>
      <c r="F16" s="176"/>
      <c r="G16" s="175" t="str">
        <f>"= 10% * ("&amp;TEXT(G11,"0.00%")&amp;" - 1.00%)"</f>
        <v>= 10% * (5.00% - 1.00%)</v>
      </c>
      <c r="H16" s="125"/>
      <c r="J16" s="101"/>
    </row>
    <row r="17" spans="3:10" ht="8.1" customHeight="1">
      <c r="C17" s="177"/>
      <c r="F17" s="176"/>
      <c r="G17" s="175"/>
      <c r="H17" s="125"/>
      <c r="J17" s="101"/>
    </row>
    <row r="18" spans="3:10">
      <c r="E18" s="174"/>
      <c r="F18" s="173" t="s">
        <v>141</v>
      </c>
      <c r="G18" s="172">
        <f>G14+G15</f>
        <v>1.3999999999999999E-2</v>
      </c>
      <c r="J18" s="171"/>
    </row>
    <row r="19" spans="3:10" ht="8.1" customHeight="1"/>
    <row r="20" spans="3:10">
      <c r="F20" s="130" t="s">
        <v>140</v>
      </c>
      <c r="G20" s="170">
        <f>B11</f>
        <v>7.4999999999999997E-2</v>
      </c>
      <c r="J20" s="163"/>
    </row>
    <row r="21" spans="3:10">
      <c r="F21" s="130" t="s">
        <v>139</v>
      </c>
      <c r="G21" s="169">
        <f>F11</f>
        <v>2.5000000000000001E-2</v>
      </c>
    </row>
    <row r="22" spans="3:10">
      <c r="F22" s="130" t="s">
        <v>138</v>
      </c>
      <c r="G22" s="168">
        <f>G18</f>
        <v>1.3999999999999999E-2</v>
      </c>
      <c r="J22" s="103"/>
    </row>
    <row r="23" spans="3:10">
      <c r="F23" s="130" t="s">
        <v>137</v>
      </c>
      <c r="G23" s="167">
        <f>G11-G18</f>
        <v>3.599999999999999E-2</v>
      </c>
      <c r="J23" s="10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61"/>
  <sheetViews>
    <sheetView showGridLines="0" workbookViewId="0"/>
  </sheetViews>
  <sheetFormatPr defaultColWidth="8.85546875" defaultRowHeight="14.25"/>
  <cols>
    <col min="1" max="3" width="8.85546875" style="1"/>
    <col min="4" max="4" width="25.7109375" style="1" customWidth="1"/>
    <col min="5" max="5" width="8.85546875" style="1"/>
    <col min="6" max="6" width="2.7109375" style="1" customWidth="1"/>
    <col min="7" max="7" width="25.7109375" style="1" customWidth="1"/>
    <col min="8" max="16384" width="8.85546875" style="1"/>
  </cols>
  <sheetData>
    <row r="3" spans="2:8" ht="15">
      <c r="B3" s="1" t="s">
        <v>11</v>
      </c>
      <c r="D3" s="3" t="s">
        <v>9</v>
      </c>
    </row>
    <row r="5" spans="2:8" ht="15">
      <c r="D5" s="5" t="s">
        <v>0</v>
      </c>
      <c r="E5" s="5"/>
      <c r="F5" s="3"/>
      <c r="G5" s="6" t="s">
        <v>6</v>
      </c>
      <c r="H5" s="6"/>
    </row>
    <row r="6" spans="2:8">
      <c r="D6" s="1" t="s">
        <v>1</v>
      </c>
      <c r="E6" s="2">
        <v>5</v>
      </c>
      <c r="G6" s="1" t="s">
        <v>7</v>
      </c>
      <c r="H6" s="2">
        <v>90</v>
      </c>
    </row>
    <row r="7" spans="2:8">
      <c r="D7" s="1" t="s">
        <v>2</v>
      </c>
      <c r="E7" s="2">
        <v>10</v>
      </c>
      <c r="G7" s="1" t="s">
        <v>10</v>
      </c>
      <c r="H7" s="2">
        <v>5</v>
      </c>
    </row>
    <row r="8" spans="2:8">
      <c r="D8" s="1" t="s">
        <v>3</v>
      </c>
      <c r="E8" s="2">
        <v>80</v>
      </c>
      <c r="G8" s="1" t="s">
        <v>8</v>
      </c>
      <c r="H8" s="2">
        <f>E10-H6-H7</f>
        <v>5</v>
      </c>
    </row>
    <row r="9" spans="2:8">
      <c r="D9" s="1" t="s">
        <v>4</v>
      </c>
      <c r="E9" s="2">
        <v>5</v>
      </c>
    </row>
    <row r="10" spans="2:8" ht="15">
      <c r="D10" s="4" t="s">
        <v>5</v>
      </c>
      <c r="E10" s="8">
        <f>SUM(E6:E9)</f>
        <v>100</v>
      </c>
      <c r="F10" s="3"/>
      <c r="G10" s="4" t="s">
        <v>5</v>
      </c>
      <c r="H10" s="8">
        <f>SUM(H6:H9)</f>
        <v>100</v>
      </c>
    </row>
    <row r="13" spans="2:8">
      <c r="B13" s="1" t="s">
        <v>18</v>
      </c>
      <c r="D13" s="1" t="s">
        <v>13</v>
      </c>
      <c r="E13" s="9">
        <v>3</v>
      </c>
    </row>
    <row r="14" spans="2:8">
      <c r="D14" s="1" t="s">
        <v>14</v>
      </c>
      <c r="E14" s="9">
        <v>-0.8</v>
      </c>
    </row>
    <row r="15" spans="2:8">
      <c r="D15" s="1" t="s">
        <v>15</v>
      </c>
      <c r="E15" s="9">
        <v>0.9</v>
      </c>
    </row>
    <row r="16" spans="2:8">
      <c r="D16" s="1" t="s">
        <v>16</v>
      </c>
      <c r="E16" s="9">
        <v>-2.5</v>
      </c>
    </row>
    <row r="17" spans="2:8" ht="15">
      <c r="D17" s="1" t="s">
        <v>17</v>
      </c>
      <c r="E17" s="7">
        <f>SUM(E13:E16)</f>
        <v>0.60000000000000009</v>
      </c>
    </row>
    <row r="20" spans="2:8" ht="15">
      <c r="B20" s="1" t="s">
        <v>12</v>
      </c>
      <c r="D20" s="3" t="s">
        <v>19</v>
      </c>
    </row>
    <row r="22" spans="2:8" ht="15">
      <c r="D22" s="5" t="s">
        <v>0</v>
      </c>
      <c r="E22" s="5"/>
      <c r="F22" s="3"/>
      <c r="G22" s="6" t="s">
        <v>6</v>
      </c>
      <c r="H22" s="6"/>
    </row>
    <row r="23" spans="2:8">
      <c r="D23" s="1" t="s">
        <v>1</v>
      </c>
      <c r="E23" s="2">
        <v>5</v>
      </c>
      <c r="G23" s="1" t="s">
        <v>7</v>
      </c>
      <c r="H23" s="2">
        <v>94</v>
      </c>
    </row>
    <row r="24" spans="2:8">
      <c r="D24" s="1" t="s">
        <v>2</v>
      </c>
      <c r="E24" s="2">
        <v>10</v>
      </c>
      <c r="G24" s="1" t="s">
        <v>10</v>
      </c>
      <c r="H24" s="2">
        <v>5</v>
      </c>
    </row>
    <row r="25" spans="2:8">
      <c r="D25" s="1" t="s">
        <v>3</v>
      </c>
      <c r="E25" s="2">
        <v>80</v>
      </c>
      <c r="G25" s="1" t="s">
        <v>8</v>
      </c>
      <c r="H25" s="2">
        <f>E27-H23-H24</f>
        <v>1</v>
      </c>
    </row>
    <row r="26" spans="2:8">
      <c r="D26" s="1" t="s">
        <v>4</v>
      </c>
      <c r="E26" s="2">
        <v>5</v>
      </c>
    </row>
    <row r="27" spans="2:8" ht="15">
      <c r="D27" s="4" t="s">
        <v>5</v>
      </c>
      <c r="E27" s="8">
        <f>SUM(E23:E26)</f>
        <v>100</v>
      </c>
      <c r="F27" s="3"/>
      <c r="G27" s="4" t="s">
        <v>5</v>
      </c>
      <c r="H27" s="8">
        <f>SUM(H23:H26)</f>
        <v>100</v>
      </c>
    </row>
    <row r="30" spans="2:8" ht="15">
      <c r="B30" s="1" t="s">
        <v>20</v>
      </c>
      <c r="D30" s="3" t="s">
        <v>21</v>
      </c>
    </row>
    <row r="32" spans="2:8" ht="15">
      <c r="D32" s="5" t="s">
        <v>0</v>
      </c>
      <c r="E32" s="5"/>
      <c r="F32" s="3"/>
      <c r="G32" s="6" t="s">
        <v>6</v>
      </c>
      <c r="H32" s="6"/>
    </row>
    <row r="33" spans="2:8">
      <c r="D33" s="1" t="s">
        <v>22</v>
      </c>
      <c r="E33" s="2">
        <v>90</v>
      </c>
      <c r="G33" s="1" t="s">
        <v>24</v>
      </c>
      <c r="H33" s="2">
        <v>80</v>
      </c>
    </row>
    <row r="34" spans="2:8">
      <c r="D34" s="1" t="s">
        <v>23</v>
      </c>
      <c r="E34" s="2">
        <v>10</v>
      </c>
      <c r="G34" s="1" t="s">
        <v>10</v>
      </c>
      <c r="H34" s="2">
        <v>10</v>
      </c>
    </row>
    <row r="35" spans="2:8">
      <c r="E35" s="2"/>
      <c r="G35" s="1" t="s">
        <v>8</v>
      </c>
      <c r="H35" s="2">
        <f>E36-H33-H34</f>
        <v>10</v>
      </c>
    </row>
    <row r="36" spans="2:8" ht="15">
      <c r="D36" s="4" t="s">
        <v>5</v>
      </c>
      <c r="E36" s="8">
        <f>SUM(E33:E35)</f>
        <v>100</v>
      </c>
      <c r="F36" s="3"/>
      <c r="G36" s="4" t="s">
        <v>5</v>
      </c>
      <c r="H36" s="8">
        <f>SUM(H33:H35)</f>
        <v>100</v>
      </c>
    </row>
    <row r="39" spans="2:8" ht="15">
      <c r="B39" s="1" t="s">
        <v>25</v>
      </c>
      <c r="D39" s="3" t="s">
        <v>26</v>
      </c>
    </row>
    <row r="41" spans="2:8" ht="15">
      <c r="D41" s="5" t="s">
        <v>0</v>
      </c>
      <c r="E41" s="5"/>
      <c r="F41" s="3"/>
      <c r="G41" s="6" t="s">
        <v>6</v>
      </c>
      <c r="H41" s="6"/>
    </row>
    <row r="42" spans="2:8">
      <c r="D42" s="1" t="s">
        <v>22</v>
      </c>
      <c r="E42" s="2">
        <v>90</v>
      </c>
      <c r="G42" s="1" t="s">
        <v>24</v>
      </c>
      <c r="H42" s="2">
        <v>45</v>
      </c>
    </row>
    <row r="43" spans="2:8">
      <c r="D43" s="1" t="s">
        <v>23</v>
      </c>
      <c r="E43" s="2">
        <v>10</v>
      </c>
      <c r="G43" s="1" t="s">
        <v>27</v>
      </c>
      <c r="H43" s="2">
        <v>15</v>
      </c>
    </row>
    <row r="44" spans="2:8">
      <c r="E44" s="2"/>
      <c r="G44" s="1" t="s">
        <v>10</v>
      </c>
      <c r="H44" s="2">
        <v>10</v>
      </c>
    </row>
    <row r="45" spans="2:8">
      <c r="E45" s="2"/>
      <c r="G45" s="1" t="s">
        <v>8</v>
      </c>
      <c r="H45" s="2">
        <f>E46-SUM(H42:H44)</f>
        <v>30</v>
      </c>
    </row>
    <row r="46" spans="2:8" ht="15">
      <c r="D46" s="4" t="s">
        <v>5</v>
      </c>
      <c r="E46" s="8">
        <f>SUM(E42:E45)</f>
        <v>100</v>
      </c>
      <c r="F46" s="3"/>
      <c r="G46" s="4" t="s">
        <v>5</v>
      </c>
      <c r="H46" s="8">
        <f>SUM(H42:H45)</f>
        <v>100</v>
      </c>
    </row>
    <row r="49" spans="2:5" ht="15">
      <c r="B49" s="1" t="s">
        <v>44</v>
      </c>
      <c r="D49" s="32" t="s">
        <v>52</v>
      </c>
    </row>
    <row r="51" spans="2:5">
      <c r="D51" s="1" t="s">
        <v>45</v>
      </c>
      <c r="E51" s="31">
        <v>0.75</v>
      </c>
    </row>
    <row r="52" spans="2:5">
      <c r="D52" s="1" t="s">
        <v>46</v>
      </c>
      <c r="E52" s="31">
        <v>0.3</v>
      </c>
    </row>
    <row r="53" spans="2:5">
      <c r="D53" s="33" t="s">
        <v>47</v>
      </c>
      <c r="E53" s="34">
        <f>+E51+E52</f>
        <v>1.05</v>
      </c>
    </row>
    <row r="54" spans="2:5">
      <c r="D54" s="1" t="s">
        <v>48</v>
      </c>
      <c r="E54" s="31">
        <v>0.01</v>
      </c>
    </row>
    <row r="55" spans="2:5">
      <c r="D55" s="1" t="s">
        <v>49</v>
      </c>
      <c r="E55" s="31">
        <f>+E53+E54</f>
        <v>1.06</v>
      </c>
    </row>
    <row r="56" spans="2:5">
      <c r="D56" s="1" t="s">
        <v>51</v>
      </c>
      <c r="E56" s="31">
        <v>-0.09</v>
      </c>
    </row>
    <row r="57" spans="2:5">
      <c r="D57" s="33" t="s">
        <v>50</v>
      </c>
      <c r="E57" s="34">
        <f>+E55+E56</f>
        <v>0.97000000000000008</v>
      </c>
    </row>
    <row r="61" spans="2:5" ht="15">
      <c r="D61" s="3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EFDA-7A90-4CBA-96D5-A395A2691493}">
  <dimension ref="A2:K22"/>
  <sheetViews>
    <sheetView showGridLines="0" workbookViewId="0">
      <selection activeCell="M35" sqref="M35"/>
    </sheetView>
  </sheetViews>
  <sheetFormatPr defaultRowHeight="15"/>
  <cols>
    <col min="1" max="1" width="5.5703125" customWidth="1"/>
    <col min="2" max="8" width="9.7109375" customWidth="1"/>
    <col min="9" max="9" width="11.7109375" customWidth="1"/>
    <col min="10" max="10" width="9.7109375" customWidth="1"/>
  </cols>
  <sheetData>
    <row r="2" spans="1:11">
      <c r="C2" s="190" t="s">
        <v>156</v>
      </c>
      <c r="D2" s="190"/>
      <c r="E2" s="190"/>
      <c r="F2" s="190"/>
    </row>
    <row r="3" spans="1:11">
      <c r="B3" s="187"/>
      <c r="C3" s="187" t="s">
        <v>154</v>
      </c>
      <c r="D3" s="189" t="s">
        <v>149</v>
      </c>
      <c r="E3" s="174" t="s">
        <v>153</v>
      </c>
      <c r="F3" s="174" t="s">
        <v>5</v>
      </c>
      <c r="G3" s="174" t="s">
        <v>152</v>
      </c>
      <c r="H3" s="174"/>
    </row>
    <row r="4" spans="1:11">
      <c r="B4" s="180" t="s">
        <v>68</v>
      </c>
      <c r="C4" s="180" t="s">
        <v>150</v>
      </c>
      <c r="D4" s="180" t="s">
        <v>151</v>
      </c>
      <c r="E4" s="180" t="s">
        <v>150</v>
      </c>
      <c r="F4" s="180" t="s">
        <v>150</v>
      </c>
      <c r="G4" s="180" t="s">
        <v>149</v>
      </c>
      <c r="H4" s="187"/>
    </row>
    <row r="5" spans="1:11">
      <c r="B5" s="187" t="s">
        <v>148</v>
      </c>
      <c r="C5" s="187"/>
      <c r="D5" s="187"/>
      <c r="E5" s="188">
        <v>0.2</v>
      </c>
      <c r="F5" s="187" t="s">
        <v>147</v>
      </c>
      <c r="G5" s="187" t="s">
        <v>146</v>
      </c>
      <c r="H5" s="187"/>
    </row>
    <row r="6" spans="1:11" ht="6" customHeight="1">
      <c r="B6" s="187"/>
      <c r="C6" s="187"/>
      <c r="D6" s="187"/>
      <c r="F6" s="187"/>
      <c r="G6" s="187"/>
      <c r="H6" s="187"/>
    </row>
    <row r="7" spans="1:11">
      <c r="A7">
        <v>1</v>
      </c>
      <c r="B7" s="83">
        <v>-0.05</v>
      </c>
      <c r="C7" s="83">
        <v>0.02</v>
      </c>
      <c r="D7" s="186">
        <f>B7-C7</f>
        <v>-7.0000000000000007E-2</v>
      </c>
      <c r="E7" s="161">
        <f>MAX($E$5*D7,0)</f>
        <v>0</v>
      </c>
      <c r="F7" s="100">
        <f>C7+E7</f>
        <v>0.02</v>
      </c>
      <c r="G7" s="100">
        <f>B7-F7</f>
        <v>-7.0000000000000007E-2</v>
      </c>
      <c r="H7" s="100"/>
      <c r="K7" s="103"/>
    </row>
    <row r="8" spans="1:11">
      <c r="A8">
        <v>2</v>
      </c>
      <c r="B8" s="83">
        <v>0.01</v>
      </c>
      <c r="C8" s="83">
        <f>$C$7</f>
        <v>0.02</v>
      </c>
      <c r="D8" s="186">
        <f>B8-C8</f>
        <v>-0.01</v>
      </c>
      <c r="E8" s="161">
        <f>MAX($E$5*D8,0)</f>
        <v>0</v>
      </c>
      <c r="F8" s="100">
        <f>C8+E8</f>
        <v>0.02</v>
      </c>
      <c r="G8" s="100">
        <f>B8-F8</f>
        <v>-0.01</v>
      </c>
      <c r="H8" s="100"/>
      <c r="K8" s="103"/>
    </row>
    <row r="9" spans="1:11">
      <c r="A9">
        <v>3</v>
      </c>
      <c r="B9" s="83">
        <v>0.1</v>
      </c>
      <c r="C9" s="83">
        <f>$C$7</f>
        <v>0.02</v>
      </c>
      <c r="D9" s="186">
        <f>B9-C9</f>
        <v>0.08</v>
      </c>
      <c r="E9" s="161">
        <f>MAX($E$5*D9,0)</f>
        <v>1.6E-2</v>
      </c>
      <c r="F9" s="100">
        <f>C9+E9</f>
        <v>3.6000000000000004E-2</v>
      </c>
      <c r="G9" s="100">
        <f>B9-F9</f>
        <v>6.4000000000000001E-2</v>
      </c>
      <c r="H9" s="100"/>
      <c r="K9" s="103"/>
    </row>
    <row r="10" spans="1:11">
      <c r="A10">
        <v>4</v>
      </c>
      <c r="B10" s="83">
        <v>0.15</v>
      </c>
      <c r="C10" s="83">
        <f>$C$7</f>
        <v>0.02</v>
      </c>
      <c r="D10" s="186">
        <f>B10-C10</f>
        <v>0.13</v>
      </c>
      <c r="E10" s="161">
        <f>MAX($E$5*D10,0)</f>
        <v>2.6000000000000002E-2</v>
      </c>
      <c r="F10" s="100">
        <f>C10+E10</f>
        <v>4.5999999999999999E-2</v>
      </c>
      <c r="G10" s="100">
        <f>B10-F10</f>
        <v>0.104</v>
      </c>
      <c r="H10" s="100"/>
      <c r="K10" s="103"/>
    </row>
    <row r="11" spans="1:11">
      <c r="A11">
        <v>5</v>
      </c>
      <c r="B11" s="185">
        <v>0.2</v>
      </c>
      <c r="C11" s="185">
        <f>$C$7</f>
        <v>0.02</v>
      </c>
      <c r="D11" s="184">
        <f>B11-C11</f>
        <v>0.18000000000000002</v>
      </c>
      <c r="E11" s="183">
        <f>MAX($E$5*D11,0)</f>
        <v>3.6000000000000004E-2</v>
      </c>
      <c r="F11" s="182">
        <f>C11+E11</f>
        <v>5.6000000000000008E-2</v>
      </c>
      <c r="G11" s="182">
        <f>B11-F11</f>
        <v>0.14400000000000002</v>
      </c>
      <c r="H11" s="100"/>
      <c r="K11" s="103"/>
    </row>
    <row r="12" spans="1:11">
      <c r="A12" s="174" t="s">
        <v>145</v>
      </c>
      <c r="B12" s="181">
        <f>AVERAGE(B7:B11)</f>
        <v>8.2000000000000003E-2</v>
      </c>
      <c r="F12" s="169">
        <f>AVERAGE(F7:F11)</f>
        <v>3.5600000000000007E-2</v>
      </c>
      <c r="G12" s="167">
        <f>AVERAGE(G7:G11)</f>
        <v>4.6400000000000004E-2</v>
      </c>
      <c r="H12" s="100"/>
      <c r="K12" s="163"/>
    </row>
    <row r="14" spans="1:11">
      <c r="E14" s="94"/>
      <c r="F14" s="180" t="s">
        <v>144</v>
      </c>
    </row>
    <row r="15" spans="1:11">
      <c r="D15" s="179"/>
      <c r="F15" s="174" t="s">
        <v>143</v>
      </c>
      <c r="G15" s="178">
        <v>0.01</v>
      </c>
      <c r="J15" s="101"/>
    </row>
    <row r="16" spans="1:11">
      <c r="C16" s="177"/>
      <c r="F16" s="176" t="s">
        <v>142</v>
      </c>
      <c r="G16" s="167">
        <f>10%*(G12-G15)</f>
        <v>3.6400000000000004E-3</v>
      </c>
      <c r="H16" s="125" t="str">
        <f>"= 10% * ("&amp;TEXT(G12,"0.00%")&amp;" - 1.00%)"</f>
        <v>= 10% * (4.64% - 1.00%)</v>
      </c>
      <c r="J16" s="101"/>
    </row>
    <row r="17" spans="5:10">
      <c r="E17" s="174"/>
      <c r="F17" s="173" t="s">
        <v>141</v>
      </c>
      <c r="G17" s="191">
        <f>G15+G16</f>
        <v>1.3640000000000001E-2</v>
      </c>
      <c r="J17" s="171"/>
    </row>
    <row r="19" spans="5:10">
      <c r="F19" s="130" t="s">
        <v>140</v>
      </c>
      <c r="G19" s="170">
        <f>B12</f>
        <v>8.2000000000000003E-2</v>
      </c>
      <c r="J19" s="163"/>
    </row>
    <row r="20" spans="5:10">
      <c r="F20" s="130" t="s">
        <v>139</v>
      </c>
      <c r="G20" s="169">
        <f>F12</f>
        <v>3.5600000000000007E-2</v>
      </c>
    </row>
    <row r="21" spans="5:10">
      <c r="F21" s="130" t="s">
        <v>138</v>
      </c>
      <c r="G21" s="168">
        <f>G17</f>
        <v>1.3640000000000001E-2</v>
      </c>
      <c r="J21" s="103"/>
    </row>
    <row r="22" spans="5:10">
      <c r="F22" s="130" t="s">
        <v>137</v>
      </c>
      <c r="G22" s="167">
        <f>G12-G17</f>
        <v>3.2760000000000004E-2</v>
      </c>
      <c r="J22" s="103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5C90-E4DF-494F-B3B1-541F1E1ACADD}">
  <dimension ref="B3:J13"/>
  <sheetViews>
    <sheetView showGridLines="0" workbookViewId="0"/>
  </sheetViews>
  <sheetFormatPr defaultRowHeight="15"/>
  <cols>
    <col min="2" max="2" width="3.7109375" customWidth="1"/>
    <col min="3" max="3" width="19.7109375" customWidth="1"/>
  </cols>
  <sheetData>
    <row r="3" spans="2:10">
      <c r="B3" s="96" t="s">
        <v>93</v>
      </c>
      <c r="C3" s="96"/>
      <c r="D3" s="96"/>
    </row>
    <row r="4" spans="2:10">
      <c r="D4" s="86" t="s">
        <v>83</v>
      </c>
    </row>
    <row r="5" spans="2:10" ht="3" customHeight="1">
      <c r="D5" s="86"/>
    </row>
    <row r="6" spans="2:10">
      <c r="B6" t="s">
        <v>82</v>
      </c>
      <c r="D6" s="84">
        <v>3</v>
      </c>
    </row>
    <row r="7" spans="2:10">
      <c r="B7" t="s">
        <v>81</v>
      </c>
      <c r="D7" s="84">
        <v>-0.8</v>
      </c>
    </row>
    <row r="8" spans="2:10">
      <c r="B8" t="s">
        <v>80</v>
      </c>
      <c r="C8" s="101"/>
      <c r="D8" s="84">
        <v>0.9</v>
      </c>
      <c r="J8" s="101"/>
    </row>
    <row r="9" spans="2:10" ht="15.75" thickBot="1">
      <c r="B9" t="s">
        <v>79</v>
      </c>
      <c r="D9" s="85">
        <v>-2.5</v>
      </c>
    </row>
    <row r="10" spans="2:10" ht="15.75" thickTop="1">
      <c r="B10" t="s">
        <v>88</v>
      </c>
      <c r="C10" s="100"/>
      <c r="D10" s="84">
        <f>SUM(D6:D9)</f>
        <v>0.60000000000000009</v>
      </c>
    </row>
    <row r="13" spans="2:10">
      <c r="C13" s="99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520D-2B64-475E-B530-4A3894C7FB04}">
  <dimension ref="C2:G21"/>
  <sheetViews>
    <sheetView showGridLines="0" workbookViewId="0"/>
  </sheetViews>
  <sheetFormatPr defaultRowHeight="15"/>
  <cols>
    <col min="3" max="3" width="20.7109375" customWidth="1"/>
    <col min="5" max="5" width="2.7109375" customWidth="1"/>
    <col min="6" max="6" width="20.7109375" customWidth="1"/>
  </cols>
  <sheetData>
    <row r="2" spans="3:7">
      <c r="C2" s="98" t="s">
        <v>92</v>
      </c>
      <c r="D2" s="97"/>
      <c r="E2" s="97"/>
      <c r="F2" s="97"/>
      <c r="G2" s="97"/>
    </row>
    <row r="3" spans="3:7">
      <c r="C3" s="96" t="s">
        <v>0</v>
      </c>
      <c r="D3" s="95"/>
      <c r="E3" s="94"/>
      <c r="F3" s="93" t="s">
        <v>6</v>
      </c>
      <c r="G3" s="93"/>
    </row>
    <row r="4" spans="3:7">
      <c r="C4" t="s">
        <v>1</v>
      </c>
      <c r="D4" s="84">
        <v>5</v>
      </c>
      <c r="F4" t="s">
        <v>7</v>
      </c>
      <c r="G4" s="84">
        <v>90</v>
      </c>
    </row>
    <row r="5" spans="3:7">
      <c r="C5" t="s">
        <v>2</v>
      </c>
      <c r="D5" s="84">
        <v>10</v>
      </c>
      <c r="F5" t="s">
        <v>86</v>
      </c>
      <c r="G5" s="84">
        <v>5</v>
      </c>
    </row>
    <row r="6" spans="3:7">
      <c r="C6" t="s">
        <v>3</v>
      </c>
      <c r="D6" s="84">
        <v>80</v>
      </c>
      <c r="F6" t="s">
        <v>8</v>
      </c>
      <c r="G6" s="84">
        <f>D8-SUM(G4:G5)</f>
        <v>5</v>
      </c>
    </row>
    <row r="7" spans="3:7" ht="15.75" thickBot="1">
      <c r="C7" t="s">
        <v>4</v>
      </c>
      <c r="D7" s="85">
        <v>5</v>
      </c>
      <c r="G7" s="92"/>
    </row>
    <row r="8" spans="3:7" ht="15.75" thickTop="1">
      <c r="C8" s="91" t="s">
        <v>5</v>
      </c>
      <c r="D8" s="84">
        <f>SUM(D4:D7)</f>
        <v>100</v>
      </c>
      <c r="F8" s="91" t="s">
        <v>5</v>
      </c>
      <c r="G8" s="84">
        <f>SUM(G4:G7)</f>
        <v>100</v>
      </c>
    </row>
    <row r="10" spans="3:7">
      <c r="C10" s="90" t="s">
        <v>85</v>
      </c>
      <c r="D10" s="89"/>
    </row>
    <row r="11" spans="3:7">
      <c r="C11" s="88" t="s">
        <v>84</v>
      </c>
      <c r="D11" s="87"/>
    </row>
    <row r="12" spans="3:7">
      <c r="D12" s="86" t="s">
        <v>83</v>
      </c>
    </row>
    <row r="13" spans="3:7" ht="6" customHeight="1">
      <c r="E13" s="86"/>
    </row>
    <row r="14" spans="3:7">
      <c r="C14" t="s">
        <v>82</v>
      </c>
      <c r="D14" s="84">
        <f>3%*D8</f>
        <v>3</v>
      </c>
    </row>
    <row r="15" spans="3:7">
      <c r="C15" t="s">
        <v>81</v>
      </c>
      <c r="D15" s="84">
        <f>-0.8%*D8</f>
        <v>-0.8</v>
      </c>
    </row>
    <row r="16" spans="3:7">
      <c r="C16" t="s">
        <v>80</v>
      </c>
      <c r="D16" s="84">
        <f>0.9%*D8</f>
        <v>0.90000000000000013</v>
      </c>
    </row>
    <row r="17" spans="3:6" ht="15.75" thickBot="1">
      <c r="C17" t="s">
        <v>79</v>
      </c>
      <c r="D17" s="85">
        <f>-2.5%*D8</f>
        <v>-2.5</v>
      </c>
    </row>
    <row r="18" spans="3:6" ht="15.75" thickTop="1">
      <c r="C18" t="s">
        <v>78</v>
      </c>
      <c r="D18" s="84">
        <f>SUM(D14:D17)</f>
        <v>0.60000000000000053</v>
      </c>
    </row>
    <row r="20" spans="3:6">
      <c r="C20" t="s">
        <v>77</v>
      </c>
      <c r="D20" s="108">
        <f>D18/G6</f>
        <v>0.12000000000000011</v>
      </c>
    </row>
    <row r="21" spans="3:6">
      <c r="C21" t="s">
        <v>76</v>
      </c>
      <c r="D21">
        <f>D8/G6</f>
        <v>20</v>
      </c>
      <c r="F21" s="82">
        <f>(G4+G5)/G6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30"/>
  <sheetViews>
    <sheetView showGridLines="0" workbookViewId="0">
      <selection activeCell="M6" sqref="M6"/>
    </sheetView>
  </sheetViews>
  <sheetFormatPr defaultColWidth="8.85546875" defaultRowHeight="14.25"/>
  <cols>
    <col min="1" max="1" width="8.85546875" style="12"/>
    <col min="2" max="2" width="9.28515625" style="12" bestFit="1" customWidth="1"/>
    <col min="3" max="4" width="10.7109375" style="12" customWidth="1"/>
    <col min="5" max="6" width="9.28515625" style="12" bestFit="1" customWidth="1"/>
    <col min="7" max="7" width="2.7109375" style="20" customWidth="1"/>
    <col min="8" max="10" width="10.7109375" style="12" customWidth="1"/>
    <col min="11" max="11" width="9.28515625" style="12" bestFit="1" customWidth="1"/>
    <col min="12" max="16384" width="8.85546875" style="12"/>
  </cols>
  <sheetData>
    <row r="2" spans="2:13" ht="15">
      <c r="C2" s="21" t="s">
        <v>41</v>
      </c>
      <c r="D2" s="21"/>
      <c r="E2" s="21"/>
      <c r="F2" s="21"/>
      <c r="H2" s="21" t="s">
        <v>42</v>
      </c>
      <c r="I2" s="21"/>
      <c r="J2" s="21"/>
      <c r="K2" s="21"/>
    </row>
    <row r="3" spans="2:13" s="11" customFormat="1" ht="15">
      <c r="B3" s="10" t="s">
        <v>32</v>
      </c>
      <c r="C3" s="4" t="s">
        <v>34</v>
      </c>
      <c r="D3" s="4" t="s">
        <v>38</v>
      </c>
      <c r="E3" s="4" t="s">
        <v>39</v>
      </c>
      <c r="F3" s="4" t="s">
        <v>36</v>
      </c>
      <c r="G3" s="15"/>
      <c r="H3" s="4" t="s">
        <v>34</v>
      </c>
      <c r="I3" s="4" t="s">
        <v>38</v>
      </c>
      <c r="J3" s="4" t="s">
        <v>39</v>
      </c>
      <c r="K3" s="4" t="s">
        <v>36</v>
      </c>
    </row>
    <row r="4" spans="2:13" s="11" customFormat="1" ht="15">
      <c r="B4" s="22" t="s">
        <v>33</v>
      </c>
      <c r="C4" s="23" t="s">
        <v>35</v>
      </c>
      <c r="D4" s="23" t="s">
        <v>35</v>
      </c>
      <c r="E4" s="23" t="s">
        <v>40</v>
      </c>
      <c r="F4" s="23" t="s">
        <v>37</v>
      </c>
      <c r="G4" s="15"/>
      <c r="H4" s="23" t="s">
        <v>35</v>
      </c>
      <c r="I4" s="23" t="s">
        <v>35</v>
      </c>
      <c r="J4" s="23" t="s">
        <v>40</v>
      </c>
      <c r="K4" s="23" t="s">
        <v>37</v>
      </c>
    </row>
    <row r="5" spans="2:13" ht="15">
      <c r="B5" s="24">
        <v>0</v>
      </c>
      <c r="C5" s="25">
        <v>6.5189999999999996E-3</v>
      </c>
      <c r="D5" s="25">
        <v>1</v>
      </c>
      <c r="E5" s="26">
        <v>100000</v>
      </c>
      <c r="F5" s="16">
        <v>76.28</v>
      </c>
      <c r="G5" s="16"/>
      <c r="H5" s="25">
        <v>5.3769999999999998E-3</v>
      </c>
      <c r="I5" s="25">
        <v>1</v>
      </c>
      <c r="J5" s="26">
        <v>100000</v>
      </c>
      <c r="K5" s="16">
        <v>81.05</v>
      </c>
      <c r="M5" s="11" t="s">
        <v>43</v>
      </c>
    </row>
    <row r="6" spans="2:13">
      <c r="B6" s="24">
        <v>1</v>
      </c>
      <c r="C6" s="25">
        <v>4.6200000000000001E-4</v>
      </c>
      <c r="D6" s="25">
        <f>D5-(D5*C5)</f>
        <v>0.99348099999999995</v>
      </c>
      <c r="E6" s="26">
        <v>99348</v>
      </c>
      <c r="F6" s="16">
        <v>75.78</v>
      </c>
      <c r="G6" s="16"/>
      <c r="H6" s="25">
        <v>3.79E-4</v>
      </c>
      <c r="I6" s="25">
        <f>I5-(I5*H5)</f>
        <v>0.99462300000000003</v>
      </c>
      <c r="J6" s="26">
        <v>99462</v>
      </c>
      <c r="K6" s="16">
        <v>80.489999999999995</v>
      </c>
    </row>
    <row r="7" spans="2:13">
      <c r="B7" s="24">
        <v>2</v>
      </c>
      <c r="C7" s="25">
        <v>2.9100000000000003E-4</v>
      </c>
      <c r="D7" s="25">
        <f>D6-(D6*C6)</f>
        <v>0.99302201177799998</v>
      </c>
      <c r="E7" s="26">
        <v>99302</v>
      </c>
      <c r="F7" s="16">
        <v>74.819999999999993</v>
      </c>
      <c r="G7" s="16"/>
      <c r="H7" s="25">
        <v>2.2100000000000001E-4</v>
      </c>
      <c r="I7" s="25">
        <f t="shared" ref="I7:I70" si="0">I6-(I6*H6)</f>
        <v>0.99424603788300003</v>
      </c>
      <c r="J7" s="26">
        <v>99425</v>
      </c>
      <c r="K7" s="16">
        <v>79.52</v>
      </c>
    </row>
    <row r="8" spans="2:13">
      <c r="B8" s="24">
        <v>3</v>
      </c>
      <c r="C8" s="25">
        <v>2.0900000000000001E-4</v>
      </c>
      <c r="D8" s="25">
        <f>D7-(D7*C7)</f>
        <v>0.99273304237257254</v>
      </c>
      <c r="E8" s="26">
        <v>99273</v>
      </c>
      <c r="F8" s="16">
        <v>73.84</v>
      </c>
      <c r="G8" s="16"/>
      <c r="H8" s="25">
        <v>1.6200000000000001E-4</v>
      </c>
      <c r="I8" s="25">
        <f t="shared" si="0"/>
        <v>0.99402630950862791</v>
      </c>
      <c r="J8" s="26">
        <v>99403</v>
      </c>
      <c r="K8" s="16">
        <v>78.540000000000006</v>
      </c>
    </row>
    <row r="9" spans="2:13">
      <c r="B9" s="24">
        <v>4</v>
      </c>
      <c r="C9" s="25">
        <v>1.76E-4</v>
      </c>
      <c r="D9" s="25">
        <f>D8-(D8*C8)</f>
        <v>0.99252556116671664</v>
      </c>
      <c r="E9" s="26">
        <v>99252</v>
      </c>
      <c r="F9" s="16">
        <v>72.849999999999994</v>
      </c>
      <c r="G9" s="16"/>
      <c r="H9" s="25">
        <v>1.3300000000000001E-4</v>
      </c>
      <c r="I9" s="25">
        <f t="shared" si="0"/>
        <v>0.99386527724648754</v>
      </c>
      <c r="J9" s="26">
        <v>99387</v>
      </c>
      <c r="K9" s="16">
        <v>77.55</v>
      </c>
    </row>
    <row r="10" spans="2:13">
      <c r="B10" s="24">
        <v>5</v>
      </c>
      <c r="C10" s="25">
        <v>1.5899999999999999E-4</v>
      </c>
      <c r="D10" s="25">
        <f t="shared" ref="D10:D73" si="1">D9-(D9*C9)</f>
        <v>0.9923508766679513</v>
      </c>
      <c r="E10" s="26">
        <v>99235</v>
      </c>
      <c r="F10" s="16">
        <v>71.87</v>
      </c>
      <c r="G10" s="16"/>
      <c r="H10" s="25">
        <v>1.1900000000000001E-4</v>
      </c>
      <c r="I10" s="25">
        <f t="shared" si="0"/>
        <v>0.99373309316461378</v>
      </c>
      <c r="J10" s="26">
        <v>99373</v>
      </c>
      <c r="K10" s="16">
        <v>76.56</v>
      </c>
    </row>
    <row r="11" spans="2:13">
      <c r="B11" s="24">
        <v>6</v>
      </c>
      <c r="C11" s="25">
        <v>1.46E-4</v>
      </c>
      <c r="D11" s="25">
        <f t="shared" si="1"/>
        <v>0.99219309287856106</v>
      </c>
      <c r="E11" s="26">
        <v>99219</v>
      </c>
      <c r="F11" s="16">
        <v>70.88</v>
      </c>
      <c r="G11" s="16"/>
      <c r="H11" s="25">
        <v>1.0900000000000001E-4</v>
      </c>
      <c r="I11" s="25">
        <f t="shared" si="0"/>
        <v>0.99361483892652724</v>
      </c>
      <c r="J11" s="26">
        <v>99361</v>
      </c>
      <c r="K11" s="16">
        <v>75.569999999999993</v>
      </c>
    </row>
    <row r="12" spans="2:13">
      <c r="B12" s="24">
        <v>7</v>
      </c>
      <c r="C12" s="25">
        <v>1.3300000000000001E-4</v>
      </c>
      <c r="D12" s="25">
        <f t="shared" si="1"/>
        <v>0.99204823268700082</v>
      </c>
      <c r="E12" s="26">
        <v>99205</v>
      </c>
      <c r="F12" s="16">
        <v>69.89</v>
      </c>
      <c r="G12" s="16"/>
      <c r="H12" s="25">
        <v>1.01E-4</v>
      </c>
      <c r="I12" s="25">
        <f t="shared" si="0"/>
        <v>0.99350653490908425</v>
      </c>
      <c r="J12" s="26">
        <v>99351</v>
      </c>
      <c r="K12" s="16">
        <v>74.58</v>
      </c>
    </row>
    <row r="13" spans="2:13">
      <c r="B13" s="24">
        <v>8</v>
      </c>
      <c r="C13" s="25">
        <v>1.18E-4</v>
      </c>
      <c r="D13" s="25">
        <f t="shared" si="1"/>
        <v>0.99191629027205341</v>
      </c>
      <c r="E13" s="26">
        <v>99192</v>
      </c>
      <c r="F13" s="16">
        <v>68.900000000000006</v>
      </c>
      <c r="G13" s="16"/>
      <c r="H13" s="25">
        <v>9.6000000000000002E-5</v>
      </c>
      <c r="I13" s="25">
        <f t="shared" si="0"/>
        <v>0.99340619074905845</v>
      </c>
      <c r="J13" s="26">
        <v>99341</v>
      </c>
      <c r="K13" s="16">
        <v>73.58</v>
      </c>
    </row>
    <row r="14" spans="2:13">
      <c r="B14" s="24">
        <v>9</v>
      </c>
      <c r="C14" s="25">
        <v>1.02E-4</v>
      </c>
      <c r="D14" s="25">
        <f t="shared" si="1"/>
        <v>0.99179924414980136</v>
      </c>
      <c r="E14" s="26">
        <v>99180</v>
      </c>
      <c r="F14" s="16">
        <v>67.900000000000006</v>
      </c>
      <c r="G14" s="16"/>
      <c r="H14" s="25">
        <v>9.2999999999999997E-5</v>
      </c>
      <c r="I14" s="25">
        <f t="shared" si="0"/>
        <v>0.99331082375474655</v>
      </c>
      <c r="J14" s="26">
        <v>99331</v>
      </c>
      <c r="K14" s="16">
        <v>72.59</v>
      </c>
    </row>
    <row r="15" spans="2:13">
      <c r="B15" s="24">
        <v>10</v>
      </c>
      <c r="C15" s="25">
        <v>9.1000000000000003E-5</v>
      </c>
      <c r="D15" s="25">
        <f t="shared" si="1"/>
        <v>0.99169808062689813</v>
      </c>
      <c r="E15" s="26">
        <v>99170</v>
      </c>
      <c r="F15" s="16">
        <v>66.91</v>
      </c>
      <c r="G15" s="16"/>
      <c r="H15" s="25">
        <v>9.3999999999999994E-5</v>
      </c>
      <c r="I15" s="25">
        <f t="shared" si="0"/>
        <v>0.99321844584813734</v>
      </c>
      <c r="J15" s="26">
        <v>99322</v>
      </c>
      <c r="K15" s="16">
        <v>71.599999999999994</v>
      </c>
    </row>
    <row r="16" spans="2:13">
      <c r="B16" s="24">
        <v>11</v>
      </c>
      <c r="C16" s="25">
        <v>9.6000000000000002E-5</v>
      </c>
      <c r="D16" s="25">
        <f t="shared" si="1"/>
        <v>0.99160783610156111</v>
      </c>
      <c r="E16" s="26">
        <v>99161</v>
      </c>
      <c r="F16" s="16">
        <v>65.92</v>
      </c>
      <c r="G16" s="16"/>
      <c r="H16" s="25">
        <v>1E-4</v>
      </c>
      <c r="I16" s="25">
        <f t="shared" si="0"/>
        <v>0.99312508331422766</v>
      </c>
      <c r="J16" s="26">
        <v>99312</v>
      </c>
      <c r="K16" s="16">
        <v>70.599999999999994</v>
      </c>
    </row>
    <row r="17" spans="2:11">
      <c r="B17" s="24">
        <v>12</v>
      </c>
      <c r="C17" s="25">
        <v>1.2799999999999999E-4</v>
      </c>
      <c r="D17" s="25">
        <f t="shared" si="1"/>
        <v>0.99151264174929532</v>
      </c>
      <c r="E17" s="26">
        <v>99151</v>
      </c>
      <c r="F17" s="16">
        <v>64.92</v>
      </c>
      <c r="G17" s="16"/>
      <c r="H17" s="25">
        <v>1.12E-4</v>
      </c>
      <c r="I17" s="25">
        <f t="shared" si="0"/>
        <v>0.99302577080589627</v>
      </c>
      <c r="J17" s="26">
        <v>99303</v>
      </c>
      <c r="K17" s="16">
        <v>69.61</v>
      </c>
    </row>
    <row r="18" spans="2:11">
      <c r="B18" s="24">
        <v>13</v>
      </c>
      <c r="C18" s="25">
        <v>1.95E-4</v>
      </c>
      <c r="D18" s="25">
        <f t="shared" si="1"/>
        <v>0.99138572813115144</v>
      </c>
      <c r="E18" s="26">
        <v>99138</v>
      </c>
      <c r="F18" s="16">
        <v>63.93</v>
      </c>
      <c r="G18" s="16"/>
      <c r="H18" s="25">
        <v>1.34E-4</v>
      </c>
      <c r="I18" s="25">
        <f t="shared" si="0"/>
        <v>0.99291455191956601</v>
      </c>
      <c r="J18" s="26">
        <v>99291</v>
      </c>
      <c r="K18" s="16">
        <v>68.62</v>
      </c>
    </row>
    <row r="19" spans="2:11">
      <c r="B19" s="24">
        <v>14</v>
      </c>
      <c r="C19" s="25">
        <v>2.8800000000000001E-4</v>
      </c>
      <c r="D19" s="25">
        <f t="shared" si="1"/>
        <v>0.99119240791416585</v>
      </c>
      <c r="E19" s="26">
        <v>99119</v>
      </c>
      <c r="F19" s="16">
        <v>62.94</v>
      </c>
      <c r="G19" s="16"/>
      <c r="H19" s="25">
        <v>1.6200000000000001E-4</v>
      </c>
      <c r="I19" s="25">
        <f t="shared" si="0"/>
        <v>0.99278150136960874</v>
      </c>
      <c r="J19" s="26">
        <v>99278</v>
      </c>
      <c r="K19" s="16">
        <v>67.63</v>
      </c>
    </row>
    <row r="20" spans="2:11">
      <c r="B20" s="24">
        <v>15</v>
      </c>
      <c r="C20" s="25">
        <v>3.8900000000000002E-4</v>
      </c>
      <c r="D20" s="25">
        <f t="shared" si="1"/>
        <v>0.99090694450068662</v>
      </c>
      <c r="E20" s="26">
        <v>99091</v>
      </c>
      <c r="F20" s="16">
        <v>61.96</v>
      </c>
      <c r="G20" s="16"/>
      <c r="H20" s="25">
        <v>1.94E-4</v>
      </c>
      <c r="I20" s="25">
        <f t="shared" si="0"/>
        <v>0.99262067076638683</v>
      </c>
      <c r="J20" s="26">
        <v>99262</v>
      </c>
      <c r="K20" s="16">
        <v>66.64</v>
      </c>
    </row>
    <row r="21" spans="2:11">
      <c r="B21" s="24">
        <v>16</v>
      </c>
      <c r="C21" s="25">
        <v>4.9200000000000003E-4</v>
      </c>
      <c r="D21" s="25">
        <f t="shared" si="1"/>
        <v>0.9905214816992759</v>
      </c>
      <c r="E21" s="26">
        <v>99052</v>
      </c>
      <c r="F21" s="16">
        <v>60.99</v>
      </c>
      <c r="G21" s="16"/>
      <c r="H21" s="25">
        <v>2.2599999999999999E-4</v>
      </c>
      <c r="I21" s="25">
        <f t="shared" si="0"/>
        <v>0.99242810235625811</v>
      </c>
      <c r="J21" s="26">
        <v>99243</v>
      </c>
      <c r="K21" s="16">
        <v>65.650000000000006</v>
      </c>
    </row>
    <row r="22" spans="2:11">
      <c r="B22" s="24">
        <v>17</v>
      </c>
      <c r="C22" s="25">
        <v>6.0700000000000001E-4</v>
      </c>
      <c r="D22" s="25">
        <f t="shared" si="1"/>
        <v>0.99003414513027987</v>
      </c>
      <c r="E22" s="26">
        <v>99003</v>
      </c>
      <c r="F22" s="16">
        <v>60.02</v>
      </c>
      <c r="G22" s="16"/>
      <c r="H22" s="25">
        <v>2.61E-4</v>
      </c>
      <c r="I22" s="25">
        <f t="shared" si="0"/>
        <v>0.99220381360512555</v>
      </c>
      <c r="J22" s="26">
        <v>99220</v>
      </c>
      <c r="K22" s="16">
        <v>64.67</v>
      </c>
    </row>
    <row r="23" spans="2:11">
      <c r="B23" s="24">
        <v>18</v>
      </c>
      <c r="C23" s="25">
        <v>7.3499999999999998E-4</v>
      </c>
      <c r="D23" s="25">
        <f t="shared" si="1"/>
        <v>0.98943319440418576</v>
      </c>
      <c r="E23" s="26">
        <v>98943</v>
      </c>
      <c r="F23" s="16">
        <v>59.05</v>
      </c>
      <c r="G23" s="16"/>
      <c r="H23" s="25">
        <v>2.9700000000000001E-4</v>
      </c>
      <c r="I23" s="25">
        <f t="shared" si="0"/>
        <v>0.99194484840977459</v>
      </c>
      <c r="J23" s="26">
        <v>99194</v>
      </c>
      <c r="K23" s="16">
        <v>63.68</v>
      </c>
    </row>
    <row r="24" spans="2:11">
      <c r="B24" s="24">
        <v>19</v>
      </c>
      <c r="C24" s="25">
        <v>8.6899999999999998E-4</v>
      </c>
      <c r="D24" s="25">
        <f t="shared" si="1"/>
        <v>0.98870596100629871</v>
      </c>
      <c r="E24" s="26">
        <v>98870</v>
      </c>
      <c r="F24" s="16">
        <v>58.09</v>
      </c>
      <c r="G24" s="16"/>
      <c r="H24" s="25">
        <v>3.3399999999999999E-4</v>
      </c>
      <c r="I24" s="25">
        <f t="shared" si="0"/>
        <v>0.99165024078979691</v>
      </c>
      <c r="J24" s="26">
        <v>99165</v>
      </c>
      <c r="K24" s="16">
        <v>62.7</v>
      </c>
    </row>
    <row r="25" spans="2:11">
      <c r="B25" s="24">
        <v>20</v>
      </c>
      <c r="C25" s="25">
        <v>1.011E-3</v>
      </c>
      <c r="D25" s="25">
        <f t="shared" si="1"/>
        <v>0.98784677552618427</v>
      </c>
      <c r="E25" s="26">
        <v>98785</v>
      </c>
      <c r="F25" s="16">
        <v>57.14</v>
      </c>
      <c r="G25" s="16"/>
      <c r="H25" s="25">
        <v>3.7300000000000001E-4</v>
      </c>
      <c r="I25" s="25">
        <f t="shared" si="0"/>
        <v>0.99131902960937313</v>
      </c>
      <c r="J25" s="26">
        <v>99132</v>
      </c>
      <c r="K25" s="16">
        <v>61.72</v>
      </c>
    </row>
    <row r="26" spans="2:11">
      <c r="B26" s="24">
        <v>21</v>
      </c>
      <c r="C26" s="25">
        <v>1.145E-3</v>
      </c>
      <c r="D26" s="25">
        <f t="shared" si="1"/>
        <v>0.98684806243612733</v>
      </c>
      <c r="E26" s="26">
        <v>98685</v>
      </c>
      <c r="F26" s="16">
        <v>56.2</v>
      </c>
      <c r="G26" s="16"/>
      <c r="H26" s="25">
        <v>4.1199999999999999E-4</v>
      </c>
      <c r="I26" s="25">
        <f t="shared" si="0"/>
        <v>0.99094926761132884</v>
      </c>
      <c r="J26" s="26">
        <v>99095</v>
      </c>
      <c r="K26" s="16">
        <v>60.75</v>
      </c>
    </row>
    <row r="27" spans="2:11">
      <c r="B27" s="24">
        <v>22</v>
      </c>
      <c r="C27" s="25">
        <v>1.2459999999999999E-3</v>
      </c>
      <c r="D27" s="25">
        <f t="shared" si="1"/>
        <v>0.98571812140463799</v>
      </c>
      <c r="E27" s="26">
        <v>98572</v>
      </c>
      <c r="F27" s="16">
        <v>55.27</v>
      </c>
      <c r="G27" s="16"/>
      <c r="H27" s="25">
        <v>4.46E-4</v>
      </c>
      <c r="I27" s="25">
        <f t="shared" si="0"/>
        <v>0.99054099651307292</v>
      </c>
      <c r="J27" s="26">
        <v>99054</v>
      </c>
      <c r="K27" s="16">
        <v>59.77</v>
      </c>
    </row>
    <row r="28" spans="2:11">
      <c r="B28" s="24">
        <v>23</v>
      </c>
      <c r="C28" s="25">
        <v>1.3010000000000001E-3</v>
      </c>
      <c r="D28" s="25">
        <f t="shared" si="1"/>
        <v>0.98448991662536778</v>
      </c>
      <c r="E28" s="26">
        <v>98449</v>
      </c>
      <c r="F28" s="16">
        <v>54.33</v>
      </c>
      <c r="G28" s="16"/>
      <c r="H28" s="25">
        <v>4.7199999999999998E-4</v>
      </c>
      <c r="I28" s="25">
        <f t="shared" si="0"/>
        <v>0.99009921522862809</v>
      </c>
      <c r="J28" s="26">
        <v>99010</v>
      </c>
      <c r="K28" s="16">
        <v>58.8</v>
      </c>
    </row>
    <row r="29" spans="2:11">
      <c r="B29" s="24">
        <v>24</v>
      </c>
      <c r="C29" s="25">
        <v>1.3209999999999999E-3</v>
      </c>
      <c r="D29" s="25">
        <f t="shared" si="1"/>
        <v>0.98320909524383815</v>
      </c>
      <c r="E29" s="26">
        <v>98321</v>
      </c>
      <c r="F29" s="16">
        <v>53.4</v>
      </c>
      <c r="G29" s="16"/>
      <c r="H29" s="25">
        <v>4.9299999999999995E-4</v>
      </c>
      <c r="I29" s="25">
        <f t="shared" si="0"/>
        <v>0.98963188839904015</v>
      </c>
      <c r="J29" s="26">
        <v>98963</v>
      </c>
      <c r="K29" s="16">
        <v>57.82</v>
      </c>
    </row>
    <row r="30" spans="2:11">
      <c r="B30" s="24">
        <v>25</v>
      </c>
      <c r="C30" s="25">
        <v>1.33E-3</v>
      </c>
      <c r="D30" s="25">
        <f t="shared" si="1"/>
        <v>0.98191027602902103</v>
      </c>
      <c r="E30" s="26">
        <v>98191</v>
      </c>
      <c r="F30" s="16">
        <v>52.47</v>
      </c>
      <c r="G30" s="16"/>
      <c r="H30" s="25">
        <v>5.13E-4</v>
      </c>
      <c r="I30" s="25">
        <f t="shared" si="0"/>
        <v>0.98914399987805945</v>
      </c>
      <c r="J30" s="26">
        <v>98915</v>
      </c>
      <c r="K30" s="16">
        <v>56.85</v>
      </c>
    </row>
    <row r="31" spans="2:11">
      <c r="B31" s="24">
        <v>26</v>
      </c>
      <c r="C31" s="25">
        <v>1.3450000000000001E-3</v>
      </c>
      <c r="D31" s="25">
        <f t="shared" si="1"/>
        <v>0.98060433536190239</v>
      </c>
      <c r="E31" s="26">
        <v>98060</v>
      </c>
      <c r="F31" s="16">
        <v>51.54</v>
      </c>
      <c r="G31" s="16"/>
      <c r="H31" s="25">
        <v>5.3700000000000004E-4</v>
      </c>
      <c r="I31" s="25">
        <f t="shared" si="0"/>
        <v>0.98863656900612196</v>
      </c>
      <c r="J31" s="26">
        <v>98864</v>
      </c>
      <c r="K31" s="16">
        <v>55.88</v>
      </c>
    </row>
    <row r="32" spans="2:11">
      <c r="B32" s="24">
        <v>27</v>
      </c>
      <c r="C32" s="25">
        <v>1.3630000000000001E-3</v>
      </c>
      <c r="D32" s="25">
        <f t="shared" si="1"/>
        <v>0.97928542253084061</v>
      </c>
      <c r="E32" s="26">
        <v>97928</v>
      </c>
      <c r="F32" s="16">
        <v>50.61</v>
      </c>
      <c r="G32" s="16"/>
      <c r="H32" s="25">
        <v>5.6300000000000002E-4</v>
      </c>
      <c r="I32" s="25">
        <f t="shared" si="0"/>
        <v>0.98810567116856562</v>
      </c>
      <c r="J32" s="26">
        <v>98811</v>
      </c>
      <c r="K32" s="16">
        <v>54.91</v>
      </c>
    </row>
    <row r="33" spans="2:11">
      <c r="B33" s="24">
        <v>28</v>
      </c>
      <c r="C33" s="25">
        <v>1.3910000000000001E-3</v>
      </c>
      <c r="D33" s="25">
        <f t="shared" si="1"/>
        <v>0.97795065649993107</v>
      </c>
      <c r="E33" s="26">
        <v>97795</v>
      </c>
      <c r="F33" s="16">
        <v>49.68</v>
      </c>
      <c r="G33" s="16"/>
      <c r="H33" s="25">
        <v>5.9299999999999999E-4</v>
      </c>
      <c r="I33" s="25">
        <f t="shared" si="0"/>
        <v>0.98754936767569768</v>
      </c>
      <c r="J33" s="26">
        <v>98755</v>
      </c>
      <c r="K33" s="16">
        <v>53.94</v>
      </c>
    </row>
    <row r="34" spans="2:11">
      <c r="B34" s="24">
        <v>29</v>
      </c>
      <c r="C34" s="25">
        <v>1.4270000000000001E-3</v>
      </c>
      <c r="D34" s="25">
        <f t="shared" si="1"/>
        <v>0.97659032713673966</v>
      </c>
      <c r="E34" s="26">
        <v>97659</v>
      </c>
      <c r="F34" s="16">
        <v>48.75</v>
      </c>
      <c r="G34" s="16"/>
      <c r="H34" s="25">
        <v>6.2699999999999995E-4</v>
      </c>
      <c r="I34" s="25">
        <f t="shared" si="0"/>
        <v>0.98696375090066601</v>
      </c>
      <c r="J34" s="26">
        <v>98697</v>
      </c>
      <c r="K34" s="16">
        <v>52.97</v>
      </c>
    </row>
    <row r="35" spans="2:11">
      <c r="B35" s="24">
        <v>30</v>
      </c>
      <c r="C35" s="25">
        <v>1.467E-3</v>
      </c>
      <c r="D35" s="25">
        <f t="shared" si="1"/>
        <v>0.97519673273991547</v>
      </c>
      <c r="E35" s="26">
        <v>97519</v>
      </c>
      <c r="F35" s="16">
        <v>47.82</v>
      </c>
      <c r="G35" s="16"/>
      <c r="H35" s="25">
        <v>6.6399999999999999E-4</v>
      </c>
      <c r="I35" s="25">
        <f t="shared" si="0"/>
        <v>0.98634492462885126</v>
      </c>
      <c r="J35" s="26">
        <v>98635</v>
      </c>
      <c r="K35" s="16">
        <v>52.01</v>
      </c>
    </row>
    <row r="36" spans="2:11">
      <c r="B36" s="24">
        <v>31</v>
      </c>
      <c r="C36" s="25">
        <v>1.505E-3</v>
      </c>
      <c r="D36" s="25">
        <f t="shared" si="1"/>
        <v>0.97376611913298605</v>
      </c>
      <c r="E36" s="26">
        <v>97376</v>
      </c>
      <c r="F36" s="16">
        <v>46.89</v>
      </c>
      <c r="G36" s="16"/>
      <c r="H36" s="25">
        <v>7.0500000000000001E-4</v>
      </c>
      <c r="I36" s="25">
        <f t="shared" si="0"/>
        <v>0.9856899915988977</v>
      </c>
      <c r="J36" s="26">
        <v>98569</v>
      </c>
      <c r="K36" s="16">
        <v>51.04</v>
      </c>
    </row>
    <row r="37" spans="2:11">
      <c r="B37" s="24">
        <v>32</v>
      </c>
      <c r="C37" s="25">
        <v>1.5410000000000001E-3</v>
      </c>
      <c r="D37" s="25">
        <f t="shared" si="1"/>
        <v>0.97230060112369088</v>
      </c>
      <c r="E37" s="26">
        <v>97230</v>
      </c>
      <c r="F37" s="16">
        <v>45.96</v>
      </c>
      <c r="G37" s="16"/>
      <c r="H37" s="25">
        <v>7.4799999999999997E-4</v>
      </c>
      <c r="I37" s="25">
        <f t="shared" si="0"/>
        <v>0.98499508015482051</v>
      </c>
      <c r="J37" s="26">
        <v>98500</v>
      </c>
      <c r="K37" s="16">
        <v>50.08</v>
      </c>
    </row>
    <row r="38" spans="2:11">
      <c r="B38" s="24">
        <v>33</v>
      </c>
      <c r="C38" s="25">
        <v>1.573E-3</v>
      </c>
      <c r="D38" s="25">
        <f t="shared" si="1"/>
        <v>0.97080228589735929</v>
      </c>
      <c r="E38" s="26">
        <v>97080</v>
      </c>
      <c r="F38" s="16">
        <v>45.03</v>
      </c>
      <c r="G38" s="16"/>
      <c r="H38" s="25">
        <v>7.94E-4</v>
      </c>
      <c r="I38" s="25">
        <f t="shared" si="0"/>
        <v>0.98425830383486468</v>
      </c>
      <c r="J38" s="26">
        <v>98426</v>
      </c>
      <c r="K38" s="16">
        <v>49.11</v>
      </c>
    </row>
    <row r="39" spans="2:11">
      <c r="B39" s="24">
        <v>34</v>
      </c>
      <c r="C39" s="25">
        <v>1.606E-3</v>
      </c>
      <c r="D39" s="25">
        <f t="shared" si="1"/>
        <v>0.96927521390164273</v>
      </c>
      <c r="E39" s="26">
        <v>96927</v>
      </c>
      <c r="F39" s="16">
        <v>44.1</v>
      </c>
      <c r="G39" s="16"/>
      <c r="H39" s="25">
        <v>8.4500000000000005E-4</v>
      </c>
      <c r="I39" s="25">
        <f t="shared" si="0"/>
        <v>0.98347680274161975</v>
      </c>
      <c r="J39" s="26">
        <v>98348</v>
      </c>
      <c r="K39" s="16">
        <v>48.15</v>
      </c>
    </row>
    <row r="40" spans="2:11">
      <c r="B40" s="24">
        <v>35</v>
      </c>
      <c r="C40" s="25">
        <v>1.6479999999999999E-3</v>
      </c>
      <c r="D40" s="25">
        <f t="shared" si="1"/>
        <v>0.96771855790811667</v>
      </c>
      <c r="E40" s="26">
        <v>96772</v>
      </c>
      <c r="F40" s="16">
        <v>43.17</v>
      </c>
      <c r="G40" s="16"/>
      <c r="H40" s="25">
        <v>9.0300000000000005E-4</v>
      </c>
      <c r="I40" s="25">
        <f t="shared" si="0"/>
        <v>0.98264576484330313</v>
      </c>
      <c r="J40" s="26">
        <v>98265</v>
      </c>
      <c r="K40" s="16">
        <v>47.19</v>
      </c>
    </row>
    <row r="41" spans="2:11">
      <c r="B41" s="24">
        <v>36</v>
      </c>
      <c r="C41" s="25">
        <v>1.704E-3</v>
      </c>
      <c r="D41" s="25">
        <f t="shared" si="1"/>
        <v>0.96612375772468406</v>
      </c>
      <c r="E41" s="26">
        <v>96612</v>
      </c>
      <c r="F41" s="16">
        <v>42.24</v>
      </c>
      <c r="G41" s="16"/>
      <c r="H41" s="25">
        <v>9.68E-4</v>
      </c>
      <c r="I41" s="25">
        <f t="shared" si="0"/>
        <v>0.98175843571764965</v>
      </c>
      <c r="J41" s="26">
        <v>98176</v>
      </c>
      <c r="K41" s="16">
        <v>46.23</v>
      </c>
    </row>
    <row r="42" spans="2:11">
      <c r="B42" s="24">
        <v>37</v>
      </c>
      <c r="C42" s="25">
        <v>1.774E-3</v>
      </c>
      <c r="D42" s="25">
        <f t="shared" si="1"/>
        <v>0.96447748284152124</v>
      </c>
      <c r="E42" s="26">
        <v>96448</v>
      </c>
      <c r="F42" s="16">
        <v>41.31</v>
      </c>
      <c r="G42" s="16"/>
      <c r="H42" s="25">
        <v>1.0380000000000001E-3</v>
      </c>
      <c r="I42" s="25">
        <f t="shared" si="0"/>
        <v>0.98080809355187493</v>
      </c>
      <c r="J42" s="26">
        <v>98081</v>
      </c>
      <c r="K42" s="16">
        <v>45.28</v>
      </c>
    </row>
    <row r="43" spans="2:11">
      <c r="B43" s="24">
        <v>38</v>
      </c>
      <c r="C43" s="25">
        <v>1.861E-3</v>
      </c>
      <c r="D43" s="25">
        <f t="shared" si="1"/>
        <v>0.96276649978696038</v>
      </c>
      <c r="E43" s="26">
        <v>96277</v>
      </c>
      <c r="F43" s="16">
        <v>40.380000000000003</v>
      </c>
      <c r="G43" s="16"/>
      <c r="H43" s="25">
        <v>1.1130000000000001E-3</v>
      </c>
      <c r="I43" s="25">
        <f t="shared" si="0"/>
        <v>0.9797900147507681</v>
      </c>
      <c r="J43" s="26">
        <v>97979</v>
      </c>
      <c r="K43" s="16">
        <v>44.33</v>
      </c>
    </row>
    <row r="44" spans="2:11">
      <c r="B44" s="24">
        <v>39</v>
      </c>
      <c r="C44" s="25">
        <v>1.967E-3</v>
      </c>
      <c r="D44" s="25">
        <f t="shared" si="1"/>
        <v>0.96097479133085684</v>
      </c>
      <c r="E44" s="26">
        <v>96097</v>
      </c>
      <c r="F44" s="16">
        <v>39.46</v>
      </c>
      <c r="G44" s="16"/>
      <c r="H44" s="25">
        <v>1.196E-3</v>
      </c>
      <c r="I44" s="25">
        <f t="shared" si="0"/>
        <v>0.9786995084643505</v>
      </c>
      <c r="J44" s="26">
        <v>97870</v>
      </c>
      <c r="K44" s="16">
        <v>43.37</v>
      </c>
    </row>
    <row r="45" spans="2:11">
      <c r="B45" s="24">
        <v>40</v>
      </c>
      <c r="C45" s="25">
        <v>2.0920000000000001E-3</v>
      </c>
      <c r="D45" s="25">
        <f t="shared" si="1"/>
        <v>0.95908455391630909</v>
      </c>
      <c r="E45" s="26">
        <v>95908</v>
      </c>
      <c r="F45" s="16">
        <v>38.53</v>
      </c>
      <c r="G45" s="16"/>
      <c r="H45" s="25">
        <v>1.2869999999999999E-3</v>
      </c>
      <c r="I45" s="25">
        <f t="shared" si="0"/>
        <v>0.97752898385222708</v>
      </c>
      <c r="J45" s="26">
        <v>97753</v>
      </c>
      <c r="K45" s="16">
        <v>42.43</v>
      </c>
    </row>
    <row r="46" spans="2:11">
      <c r="B46" s="24">
        <v>41</v>
      </c>
      <c r="C46" s="25">
        <v>2.2399999999999998E-3</v>
      </c>
      <c r="D46" s="25">
        <f t="shared" si="1"/>
        <v>0.95707814902951616</v>
      </c>
      <c r="E46" s="26">
        <v>95708</v>
      </c>
      <c r="F46" s="16">
        <v>37.61</v>
      </c>
      <c r="G46" s="16"/>
      <c r="H46" s="25">
        <v>1.3929999999999999E-3</v>
      </c>
      <c r="I46" s="25">
        <f t="shared" si="0"/>
        <v>0.97627090405000927</v>
      </c>
      <c r="J46" s="26">
        <v>97627</v>
      </c>
      <c r="K46" s="16">
        <v>41.48</v>
      </c>
    </row>
    <row r="47" spans="2:11">
      <c r="B47" s="24">
        <v>42</v>
      </c>
      <c r="C47" s="25">
        <v>2.418E-3</v>
      </c>
      <c r="D47" s="25">
        <f t="shared" si="1"/>
        <v>0.95493429397569007</v>
      </c>
      <c r="E47" s="26">
        <v>95493</v>
      </c>
      <c r="F47" s="16">
        <v>36.700000000000003</v>
      </c>
      <c r="G47" s="16"/>
      <c r="H47" s="25">
        <v>1.5169999999999999E-3</v>
      </c>
      <c r="I47" s="25">
        <f t="shared" si="0"/>
        <v>0.97491095868066757</v>
      </c>
      <c r="J47" s="26">
        <v>97491</v>
      </c>
      <c r="K47" s="16">
        <v>40.54</v>
      </c>
    </row>
    <row r="48" spans="2:11">
      <c r="B48" s="24">
        <v>43</v>
      </c>
      <c r="C48" s="25">
        <v>2.6289999999999998E-3</v>
      </c>
      <c r="D48" s="25">
        <f t="shared" si="1"/>
        <v>0.95262526285285687</v>
      </c>
      <c r="E48" s="26">
        <v>95262</v>
      </c>
      <c r="F48" s="16">
        <v>35.78</v>
      </c>
      <c r="G48" s="16"/>
      <c r="H48" s="25">
        <v>1.6620000000000001E-3</v>
      </c>
      <c r="I48" s="25">
        <f t="shared" si="0"/>
        <v>0.97343201875634899</v>
      </c>
      <c r="J48" s="26">
        <v>97343</v>
      </c>
      <c r="K48" s="16">
        <v>39.6</v>
      </c>
    </row>
    <row r="49" spans="2:11">
      <c r="B49" s="24">
        <v>44</v>
      </c>
      <c r="C49" s="25">
        <v>2.8730000000000001E-3</v>
      </c>
      <c r="D49" s="25">
        <f t="shared" si="1"/>
        <v>0.95012081103681667</v>
      </c>
      <c r="E49" s="26">
        <v>95012</v>
      </c>
      <c r="F49" s="16">
        <v>34.880000000000003</v>
      </c>
      <c r="G49" s="16"/>
      <c r="H49" s="25">
        <v>1.8270000000000001E-3</v>
      </c>
      <c r="I49" s="25">
        <f t="shared" si="0"/>
        <v>0.97181417474117593</v>
      </c>
      <c r="J49" s="26">
        <v>97182</v>
      </c>
      <c r="K49" s="16">
        <v>38.659999999999997</v>
      </c>
    </row>
    <row r="50" spans="2:11">
      <c r="B50" s="24">
        <v>45</v>
      </c>
      <c r="C50" s="25">
        <v>3.1459999999999999E-3</v>
      </c>
      <c r="D50" s="25">
        <f t="shared" si="1"/>
        <v>0.94739111394670794</v>
      </c>
      <c r="E50" s="26">
        <v>94739</v>
      </c>
      <c r="F50" s="16">
        <v>33.979999999999997</v>
      </c>
      <c r="G50" s="16"/>
      <c r="H50" s="25">
        <v>2.0049999999999998E-3</v>
      </c>
      <c r="I50" s="25">
        <f t="shared" si="0"/>
        <v>0.97003867024392376</v>
      </c>
      <c r="J50" s="26">
        <v>97004</v>
      </c>
      <c r="K50" s="16">
        <v>37.729999999999997</v>
      </c>
    </row>
    <row r="51" spans="2:11">
      <c r="B51" s="24">
        <v>46</v>
      </c>
      <c r="C51" s="25">
        <v>3.447E-3</v>
      </c>
      <c r="D51" s="25">
        <f t="shared" si="1"/>
        <v>0.94441062150223165</v>
      </c>
      <c r="E51" s="26">
        <v>94441</v>
      </c>
      <c r="F51" s="16">
        <v>33.08</v>
      </c>
      <c r="G51" s="16"/>
      <c r="H51" s="25">
        <v>2.1979999999999999E-3</v>
      </c>
      <c r="I51" s="25">
        <f t="shared" si="0"/>
        <v>0.96809374271008475</v>
      </c>
      <c r="J51" s="26">
        <v>96810</v>
      </c>
      <c r="K51" s="16">
        <v>36.81</v>
      </c>
    </row>
    <row r="52" spans="2:11">
      <c r="B52" s="24">
        <v>47</v>
      </c>
      <c r="C52" s="25">
        <v>3.787E-3</v>
      </c>
      <c r="D52" s="25">
        <f t="shared" si="1"/>
        <v>0.94115523808991342</v>
      </c>
      <c r="E52" s="26">
        <v>94115</v>
      </c>
      <c r="F52" s="16">
        <v>32.19</v>
      </c>
      <c r="G52" s="16"/>
      <c r="H52" s="25">
        <v>2.4120000000000001E-3</v>
      </c>
      <c r="I52" s="25">
        <f t="shared" si="0"/>
        <v>0.96596587266360801</v>
      </c>
      <c r="J52" s="26">
        <v>96597</v>
      </c>
      <c r="K52" s="16">
        <v>35.89</v>
      </c>
    </row>
    <row r="53" spans="2:11">
      <c r="B53" s="24">
        <v>48</v>
      </c>
      <c r="C53" s="25">
        <v>4.1669999999999997E-3</v>
      </c>
      <c r="D53" s="25">
        <f t="shared" si="1"/>
        <v>0.9375910832032669</v>
      </c>
      <c r="E53" s="26">
        <v>93759</v>
      </c>
      <c r="F53" s="16">
        <v>31.32</v>
      </c>
      <c r="G53" s="16"/>
      <c r="H53" s="25">
        <v>2.6480000000000002E-3</v>
      </c>
      <c r="I53" s="25">
        <f t="shared" si="0"/>
        <v>0.96363596297874343</v>
      </c>
      <c r="J53" s="26">
        <v>96364</v>
      </c>
      <c r="K53" s="16">
        <v>34.97</v>
      </c>
    </row>
    <row r="54" spans="2:11">
      <c r="B54" s="24">
        <v>49</v>
      </c>
      <c r="C54" s="25">
        <v>4.5859999999999998E-3</v>
      </c>
      <c r="D54" s="25">
        <f t="shared" si="1"/>
        <v>0.93368414115955889</v>
      </c>
      <c r="E54" s="26">
        <v>93368</v>
      </c>
      <c r="F54" s="16">
        <v>30.44</v>
      </c>
      <c r="G54" s="16"/>
      <c r="H54" s="25">
        <v>2.9039999999999999E-3</v>
      </c>
      <c r="I54" s="25">
        <f t="shared" si="0"/>
        <v>0.9610842549487757</v>
      </c>
      <c r="J54" s="26">
        <v>96109</v>
      </c>
      <c r="K54" s="16">
        <v>34.06</v>
      </c>
    </row>
    <row r="55" spans="2:11">
      <c r="B55" s="24">
        <v>50</v>
      </c>
      <c r="C55" s="25">
        <v>5.0379999999999999E-3</v>
      </c>
      <c r="D55" s="25">
        <f t="shared" si="1"/>
        <v>0.92940226568820117</v>
      </c>
      <c r="E55" s="26">
        <v>92940</v>
      </c>
      <c r="F55" s="16">
        <v>29.58</v>
      </c>
      <c r="G55" s="16"/>
      <c r="H55" s="25">
        <v>3.1819999999999999E-3</v>
      </c>
      <c r="I55" s="25">
        <f t="shared" si="0"/>
        <v>0.95829326627240441</v>
      </c>
      <c r="J55" s="26">
        <v>95829</v>
      </c>
      <c r="K55" s="16">
        <v>33.159999999999997</v>
      </c>
    </row>
    <row r="56" spans="2:11">
      <c r="B56" s="24">
        <v>51</v>
      </c>
      <c r="C56" s="25">
        <v>5.5199999999999997E-3</v>
      </c>
      <c r="D56" s="25">
        <f t="shared" si="1"/>
        <v>0.92471993707366396</v>
      </c>
      <c r="E56" s="26">
        <v>92472</v>
      </c>
      <c r="F56" s="16">
        <v>28.73</v>
      </c>
      <c r="G56" s="16"/>
      <c r="H56" s="25">
        <v>3.473E-3</v>
      </c>
      <c r="I56" s="25">
        <f t="shared" si="0"/>
        <v>0.95524397709912567</v>
      </c>
      <c r="J56" s="26">
        <v>95524</v>
      </c>
      <c r="K56" s="16">
        <v>32.270000000000003</v>
      </c>
    </row>
    <row r="57" spans="2:11">
      <c r="B57" s="24">
        <v>52</v>
      </c>
      <c r="C57" s="25">
        <v>6.0359999999999997E-3</v>
      </c>
      <c r="D57" s="25">
        <f t="shared" si="1"/>
        <v>0.91961548302101737</v>
      </c>
      <c r="E57" s="26">
        <v>91961</v>
      </c>
      <c r="F57" s="16">
        <v>27.89</v>
      </c>
      <c r="G57" s="16"/>
      <c r="H57" s="25">
        <v>3.7669999999999999E-3</v>
      </c>
      <c r="I57" s="25">
        <f t="shared" si="0"/>
        <v>0.9519264147666604</v>
      </c>
      <c r="J57" s="26">
        <v>95193</v>
      </c>
      <c r="K57" s="16">
        <v>31.38</v>
      </c>
    </row>
    <row r="58" spans="2:11">
      <c r="B58" s="24">
        <v>53</v>
      </c>
      <c r="C58" s="25">
        <v>6.587E-3</v>
      </c>
      <c r="D58" s="25">
        <f t="shared" si="1"/>
        <v>0.91406468396550256</v>
      </c>
      <c r="E58" s="26">
        <v>91406</v>
      </c>
      <c r="F58" s="16">
        <v>27.05</v>
      </c>
      <c r="G58" s="16"/>
      <c r="H58" s="25">
        <v>4.058E-3</v>
      </c>
      <c r="I58" s="25">
        <f t="shared" si="0"/>
        <v>0.94834050796223435</v>
      </c>
      <c r="J58" s="26">
        <v>94834</v>
      </c>
      <c r="K58" s="16">
        <v>30.49</v>
      </c>
    </row>
    <row r="59" spans="2:11">
      <c r="B59" s="24">
        <v>54</v>
      </c>
      <c r="C59" s="25">
        <v>7.1700000000000002E-3</v>
      </c>
      <c r="D59" s="25">
        <f t="shared" si="1"/>
        <v>0.90804373989222176</v>
      </c>
      <c r="E59" s="26">
        <v>90804</v>
      </c>
      <c r="F59" s="16">
        <v>26.23</v>
      </c>
      <c r="G59" s="16"/>
      <c r="H59" s="25">
        <v>4.352E-3</v>
      </c>
      <c r="I59" s="25">
        <f t="shared" si="0"/>
        <v>0.94449214218092359</v>
      </c>
      <c r="J59" s="26">
        <v>94449</v>
      </c>
      <c r="K59" s="16">
        <v>29.62</v>
      </c>
    </row>
    <row r="60" spans="2:11">
      <c r="B60" s="24">
        <v>55</v>
      </c>
      <c r="C60" s="25">
        <v>7.8009999999999998E-3</v>
      </c>
      <c r="D60" s="25">
        <f t="shared" si="1"/>
        <v>0.90153306627719454</v>
      </c>
      <c r="E60" s="26">
        <v>90153</v>
      </c>
      <c r="F60" s="16">
        <v>25.41</v>
      </c>
      <c r="G60" s="16"/>
      <c r="H60" s="25">
        <v>4.6810000000000003E-3</v>
      </c>
      <c r="I60" s="25">
        <f t="shared" si="0"/>
        <v>0.94038171237815216</v>
      </c>
      <c r="J60" s="26">
        <v>94038</v>
      </c>
      <c r="K60" s="16">
        <v>28.74</v>
      </c>
    </row>
    <row r="61" spans="2:11">
      <c r="B61" s="24">
        <v>56</v>
      </c>
      <c r="C61" s="25">
        <v>8.4659999999999996E-3</v>
      </c>
      <c r="D61" s="25">
        <f t="shared" si="1"/>
        <v>0.89450020682716613</v>
      </c>
      <c r="E61" s="26">
        <v>89450</v>
      </c>
      <c r="F61" s="16">
        <v>24.61</v>
      </c>
      <c r="G61" s="16"/>
      <c r="H61" s="25">
        <v>5.0400000000000002E-3</v>
      </c>
      <c r="I61" s="25">
        <f t="shared" si="0"/>
        <v>0.93597978558251005</v>
      </c>
      <c r="J61" s="26">
        <v>93598</v>
      </c>
      <c r="K61" s="16">
        <v>27.88</v>
      </c>
    </row>
    <row r="62" spans="2:11">
      <c r="B62" s="24">
        <v>57</v>
      </c>
      <c r="C62" s="25">
        <v>9.1330000000000005E-3</v>
      </c>
      <c r="D62" s="25">
        <f t="shared" si="1"/>
        <v>0.88692736807616734</v>
      </c>
      <c r="E62" s="26">
        <v>88693</v>
      </c>
      <c r="F62" s="16">
        <v>23.82</v>
      </c>
      <c r="G62" s="16"/>
      <c r="H62" s="25">
        <v>5.4000000000000003E-3</v>
      </c>
      <c r="I62" s="25">
        <f t="shared" si="0"/>
        <v>0.93126244746317421</v>
      </c>
      <c r="J62" s="26">
        <v>93126</v>
      </c>
      <c r="K62" s="16">
        <v>27.01</v>
      </c>
    </row>
    <row r="63" spans="2:11">
      <c r="B63" s="24">
        <v>58</v>
      </c>
      <c r="C63" s="25">
        <v>9.7920000000000004E-3</v>
      </c>
      <c r="D63" s="25">
        <f t="shared" si="1"/>
        <v>0.87882706042352776</v>
      </c>
      <c r="E63" s="26">
        <v>87883</v>
      </c>
      <c r="F63" s="16">
        <v>23.03</v>
      </c>
      <c r="G63" s="16"/>
      <c r="H63" s="25">
        <v>5.7559999999999998E-3</v>
      </c>
      <c r="I63" s="25">
        <f t="shared" si="0"/>
        <v>0.92623363024687311</v>
      </c>
      <c r="J63" s="26">
        <v>92623</v>
      </c>
      <c r="K63" s="16">
        <v>26.16</v>
      </c>
    </row>
    <row r="64" spans="2:11">
      <c r="B64" s="24">
        <v>59</v>
      </c>
      <c r="C64" s="25">
        <v>1.0462000000000001E-2</v>
      </c>
      <c r="D64" s="25">
        <f t="shared" si="1"/>
        <v>0.87022158584786058</v>
      </c>
      <c r="E64" s="26">
        <v>87022</v>
      </c>
      <c r="F64" s="16">
        <v>22.25</v>
      </c>
      <c r="G64" s="16"/>
      <c r="H64" s="25">
        <v>6.1279999999999998E-3</v>
      </c>
      <c r="I64" s="25">
        <f t="shared" si="0"/>
        <v>0.92090222947117206</v>
      </c>
      <c r="J64" s="26">
        <v>92090</v>
      </c>
      <c r="K64" s="16">
        <v>25.31</v>
      </c>
    </row>
    <row r="65" spans="2:11">
      <c r="B65" s="24">
        <v>60</v>
      </c>
      <c r="C65" s="25">
        <v>1.1197E-2</v>
      </c>
      <c r="D65" s="25">
        <f t="shared" si="1"/>
        <v>0.86111732761672022</v>
      </c>
      <c r="E65" s="26">
        <v>86112</v>
      </c>
      <c r="F65" s="16">
        <v>21.48</v>
      </c>
      <c r="G65" s="16"/>
      <c r="H65" s="25">
        <v>6.5449999999999996E-3</v>
      </c>
      <c r="I65" s="25">
        <f t="shared" si="0"/>
        <v>0.91525894060897273</v>
      </c>
      <c r="J65" s="26">
        <v>91526</v>
      </c>
      <c r="K65" s="16">
        <v>24.46</v>
      </c>
    </row>
    <row r="66" spans="2:11">
      <c r="B66" s="24">
        <v>61</v>
      </c>
      <c r="C66" s="25">
        <v>1.2009000000000001E-2</v>
      </c>
      <c r="D66" s="25">
        <f t="shared" si="1"/>
        <v>0.85147539689939578</v>
      </c>
      <c r="E66" s="26">
        <v>85147</v>
      </c>
      <c r="F66" s="16">
        <v>20.72</v>
      </c>
      <c r="G66" s="16"/>
      <c r="H66" s="25">
        <v>7.0340000000000003E-3</v>
      </c>
      <c r="I66" s="25">
        <f t="shared" si="0"/>
        <v>0.90926857084268697</v>
      </c>
      <c r="J66" s="26">
        <v>90927</v>
      </c>
      <c r="K66" s="16">
        <v>23.62</v>
      </c>
    </row>
    <row r="67" spans="2:11">
      <c r="B67" s="24">
        <v>62</v>
      </c>
      <c r="C67" s="25">
        <v>1.2867E-2</v>
      </c>
      <c r="D67" s="25">
        <f t="shared" si="1"/>
        <v>0.84125002885803091</v>
      </c>
      <c r="E67" s="26">
        <v>84125</v>
      </c>
      <c r="F67" s="16">
        <v>19.97</v>
      </c>
      <c r="G67" s="16"/>
      <c r="H67" s="25">
        <v>7.607E-3</v>
      </c>
      <c r="I67" s="25">
        <f t="shared" si="0"/>
        <v>0.90287277571537949</v>
      </c>
      <c r="J67" s="26">
        <v>90287</v>
      </c>
      <c r="K67" s="16">
        <v>22.78</v>
      </c>
    </row>
    <row r="68" spans="2:11">
      <c r="B68" s="24">
        <v>63</v>
      </c>
      <c r="C68" s="25">
        <v>1.3772E-2</v>
      </c>
      <c r="D68" s="25">
        <f t="shared" si="1"/>
        <v>0.83042566473671464</v>
      </c>
      <c r="E68" s="26">
        <v>83042</v>
      </c>
      <c r="F68" s="16">
        <v>19.22</v>
      </c>
      <c r="G68" s="16"/>
      <c r="H68" s="25">
        <v>8.2810000000000002E-3</v>
      </c>
      <c r="I68" s="25">
        <f t="shared" si="0"/>
        <v>0.8960046225105126</v>
      </c>
      <c r="J68" s="26">
        <v>89600</v>
      </c>
      <c r="K68" s="16">
        <v>21.95</v>
      </c>
    </row>
    <row r="69" spans="2:11">
      <c r="B69" s="24">
        <v>64</v>
      </c>
      <c r="C69" s="25">
        <v>1.4749E-2</v>
      </c>
      <c r="D69" s="25">
        <f t="shared" si="1"/>
        <v>0.81898904248196058</v>
      </c>
      <c r="E69" s="26">
        <v>81899</v>
      </c>
      <c r="F69" s="16">
        <v>18.48</v>
      </c>
      <c r="G69" s="16"/>
      <c r="H69" s="25">
        <v>9.0570000000000008E-3</v>
      </c>
      <c r="I69" s="25">
        <f t="shared" si="0"/>
        <v>0.8885848082315031</v>
      </c>
      <c r="J69" s="26">
        <v>88858</v>
      </c>
      <c r="K69" s="16">
        <v>21.13</v>
      </c>
    </row>
    <row r="70" spans="2:11">
      <c r="B70" s="24">
        <v>65</v>
      </c>
      <c r="C70" s="25">
        <v>1.5852000000000002E-2</v>
      </c>
      <c r="D70" s="25">
        <f t="shared" si="1"/>
        <v>0.80690977309439416</v>
      </c>
      <c r="E70" s="26">
        <v>80691</v>
      </c>
      <c r="F70" s="16">
        <v>17.75</v>
      </c>
      <c r="G70" s="16"/>
      <c r="H70" s="25">
        <v>9.953E-3</v>
      </c>
      <c r="I70" s="25">
        <f t="shared" si="0"/>
        <v>0.88053689562335036</v>
      </c>
      <c r="J70" s="26">
        <v>88054</v>
      </c>
      <c r="K70" s="16">
        <v>20.32</v>
      </c>
    </row>
    <row r="71" spans="2:11">
      <c r="B71" s="24">
        <v>66</v>
      </c>
      <c r="C71" s="25">
        <v>1.7097000000000001E-2</v>
      </c>
      <c r="D71" s="25">
        <f t="shared" si="1"/>
        <v>0.79411863937130178</v>
      </c>
      <c r="E71" s="26">
        <v>79412</v>
      </c>
      <c r="F71" s="16">
        <v>17.03</v>
      </c>
      <c r="G71" s="16"/>
      <c r="H71" s="25">
        <v>1.095E-2</v>
      </c>
      <c r="I71" s="25">
        <f t="shared" ref="I71:I124" si="2">I70-(I70*H70)</f>
        <v>0.8717729119012112</v>
      </c>
      <c r="J71" s="26">
        <v>87177</v>
      </c>
      <c r="K71" s="16">
        <v>19.52</v>
      </c>
    </row>
    <row r="72" spans="2:11">
      <c r="B72" s="24">
        <v>67</v>
      </c>
      <c r="C72" s="25">
        <v>1.8463E-2</v>
      </c>
      <c r="D72" s="25">
        <f t="shared" si="1"/>
        <v>0.78054159299397063</v>
      </c>
      <c r="E72" s="26">
        <v>78054</v>
      </c>
      <c r="F72" s="16">
        <v>16.32</v>
      </c>
      <c r="G72" s="16"/>
      <c r="H72" s="25">
        <v>1.201E-2</v>
      </c>
      <c r="I72" s="25">
        <f t="shared" si="2"/>
        <v>0.86222699851589291</v>
      </c>
      <c r="J72" s="26">
        <v>86223</v>
      </c>
      <c r="K72" s="16">
        <v>18.73</v>
      </c>
    </row>
    <row r="73" spans="2:11">
      <c r="B73" s="24">
        <v>68</v>
      </c>
      <c r="C73" s="25">
        <v>1.9959000000000001E-2</v>
      </c>
      <c r="D73" s="25">
        <f t="shared" si="1"/>
        <v>0.76613045356252296</v>
      </c>
      <c r="E73" s="26">
        <v>76613</v>
      </c>
      <c r="F73" s="16">
        <v>15.61</v>
      </c>
      <c r="G73" s="16"/>
      <c r="H73" s="25">
        <v>1.3124E-2</v>
      </c>
      <c r="I73" s="25">
        <f t="shared" si="2"/>
        <v>0.85187165226371708</v>
      </c>
      <c r="J73" s="26">
        <v>85187</v>
      </c>
      <c r="K73" s="16">
        <v>17.95</v>
      </c>
    </row>
    <row r="74" spans="2:11">
      <c r="B74" s="24">
        <v>69</v>
      </c>
      <c r="C74" s="25">
        <v>2.1616E-2</v>
      </c>
      <c r="D74" s="25">
        <f t="shared" ref="D74:D124" si="3">D73-(D73*C73)</f>
        <v>0.75083925583986855</v>
      </c>
      <c r="E74" s="26">
        <v>75084</v>
      </c>
      <c r="F74" s="16">
        <v>14.92</v>
      </c>
      <c r="G74" s="16"/>
      <c r="H74" s="25">
        <v>1.4330000000000001E-2</v>
      </c>
      <c r="I74" s="25">
        <f t="shared" si="2"/>
        <v>0.84069168869940802</v>
      </c>
      <c r="J74" s="26">
        <v>84069</v>
      </c>
      <c r="K74" s="16">
        <v>17.18</v>
      </c>
    </row>
    <row r="75" spans="2:11">
      <c r="B75" s="24">
        <v>70</v>
      </c>
      <c r="C75" s="25">
        <v>2.3528E-2</v>
      </c>
      <c r="D75" s="25">
        <f t="shared" si="3"/>
        <v>0.73460911448563393</v>
      </c>
      <c r="E75" s="26">
        <v>73461</v>
      </c>
      <c r="F75" s="16">
        <v>14.24</v>
      </c>
      <c r="G75" s="16"/>
      <c r="H75" s="25">
        <v>1.5727999999999999E-2</v>
      </c>
      <c r="I75" s="25">
        <f t="shared" si="2"/>
        <v>0.82864457680034553</v>
      </c>
      <c r="J75" s="26">
        <v>82864</v>
      </c>
      <c r="K75" s="16">
        <v>16.43</v>
      </c>
    </row>
    <row r="76" spans="2:11">
      <c r="B76" s="24">
        <v>71</v>
      </c>
      <c r="C76" s="25">
        <v>2.5693000000000001E-2</v>
      </c>
      <c r="D76" s="25">
        <f t="shared" si="3"/>
        <v>0.7173252312400159</v>
      </c>
      <c r="E76" s="26">
        <v>71732</v>
      </c>
      <c r="F76" s="16">
        <v>13.57</v>
      </c>
      <c r="G76" s="16"/>
      <c r="H76" s="25">
        <v>1.7337999999999999E-2</v>
      </c>
      <c r="I76" s="25">
        <f t="shared" si="2"/>
        <v>0.81561165489642973</v>
      </c>
      <c r="J76" s="26">
        <v>81561</v>
      </c>
      <c r="K76" s="16">
        <v>15.68</v>
      </c>
    </row>
    <row r="77" spans="2:11">
      <c r="B77" s="24">
        <v>72</v>
      </c>
      <c r="C77" s="25">
        <v>2.8041E-2</v>
      </c>
      <c r="D77" s="25">
        <f t="shared" si="3"/>
        <v>0.69889499407376621</v>
      </c>
      <c r="E77" s="26">
        <v>69889</v>
      </c>
      <c r="F77" s="16">
        <v>12.92</v>
      </c>
      <c r="G77" s="16"/>
      <c r="H77" s="25">
        <v>1.9108E-2</v>
      </c>
      <c r="I77" s="25">
        <f t="shared" si="2"/>
        <v>0.80147058002383542</v>
      </c>
      <c r="J77" s="26">
        <v>80147</v>
      </c>
      <c r="K77" s="16">
        <v>14.95</v>
      </c>
    </row>
    <row r="78" spans="2:11">
      <c r="B78" s="24">
        <v>73</v>
      </c>
      <c r="C78" s="25">
        <v>3.0567E-2</v>
      </c>
      <c r="D78" s="25">
        <f t="shared" si="3"/>
        <v>0.67929727954494368</v>
      </c>
      <c r="E78" s="26">
        <v>67930</v>
      </c>
      <c r="F78" s="16">
        <v>12.27</v>
      </c>
      <c r="G78" s="16"/>
      <c r="H78" s="25">
        <v>2.1041000000000001E-2</v>
      </c>
      <c r="I78" s="25">
        <f t="shared" si="2"/>
        <v>0.78615608018074001</v>
      </c>
      <c r="J78" s="26">
        <v>78616</v>
      </c>
      <c r="K78" s="16">
        <v>14.23</v>
      </c>
    </row>
    <row r="79" spans="2:11">
      <c r="B79" s="24">
        <v>74</v>
      </c>
      <c r="C79" s="25">
        <v>3.3347000000000002E-2</v>
      </c>
      <c r="D79" s="25">
        <f t="shared" si="3"/>
        <v>0.65853319960109336</v>
      </c>
      <c r="E79" s="26">
        <v>65853</v>
      </c>
      <c r="F79" s="16">
        <v>11.65</v>
      </c>
      <c r="G79" s="16"/>
      <c r="H79" s="25">
        <v>2.3191E-2</v>
      </c>
      <c r="I79" s="25">
        <f t="shared" si="2"/>
        <v>0.7696145700976571</v>
      </c>
      <c r="J79" s="26">
        <v>76961</v>
      </c>
      <c r="K79" s="16">
        <v>13.53</v>
      </c>
    </row>
    <row r="80" spans="2:11">
      <c r="B80" s="24">
        <v>75</v>
      </c>
      <c r="C80" s="25">
        <v>3.6572E-2</v>
      </c>
      <c r="D80" s="25">
        <f t="shared" si="3"/>
        <v>0.63657309299399567</v>
      </c>
      <c r="E80" s="26">
        <v>63657</v>
      </c>
      <c r="F80" s="16">
        <v>11.03</v>
      </c>
      <c r="G80" s="16"/>
      <c r="H80" s="25">
        <v>2.5713E-2</v>
      </c>
      <c r="I80" s="25">
        <f t="shared" si="2"/>
        <v>0.75176643860252235</v>
      </c>
      <c r="J80" s="26">
        <v>75177</v>
      </c>
      <c r="K80" s="16">
        <v>12.83</v>
      </c>
    </row>
    <row r="81" spans="2:11">
      <c r="B81" s="24">
        <v>76</v>
      </c>
      <c r="C81" s="25">
        <v>4.0275999999999999E-2</v>
      </c>
      <c r="D81" s="25">
        <f t="shared" si="3"/>
        <v>0.61329234183701931</v>
      </c>
      <c r="E81" s="26">
        <v>61329</v>
      </c>
      <c r="F81" s="16">
        <v>10.43</v>
      </c>
      <c r="G81" s="16"/>
      <c r="H81" s="25">
        <v>2.8608999999999999E-2</v>
      </c>
      <c r="I81" s="25">
        <f t="shared" si="2"/>
        <v>0.73243626816673568</v>
      </c>
      <c r="J81" s="26">
        <v>73244</v>
      </c>
      <c r="K81" s="16">
        <v>12.16</v>
      </c>
    </row>
    <row r="82" spans="2:11">
      <c r="B82" s="24">
        <v>77</v>
      </c>
      <c r="C82" s="25">
        <v>4.4347999999999999E-2</v>
      </c>
      <c r="D82" s="25">
        <f t="shared" si="3"/>
        <v>0.58859137947719153</v>
      </c>
      <c r="E82" s="26">
        <v>58859</v>
      </c>
      <c r="F82" s="16">
        <v>9.85</v>
      </c>
      <c r="G82" s="16"/>
      <c r="H82" s="25">
        <v>3.1759999999999997E-2</v>
      </c>
      <c r="I82" s="25">
        <f t="shared" si="2"/>
        <v>0.71148199897075359</v>
      </c>
      <c r="J82" s="26">
        <v>71148</v>
      </c>
      <c r="K82" s="16">
        <v>11.5</v>
      </c>
    </row>
    <row r="83" spans="2:11">
      <c r="B83" s="24">
        <v>78</v>
      </c>
      <c r="C83" s="25">
        <v>4.8797E-2</v>
      </c>
      <c r="D83" s="25">
        <f t="shared" si="3"/>
        <v>0.56248852898013701</v>
      </c>
      <c r="E83" s="26">
        <v>56249</v>
      </c>
      <c r="F83" s="16">
        <v>9.2799999999999994</v>
      </c>
      <c r="G83" s="16"/>
      <c r="H83" s="25">
        <v>3.5157000000000001E-2</v>
      </c>
      <c r="I83" s="25">
        <f t="shared" si="2"/>
        <v>0.68888533068344249</v>
      </c>
      <c r="J83" s="26">
        <v>68888</v>
      </c>
      <c r="K83" s="16">
        <v>10.86</v>
      </c>
    </row>
    <row r="84" spans="2:11">
      <c r="B84" s="24">
        <v>79</v>
      </c>
      <c r="C84" s="25">
        <v>5.3739000000000002E-2</v>
      </c>
      <c r="D84" s="25">
        <f t="shared" si="3"/>
        <v>0.53504077623149326</v>
      </c>
      <c r="E84" s="26">
        <v>53504</v>
      </c>
      <c r="F84" s="16">
        <v>8.73</v>
      </c>
      <c r="G84" s="16"/>
      <c r="H84" s="25">
        <v>3.8920000000000003E-2</v>
      </c>
      <c r="I84" s="25">
        <f t="shared" si="2"/>
        <v>0.66466618911260467</v>
      </c>
      <c r="J84" s="26">
        <v>66467</v>
      </c>
      <c r="K84" s="16">
        <v>10.24</v>
      </c>
    </row>
    <row r="85" spans="2:11">
      <c r="B85" s="24">
        <v>80</v>
      </c>
      <c r="C85" s="25">
        <v>5.9402999999999997E-2</v>
      </c>
      <c r="D85" s="25">
        <f t="shared" si="3"/>
        <v>0.5062882199575891</v>
      </c>
      <c r="E85" s="26">
        <v>50629</v>
      </c>
      <c r="F85" s="16">
        <v>8.1999999999999993</v>
      </c>
      <c r="G85" s="16"/>
      <c r="H85" s="25">
        <v>4.3289000000000001E-2</v>
      </c>
      <c r="I85" s="25">
        <f t="shared" si="2"/>
        <v>0.63879738103234207</v>
      </c>
      <c r="J85" s="26">
        <v>63880</v>
      </c>
      <c r="K85" s="16">
        <v>9.64</v>
      </c>
    </row>
    <row r="86" spans="2:11">
      <c r="B86" s="24">
        <v>81</v>
      </c>
      <c r="C86" s="25">
        <v>6.5873000000000001E-2</v>
      </c>
      <c r="D86" s="25">
        <f t="shared" si="3"/>
        <v>0.47621318082744846</v>
      </c>
      <c r="E86" s="26">
        <v>47621</v>
      </c>
      <c r="F86" s="16">
        <v>7.68</v>
      </c>
      <c r="G86" s="16"/>
      <c r="H86" s="25">
        <v>4.8356000000000003E-2</v>
      </c>
      <c r="I86" s="25">
        <f t="shared" si="2"/>
        <v>0.611144481204833</v>
      </c>
      <c r="J86" s="26">
        <v>61114</v>
      </c>
      <c r="K86" s="16">
        <v>9.0500000000000007</v>
      </c>
    </row>
    <row r="87" spans="2:11">
      <c r="B87" s="24">
        <v>82</v>
      </c>
      <c r="C87" s="25">
        <v>7.3081999999999994E-2</v>
      </c>
      <c r="D87" s="25">
        <f t="shared" si="3"/>
        <v>0.44484358996680196</v>
      </c>
      <c r="E87" s="26">
        <v>44484</v>
      </c>
      <c r="F87" s="16">
        <v>7.19</v>
      </c>
      <c r="G87" s="16"/>
      <c r="H87" s="25">
        <v>5.4040999999999999E-2</v>
      </c>
      <c r="I87" s="25">
        <f t="shared" si="2"/>
        <v>0.5815919786716921</v>
      </c>
      <c r="J87" s="26">
        <v>58159</v>
      </c>
      <c r="K87" s="16">
        <v>8.48</v>
      </c>
    </row>
    <row r="88" spans="2:11">
      <c r="B88" s="24">
        <v>83</v>
      </c>
      <c r="C88" s="25">
        <v>8.1070000000000003E-2</v>
      </c>
      <c r="D88" s="25">
        <f t="shared" si="3"/>
        <v>0.41233353072484813</v>
      </c>
      <c r="E88" s="26">
        <v>41233</v>
      </c>
      <c r="F88" s="16">
        <v>6.72</v>
      </c>
      <c r="G88" s="16"/>
      <c r="H88" s="25">
        <v>6.0384E-2</v>
      </c>
      <c r="I88" s="25">
        <f t="shared" si="2"/>
        <v>0.55016216655229522</v>
      </c>
      <c r="J88" s="26">
        <v>55016</v>
      </c>
      <c r="K88" s="16">
        <v>7.94</v>
      </c>
    </row>
    <row r="89" spans="2:11">
      <c r="B89" s="24">
        <v>84</v>
      </c>
      <c r="C89" s="25">
        <v>8.9946999999999999E-2</v>
      </c>
      <c r="D89" s="25">
        <f t="shared" si="3"/>
        <v>0.37890565138898469</v>
      </c>
      <c r="E89" s="26">
        <v>37890</v>
      </c>
      <c r="F89" s="16">
        <v>6.27</v>
      </c>
      <c r="G89" s="16"/>
      <c r="H89" s="25">
        <v>6.7498000000000002E-2</v>
      </c>
      <c r="I89" s="25">
        <f t="shared" si="2"/>
        <v>0.51694117428720143</v>
      </c>
      <c r="J89" s="26">
        <v>51694</v>
      </c>
      <c r="K89" s="16">
        <v>7.42</v>
      </c>
    </row>
    <row r="90" spans="2:11">
      <c r="B90" s="24">
        <v>85</v>
      </c>
      <c r="C90" s="25">
        <v>9.9842E-2</v>
      </c>
      <c r="D90" s="25">
        <f t="shared" si="3"/>
        <v>0.34482422476349966</v>
      </c>
      <c r="E90" s="26">
        <v>34482</v>
      </c>
      <c r="F90" s="16">
        <v>5.84</v>
      </c>
      <c r="G90" s="16"/>
      <c r="H90" s="25">
        <v>7.5516E-2</v>
      </c>
      <c r="I90" s="25">
        <f t="shared" si="2"/>
        <v>0.4820486789051639</v>
      </c>
      <c r="J90" s="26">
        <v>48205</v>
      </c>
      <c r="K90" s="16">
        <v>6.92</v>
      </c>
    </row>
    <row r="91" spans="2:11">
      <c r="B91" s="24">
        <v>86</v>
      </c>
      <c r="C91" s="25">
        <v>0.110863</v>
      </c>
      <c r="D91" s="25">
        <f t="shared" si="3"/>
        <v>0.31039628451466234</v>
      </c>
      <c r="E91" s="26">
        <v>31040</v>
      </c>
      <c r="F91" s="16">
        <v>5.43</v>
      </c>
      <c r="G91" s="16"/>
      <c r="H91" s="25">
        <v>8.4556000000000006E-2</v>
      </c>
      <c r="I91" s="25">
        <f t="shared" si="2"/>
        <v>0.44564629086896157</v>
      </c>
      <c r="J91" s="26">
        <v>44565</v>
      </c>
      <c r="K91" s="16">
        <v>6.44</v>
      </c>
    </row>
    <row r="92" spans="2:11">
      <c r="B92" s="24">
        <v>87</v>
      </c>
      <c r="C92" s="25">
        <v>0.123088</v>
      </c>
      <c r="D92" s="25">
        <f t="shared" si="3"/>
        <v>0.27598482122451334</v>
      </c>
      <c r="E92" s="26">
        <v>27598</v>
      </c>
      <c r="F92" s="16">
        <v>5.04</v>
      </c>
      <c r="G92" s="16"/>
      <c r="H92" s="25">
        <v>9.4702999999999996E-2</v>
      </c>
      <c r="I92" s="25">
        <f t="shared" si="2"/>
        <v>0.40796422309824565</v>
      </c>
      <c r="J92" s="26">
        <v>40796</v>
      </c>
      <c r="K92" s="16">
        <v>5.99</v>
      </c>
    </row>
    <row r="93" spans="2:11">
      <c r="B93" s="24">
        <v>88</v>
      </c>
      <c r="C93" s="25">
        <v>0.13656299999999999</v>
      </c>
      <c r="D93" s="25">
        <f t="shared" si="3"/>
        <v>0.24201440154963044</v>
      </c>
      <c r="E93" s="26">
        <v>24201</v>
      </c>
      <c r="F93" s="16">
        <v>4.68</v>
      </c>
      <c r="G93" s="16"/>
      <c r="H93" s="25">
        <v>0.106014</v>
      </c>
      <c r="I93" s="25">
        <f t="shared" si="2"/>
        <v>0.36932878727817248</v>
      </c>
      <c r="J93" s="26">
        <v>36933</v>
      </c>
      <c r="K93" s="16">
        <v>5.57</v>
      </c>
    </row>
    <row r="94" spans="2:11">
      <c r="B94" s="24">
        <v>89</v>
      </c>
      <c r="C94" s="25">
        <v>0.15129899999999999</v>
      </c>
      <c r="D94" s="25">
        <f t="shared" si="3"/>
        <v>0.20896418883080825</v>
      </c>
      <c r="E94" s="26">
        <v>20896</v>
      </c>
      <c r="F94" s="16">
        <v>4.34</v>
      </c>
      <c r="G94" s="16"/>
      <c r="H94" s="25">
        <v>0.11851299999999999</v>
      </c>
      <c r="I94" s="25">
        <f t="shared" si="2"/>
        <v>0.33017476522366429</v>
      </c>
      <c r="J94" s="26">
        <v>33017</v>
      </c>
      <c r="K94" s="16">
        <v>5.17</v>
      </c>
    </row>
    <row r="95" spans="2:11">
      <c r="B95" s="24">
        <v>90</v>
      </c>
      <c r="C95" s="25">
        <v>0.167291</v>
      </c>
      <c r="D95" s="25">
        <f t="shared" si="3"/>
        <v>0.17734811602489581</v>
      </c>
      <c r="E95" s="26">
        <v>17735</v>
      </c>
      <c r="F95" s="16">
        <v>4.03</v>
      </c>
      <c r="G95" s="16"/>
      <c r="H95" s="25">
        <v>0.13220599999999999</v>
      </c>
      <c r="I95" s="25">
        <f t="shared" si="2"/>
        <v>0.29104476327271217</v>
      </c>
      <c r="J95" s="26">
        <v>29104</v>
      </c>
      <c r="K95" s="16">
        <v>4.8</v>
      </c>
    </row>
    <row r="96" spans="2:11">
      <c r="B96" s="24">
        <v>91</v>
      </c>
      <c r="C96" s="25">
        <v>0.18451999999999999</v>
      </c>
      <c r="D96" s="25">
        <f t="shared" si="3"/>
        <v>0.14767937234697495</v>
      </c>
      <c r="E96" s="26">
        <v>14768</v>
      </c>
      <c r="F96" s="16">
        <v>3.74</v>
      </c>
      <c r="G96" s="16"/>
      <c r="H96" s="25">
        <v>0.147092</v>
      </c>
      <c r="I96" s="25">
        <f t="shared" si="2"/>
        <v>0.25256689929948001</v>
      </c>
      <c r="J96" s="26">
        <v>25257</v>
      </c>
      <c r="K96" s="16">
        <v>4.45</v>
      </c>
    </row>
    <row r="97" spans="2:11">
      <c r="B97" s="24">
        <v>92</v>
      </c>
      <c r="C97" s="25">
        <v>0.202954</v>
      </c>
      <c r="D97" s="25">
        <f t="shared" si="3"/>
        <v>0.12042957456151113</v>
      </c>
      <c r="E97" s="26">
        <v>12043</v>
      </c>
      <c r="F97" s="16">
        <v>3.47</v>
      </c>
      <c r="G97" s="16"/>
      <c r="H97" s="25">
        <v>0.16315399999999999</v>
      </c>
      <c r="I97" s="25">
        <f t="shared" si="2"/>
        <v>0.21541632894772089</v>
      </c>
      <c r="J97" s="26">
        <v>21542</v>
      </c>
      <c r="K97" s="16">
        <v>4.13</v>
      </c>
    </row>
    <row r="98" spans="2:11">
      <c r="B98" s="24">
        <v>93</v>
      </c>
      <c r="C98" s="25">
        <v>0.222555</v>
      </c>
      <c r="D98" s="25">
        <f t="shared" si="3"/>
        <v>9.5987910685954192E-2</v>
      </c>
      <c r="E98" s="26">
        <v>9599</v>
      </c>
      <c r="F98" s="16">
        <v>3.23</v>
      </c>
      <c r="G98" s="16"/>
      <c r="H98" s="25">
        <v>0.180371</v>
      </c>
      <c r="I98" s="25">
        <f t="shared" si="2"/>
        <v>0.18027029321458443</v>
      </c>
      <c r="J98" s="26">
        <v>18027</v>
      </c>
      <c r="K98" s="16">
        <v>3.84</v>
      </c>
    </row>
    <row r="99" spans="2:11">
      <c r="B99" s="24">
        <v>94</v>
      </c>
      <c r="C99" s="25">
        <v>0.24327199999999999</v>
      </c>
      <c r="D99" s="25">
        <f t="shared" si="3"/>
        <v>7.4625321223241656E-2</v>
      </c>
      <c r="E99" s="26">
        <v>7463</v>
      </c>
      <c r="F99" s="16">
        <v>3.01</v>
      </c>
      <c r="G99" s="16"/>
      <c r="H99" s="25">
        <v>0.198714</v>
      </c>
      <c r="I99" s="25">
        <f t="shared" si="2"/>
        <v>0.14775476015717662</v>
      </c>
      <c r="J99" s="26">
        <v>14775</v>
      </c>
      <c r="K99" s="16">
        <v>3.57</v>
      </c>
    </row>
    <row r="100" spans="2:11">
      <c r="B100" s="24">
        <v>95</v>
      </c>
      <c r="C100" s="25">
        <v>0.26382100000000003</v>
      </c>
      <c r="D100" s="25">
        <f t="shared" si="3"/>
        <v>5.6471070078621212E-2</v>
      </c>
      <c r="E100" s="26">
        <v>5647</v>
      </c>
      <c r="F100" s="16">
        <v>2.82</v>
      </c>
      <c r="G100" s="16"/>
      <c r="H100" s="25">
        <v>0.21726400000000001</v>
      </c>
      <c r="I100" s="25">
        <f t="shared" si="2"/>
        <v>0.11839382074730342</v>
      </c>
      <c r="J100" s="26">
        <v>11839</v>
      </c>
      <c r="K100" s="16">
        <v>3.34</v>
      </c>
    </row>
    <row r="101" spans="2:11">
      <c r="B101" s="24">
        <v>96</v>
      </c>
      <c r="C101" s="25">
        <v>0.283833</v>
      </c>
      <c r="D101" s="25">
        <f t="shared" si="3"/>
        <v>4.1572815899409282E-2</v>
      </c>
      <c r="E101" s="26">
        <v>4157</v>
      </c>
      <c r="F101" s="16">
        <v>2.64</v>
      </c>
      <c r="G101" s="16"/>
      <c r="H101" s="25">
        <v>0.235735</v>
      </c>
      <c r="I101" s="25">
        <f t="shared" si="2"/>
        <v>9.2671105676461293E-2</v>
      </c>
      <c r="J101" s="26">
        <v>9267</v>
      </c>
      <c r="K101" s="16">
        <v>3.12</v>
      </c>
    </row>
    <row r="102" spans="2:11">
      <c r="B102" s="24">
        <v>97</v>
      </c>
      <c r="C102" s="25">
        <v>0.30291600000000002</v>
      </c>
      <c r="D102" s="25">
        <f t="shared" si="3"/>
        <v>2.9773078844232248E-2</v>
      </c>
      <c r="E102" s="26">
        <v>2977</v>
      </c>
      <c r="F102" s="16">
        <v>2.4900000000000002</v>
      </c>
      <c r="G102" s="16"/>
      <c r="H102" s="25">
        <v>0.25380999999999998</v>
      </c>
      <c r="I102" s="25">
        <f t="shared" si="2"/>
        <v>7.0825282579820695E-2</v>
      </c>
      <c r="J102" s="26">
        <v>7083</v>
      </c>
      <c r="K102" s="16">
        <v>2.93</v>
      </c>
    </row>
    <row r="103" spans="2:11">
      <c r="B103" s="24">
        <v>98</v>
      </c>
      <c r="C103" s="25">
        <v>0.32067200000000001</v>
      </c>
      <c r="D103" s="25">
        <f t="shared" si="3"/>
        <v>2.075433689305279E-2</v>
      </c>
      <c r="E103" s="26">
        <v>2075</v>
      </c>
      <c r="F103" s="16">
        <v>2.36</v>
      </c>
      <c r="G103" s="16"/>
      <c r="H103" s="25">
        <v>0.27115499999999998</v>
      </c>
      <c r="I103" s="25">
        <f t="shared" si="2"/>
        <v>5.2849117608236407E-2</v>
      </c>
      <c r="J103" s="26">
        <v>5285</v>
      </c>
      <c r="K103" s="16">
        <v>2.76</v>
      </c>
    </row>
    <row r="104" spans="2:11">
      <c r="B104" s="24">
        <v>99</v>
      </c>
      <c r="C104" s="25">
        <v>0.33670600000000001</v>
      </c>
      <c r="D104" s="25">
        <f t="shared" si="3"/>
        <v>1.4099002172883766E-2</v>
      </c>
      <c r="E104" s="26">
        <v>1410</v>
      </c>
      <c r="F104" s="16">
        <v>2.2400000000000002</v>
      </c>
      <c r="G104" s="16"/>
      <c r="H104" s="25">
        <v>0.28742400000000001</v>
      </c>
      <c r="I104" s="25">
        <f t="shared" si="2"/>
        <v>3.8518815123175065E-2</v>
      </c>
      <c r="J104" s="26">
        <v>3852</v>
      </c>
      <c r="K104" s="16">
        <v>2.6</v>
      </c>
    </row>
    <row r="105" spans="2:11">
      <c r="B105" s="24">
        <v>100</v>
      </c>
      <c r="C105" s="25">
        <v>0.35354099999999999</v>
      </c>
      <c r="D105" s="25">
        <f t="shared" si="3"/>
        <v>9.3517835472607634E-3</v>
      </c>
      <c r="E105" s="27">
        <v>935</v>
      </c>
      <c r="F105" s="16">
        <v>2.12</v>
      </c>
      <c r="G105" s="16"/>
      <c r="H105" s="25">
        <v>0.30467</v>
      </c>
      <c r="I105" s="25">
        <f t="shared" si="2"/>
        <v>2.7447583205211595E-2</v>
      </c>
      <c r="J105" s="26">
        <v>2745</v>
      </c>
      <c r="K105" s="16">
        <v>2.4500000000000002</v>
      </c>
    </row>
    <row r="106" spans="2:11">
      <c r="B106" s="24">
        <v>101</v>
      </c>
      <c r="C106" s="25">
        <v>0.37121799999999999</v>
      </c>
      <c r="D106" s="25">
        <f t="shared" si="3"/>
        <v>6.0455446401786461E-3</v>
      </c>
      <c r="E106" s="27">
        <v>605</v>
      </c>
      <c r="F106" s="16">
        <v>2.0099999999999998</v>
      </c>
      <c r="G106" s="16"/>
      <c r="H106" s="25">
        <v>0.32295000000000001</v>
      </c>
      <c r="I106" s="25">
        <f t="shared" si="2"/>
        <v>1.9085128030079779E-2</v>
      </c>
      <c r="J106" s="26">
        <v>1909</v>
      </c>
      <c r="K106" s="16">
        <v>2.2999999999999998</v>
      </c>
    </row>
    <row r="107" spans="2:11">
      <c r="B107" s="24">
        <v>102</v>
      </c>
      <c r="C107" s="25">
        <v>0.38977899999999999</v>
      </c>
      <c r="D107" s="25">
        <f t="shared" si="3"/>
        <v>3.8013296499408095E-3</v>
      </c>
      <c r="E107" s="27">
        <v>380</v>
      </c>
      <c r="F107" s="16">
        <v>1.9</v>
      </c>
      <c r="G107" s="16"/>
      <c r="H107" s="25">
        <v>0.34232699999999999</v>
      </c>
      <c r="I107" s="25">
        <f t="shared" si="2"/>
        <v>1.2921585932765513E-2</v>
      </c>
      <c r="J107" s="26">
        <v>1292</v>
      </c>
      <c r="K107" s="16">
        <v>2.17</v>
      </c>
    </row>
    <row r="108" spans="2:11">
      <c r="B108" s="24">
        <v>103</v>
      </c>
      <c r="C108" s="25">
        <v>0.40926800000000002</v>
      </c>
      <c r="D108" s="25">
        <f t="shared" si="3"/>
        <v>2.3196511803165306E-3</v>
      </c>
      <c r="E108" s="27">
        <v>232</v>
      </c>
      <c r="F108" s="16">
        <v>1.8</v>
      </c>
      <c r="G108" s="16"/>
      <c r="H108" s="25">
        <v>0.362867</v>
      </c>
      <c r="I108" s="25">
        <f t="shared" si="2"/>
        <v>8.4981781851596935E-3</v>
      </c>
      <c r="J108" s="27">
        <v>850</v>
      </c>
      <c r="K108" s="16">
        <v>2.0299999999999998</v>
      </c>
    </row>
    <row r="109" spans="2:11">
      <c r="B109" s="24">
        <v>104</v>
      </c>
      <c r="C109" s="25">
        <v>0.429732</v>
      </c>
      <c r="D109" s="25">
        <f t="shared" si="3"/>
        <v>1.3702921810507447E-3</v>
      </c>
      <c r="E109" s="27">
        <v>137</v>
      </c>
      <c r="F109" s="16">
        <v>1.7</v>
      </c>
      <c r="G109" s="16"/>
      <c r="H109" s="25">
        <v>0.38463900000000001</v>
      </c>
      <c r="I109" s="25">
        <f t="shared" si="2"/>
        <v>5.4144697616453508E-3</v>
      </c>
      <c r="J109" s="27">
        <v>541</v>
      </c>
      <c r="K109" s="16">
        <v>1.91</v>
      </c>
    </row>
    <row r="110" spans="2:11">
      <c r="B110" s="24">
        <v>105</v>
      </c>
      <c r="C110" s="25">
        <v>0.45121800000000001</v>
      </c>
      <c r="D110" s="25">
        <f t="shared" si="3"/>
        <v>7.8143378150344605E-4</v>
      </c>
      <c r="E110" s="27">
        <v>78</v>
      </c>
      <c r="F110" s="16">
        <v>1.6</v>
      </c>
      <c r="G110" s="16"/>
      <c r="H110" s="25">
        <v>0.407717</v>
      </c>
      <c r="I110" s="25">
        <f t="shared" si="2"/>
        <v>3.3318535269958446E-3</v>
      </c>
      <c r="J110" s="27">
        <v>333</v>
      </c>
      <c r="K110" s="16">
        <v>1.78</v>
      </c>
    </row>
    <row r="111" spans="2:11">
      <c r="B111" s="24">
        <v>106</v>
      </c>
      <c r="C111" s="25">
        <v>0.47377900000000001</v>
      </c>
      <c r="D111" s="25">
        <f t="shared" si="3"/>
        <v>4.2883679348102414E-4</v>
      </c>
      <c r="E111" s="27">
        <v>43</v>
      </c>
      <c r="F111" s="16">
        <v>1.51</v>
      </c>
      <c r="G111" s="16"/>
      <c r="H111" s="25">
        <v>0.43218000000000001</v>
      </c>
      <c r="I111" s="25">
        <f t="shared" si="2"/>
        <v>1.9734002025296798E-3</v>
      </c>
      <c r="J111" s="27">
        <v>197</v>
      </c>
      <c r="K111" s="16">
        <v>1.67</v>
      </c>
    </row>
    <row r="112" spans="2:11">
      <c r="B112" s="24">
        <v>107</v>
      </c>
      <c r="C112" s="25">
        <v>0.49746800000000002</v>
      </c>
      <c r="D112" s="25">
        <f t="shared" si="3"/>
        <v>2.2566292630237799E-4</v>
      </c>
      <c r="E112" s="27">
        <v>23</v>
      </c>
      <c r="F112" s="16">
        <v>1.42</v>
      </c>
      <c r="G112" s="16"/>
      <c r="H112" s="25">
        <v>0.45811099999999999</v>
      </c>
      <c r="I112" s="25">
        <f t="shared" si="2"/>
        <v>1.1205361030004028E-3</v>
      </c>
      <c r="J112" s="27">
        <v>112</v>
      </c>
      <c r="K112" s="16">
        <v>1.56</v>
      </c>
    </row>
    <row r="113" spans="2:11">
      <c r="B113" s="24">
        <v>108</v>
      </c>
      <c r="C113" s="25">
        <v>0.52234100000000006</v>
      </c>
      <c r="D113" s="25">
        <f t="shared" si="3"/>
        <v>1.1340284168058661E-4</v>
      </c>
      <c r="E113" s="27">
        <v>11</v>
      </c>
      <c r="F113" s="16">
        <v>1.34</v>
      </c>
      <c r="G113" s="16"/>
      <c r="H113" s="25">
        <v>0.485597</v>
      </c>
      <c r="I113" s="25">
        <f t="shared" si="2"/>
        <v>6.0720618831878526E-4</v>
      </c>
      <c r="J113" s="27">
        <v>61</v>
      </c>
      <c r="K113" s="16">
        <v>1.45</v>
      </c>
    </row>
    <row r="114" spans="2:11">
      <c r="B114" s="24">
        <v>109</v>
      </c>
      <c r="C114" s="25">
        <v>0.548458</v>
      </c>
      <c r="D114" s="25">
        <f t="shared" si="3"/>
        <v>5.416788795430731E-5</v>
      </c>
      <c r="E114" s="27">
        <v>5</v>
      </c>
      <c r="F114" s="16">
        <v>1.26</v>
      </c>
      <c r="G114" s="16"/>
      <c r="H114" s="25">
        <v>0.514733</v>
      </c>
      <c r="I114" s="25">
        <f t="shared" si="2"/>
        <v>3.123486848897481E-4</v>
      </c>
      <c r="J114" s="27">
        <v>31</v>
      </c>
      <c r="K114" s="16">
        <v>1.35</v>
      </c>
    </row>
    <row r="115" spans="2:11">
      <c r="B115" s="24">
        <v>110</v>
      </c>
      <c r="C115" s="25">
        <v>0.57588099999999998</v>
      </c>
      <c r="D115" s="25">
        <f t="shared" si="3"/>
        <v>2.4459076462663831E-5</v>
      </c>
      <c r="E115" s="27">
        <v>2</v>
      </c>
      <c r="F115" s="16">
        <v>1.18</v>
      </c>
      <c r="G115" s="16"/>
      <c r="H115" s="25">
        <v>0.54561700000000002</v>
      </c>
      <c r="I115" s="25">
        <f t="shared" si="2"/>
        <v>1.515725092703934E-4</v>
      </c>
      <c r="J115" s="27">
        <v>15</v>
      </c>
      <c r="K115" s="16">
        <v>1.26</v>
      </c>
    </row>
    <row r="116" spans="2:11">
      <c r="B116" s="24">
        <v>111</v>
      </c>
      <c r="C116" s="25">
        <v>0.60467499999999996</v>
      </c>
      <c r="D116" s="25">
        <f t="shared" si="3"/>
        <v>1.0373559050268522E-5</v>
      </c>
      <c r="E116" s="27">
        <v>1</v>
      </c>
      <c r="F116" s="16">
        <v>1.1100000000000001</v>
      </c>
      <c r="G116" s="16"/>
      <c r="H116" s="25">
        <v>0.57835400000000003</v>
      </c>
      <c r="I116" s="25">
        <f t="shared" si="2"/>
        <v>6.8871971479809167E-5</v>
      </c>
      <c r="J116" s="27">
        <v>7</v>
      </c>
      <c r="K116" s="16">
        <v>1.17</v>
      </c>
    </row>
    <row r="117" spans="2:11">
      <c r="B117" s="24">
        <v>112</v>
      </c>
      <c r="C117" s="25">
        <v>0.63490899999999995</v>
      </c>
      <c r="D117" s="25">
        <f t="shared" si="3"/>
        <v>4.1009272315474037E-6</v>
      </c>
      <c r="E117" s="27">
        <v>0</v>
      </c>
      <c r="F117" s="16">
        <v>1.04</v>
      </c>
      <c r="G117" s="16"/>
      <c r="H117" s="25">
        <v>0.61305500000000002</v>
      </c>
      <c r="I117" s="25">
        <f t="shared" si="2"/>
        <v>2.9039591286575614E-5</v>
      </c>
      <c r="J117" s="27">
        <v>3</v>
      </c>
      <c r="K117" s="16">
        <v>1.08</v>
      </c>
    </row>
    <row r="118" spans="2:11">
      <c r="B118" s="24">
        <v>113</v>
      </c>
      <c r="C118" s="25">
        <v>0.666655</v>
      </c>
      <c r="D118" s="25">
        <f t="shared" si="3"/>
        <v>1.4972116238928733E-6</v>
      </c>
      <c r="E118" s="27">
        <v>0</v>
      </c>
      <c r="F118" s="16">
        <v>0.97</v>
      </c>
      <c r="G118" s="16"/>
      <c r="H118" s="25">
        <v>0.64983900000000006</v>
      </c>
      <c r="I118" s="25">
        <f t="shared" si="2"/>
        <v>1.1236724650384002E-5</v>
      </c>
      <c r="J118" s="27">
        <v>1</v>
      </c>
      <c r="K118" s="16">
        <v>1</v>
      </c>
    </row>
    <row r="119" spans="2:11">
      <c r="B119" s="24">
        <v>114</v>
      </c>
      <c r="C119" s="25">
        <v>0.69998700000000003</v>
      </c>
      <c r="D119" s="25">
        <f t="shared" si="3"/>
        <v>4.9908800876656982E-7</v>
      </c>
      <c r="E119" s="27">
        <v>0</v>
      </c>
      <c r="F119" s="16">
        <v>0.9</v>
      </c>
      <c r="G119" s="16"/>
      <c r="H119" s="25">
        <v>0.68882900000000002</v>
      </c>
      <c r="I119" s="25">
        <f t="shared" si="2"/>
        <v>3.9346627403031122E-6</v>
      </c>
      <c r="J119" s="27">
        <v>0</v>
      </c>
      <c r="K119" s="16">
        <v>0.92</v>
      </c>
    </row>
    <row r="120" spans="2:11">
      <c r="B120" s="24">
        <v>115</v>
      </c>
      <c r="C120" s="25">
        <v>0.73498699999999995</v>
      </c>
      <c r="D120" s="25">
        <f t="shared" si="3"/>
        <v>1.4973289077408489E-7</v>
      </c>
      <c r="E120" s="27">
        <v>0</v>
      </c>
      <c r="F120" s="16">
        <v>0.84</v>
      </c>
      <c r="G120" s="16"/>
      <c r="H120" s="25">
        <v>0.730159</v>
      </c>
      <c r="I120" s="25">
        <f t="shared" si="2"/>
        <v>1.2243529395628595E-6</v>
      </c>
      <c r="J120" s="27">
        <v>0</v>
      </c>
      <c r="K120" s="16">
        <v>0.85</v>
      </c>
    </row>
    <row r="121" spans="2:11">
      <c r="B121" s="24">
        <v>116</v>
      </c>
      <c r="C121" s="25">
        <v>0.77173599999999998</v>
      </c>
      <c r="D121" s="25">
        <f t="shared" si="3"/>
        <v>3.9681162582712572E-8</v>
      </c>
      <c r="E121" s="27">
        <v>0</v>
      </c>
      <c r="F121" s="16">
        <v>0.78</v>
      </c>
      <c r="G121" s="16"/>
      <c r="H121" s="25">
        <v>0.77173599999999998</v>
      </c>
      <c r="I121" s="25">
        <f t="shared" si="2"/>
        <v>3.3038062156458161E-7</v>
      </c>
      <c r="J121" s="27">
        <v>0</v>
      </c>
      <c r="K121" s="16">
        <v>0.78</v>
      </c>
    </row>
    <row r="122" spans="2:11">
      <c r="B122" s="24">
        <v>117</v>
      </c>
      <c r="C122" s="25">
        <v>0.81032300000000002</v>
      </c>
      <c r="D122" s="25">
        <f t="shared" si="3"/>
        <v>9.0577808957803056E-9</v>
      </c>
      <c r="E122" s="27">
        <v>0</v>
      </c>
      <c r="F122" s="16">
        <v>0.72</v>
      </c>
      <c r="G122" s="16"/>
      <c r="H122" s="25">
        <v>0.81032300000000002</v>
      </c>
      <c r="I122" s="25">
        <f t="shared" si="2"/>
        <v>7.5414002200817665E-8</v>
      </c>
      <c r="J122" s="27">
        <v>0</v>
      </c>
      <c r="K122" s="16">
        <v>0.72</v>
      </c>
    </row>
    <row r="123" spans="2:11">
      <c r="B123" s="24">
        <v>118</v>
      </c>
      <c r="C123" s="25">
        <v>0.85083900000000001</v>
      </c>
      <c r="D123" s="25">
        <f t="shared" si="3"/>
        <v>1.7180527069689209E-9</v>
      </c>
      <c r="E123" s="27">
        <v>0</v>
      </c>
      <c r="F123" s="16">
        <v>0.67</v>
      </c>
      <c r="G123" s="16"/>
      <c r="H123" s="25">
        <v>0.85083900000000001</v>
      </c>
      <c r="I123" s="25">
        <f t="shared" si="2"/>
        <v>1.430430169544449E-8</v>
      </c>
      <c r="J123" s="27">
        <v>0</v>
      </c>
      <c r="K123" s="16">
        <v>0.67</v>
      </c>
    </row>
    <row r="124" spans="2:11">
      <c r="B124" s="24">
        <v>119</v>
      </c>
      <c r="C124" s="25">
        <v>0.89338099999999998</v>
      </c>
      <c r="D124" s="25">
        <f t="shared" si="3"/>
        <v>2.5626645982419117E-10</v>
      </c>
      <c r="E124" s="27">
        <v>0</v>
      </c>
      <c r="F124" s="16">
        <v>0.61</v>
      </c>
      <c r="G124" s="16"/>
      <c r="H124" s="25">
        <v>0.89338099999999998</v>
      </c>
      <c r="I124" s="25">
        <f t="shared" si="2"/>
        <v>2.1336439451941957E-9</v>
      </c>
      <c r="J124" s="27">
        <v>0</v>
      </c>
      <c r="K124" s="16">
        <v>0.61</v>
      </c>
    </row>
    <row r="125" spans="2:11" ht="15.75" customHeight="1">
      <c r="B125" s="17" t="s">
        <v>30</v>
      </c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ht="15.75" customHeight="1">
      <c r="B126" s="17" t="s">
        <v>31</v>
      </c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>
      <c r="B127" s="13"/>
      <c r="C127" s="13"/>
      <c r="D127" s="13"/>
      <c r="E127" s="13"/>
      <c r="F127" s="13"/>
      <c r="G127" s="18"/>
      <c r="H127" s="13"/>
      <c r="I127" s="13"/>
      <c r="J127" s="13"/>
      <c r="K127" s="13"/>
    </row>
    <row r="128" spans="2:11" ht="63" customHeight="1">
      <c r="B128" s="14" t="s">
        <v>28</v>
      </c>
      <c r="C128" s="14"/>
      <c r="D128" s="14"/>
      <c r="E128" s="14"/>
      <c r="F128" s="14"/>
      <c r="G128" s="19"/>
      <c r="H128" s="14"/>
      <c r="I128" s="14"/>
      <c r="J128" s="14"/>
      <c r="K128" s="14"/>
    </row>
    <row r="129" spans="2:11">
      <c r="B129" s="13"/>
      <c r="C129" s="13"/>
      <c r="D129" s="13"/>
      <c r="E129" s="13"/>
      <c r="F129" s="13"/>
      <c r="G129" s="18"/>
      <c r="H129" s="13"/>
      <c r="I129" s="13"/>
      <c r="J129" s="13"/>
      <c r="K129" s="13"/>
    </row>
    <row r="130" spans="2:11" ht="31.5" customHeight="1">
      <c r="B130" s="14" t="s">
        <v>29</v>
      </c>
      <c r="C130" s="14"/>
      <c r="D130" s="14"/>
      <c r="E130" s="14"/>
      <c r="F130" s="14"/>
      <c r="G130" s="19"/>
      <c r="H130" s="14"/>
      <c r="I130" s="14"/>
      <c r="J130" s="14"/>
      <c r="K130" s="1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29"/>
  <sheetViews>
    <sheetView showGridLines="0" workbookViewId="0"/>
  </sheetViews>
  <sheetFormatPr defaultColWidth="8.85546875" defaultRowHeight="14.25"/>
  <cols>
    <col min="1" max="1" width="8.85546875" style="12"/>
    <col min="2" max="2" width="9.28515625" style="12" bestFit="1" customWidth="1"/>
    <col min="3" max="4" width="10.7109375" style="12" customWidth="1"/>
    <col min="5" max="5" width="9.28515625" style="12" bestFit="1" customWidth="1"/>
    <col min="6" max="6" width="2.7109375" style="20" customWidth="1"/>
    <col min="7" max="8" width="10.7109375" style="12" customWidth="1"/>
    <col min="9" max="9" width="9.28515625" style="12" bestFit="1" customWidth="1"/>
    <col min="10" max="16384" width="8.85546875" style="12"/>
  </cols>
  <sheetData>
    <row r="1" spans="2:9" ht="15">
      <c r="E1" s="11" t="s">
        <v>55</v>
      </c>
    </row>
    <row r="2" spans="2:9" ht="15">
      <c r="C2" s="21" t="s">
        <v>41</v>
      </c>
      <c r="D2" s="21"/>
      <c r="E2" s="21"/>
      <c r="G2" s="21" t="s">
        <v>42</v>
      </c>
      <c r="H2" s="21"/>
      <c r="I2" s="21"/>
    </row>
    <row r="3" spans="2:9" s="11" customFormat="1" ht="15">
      <c r="B3" s="10" t="s">
        <v>32</v>
      </c>
      <c r="C3" s="4" t="s">
        <v>34</v>
      </c>
      <c r="D3" s="4" t="s">
        <v>38</v>
      </c>
      <c r="E3" s="4" t="s">
        <v>36</v>
      </c>
      <c r="F3" s="15"/>
      <c r="G3" s="4" t="s">
        <v>34</v>
      </c>
      <c r="H3" s="4" t="s">
        <v>38</v>
      </c>
      <c r="I3" s="4" t="s">
        <v>36</v>
      </c>
    </row>
    <row r="4" spans="2:9" s="11" customFormat="1" ht="15">
      <c r="B4" s="22" t="s">
        <v>33</v>
      </c>
      <c r="C4" s="23" t="s">
        <v>54</v>
      </c>
      <c r="D4" s="23" t="s">
        <v>35</v>
      </c>
      <c r="E4" s="23" t="s">
        <v>37</v>
      </c>
      <c r="F4" s="15"/>
      <c r="G4" s="23" t="s">
        <v>54</v>
      </c>
      <c r="H4" s="23" t="s">
        <v>35</v>
      </c>
      <c r="I4" s="23" t="s">
        <v>37</v>
      </c>
    </row>
    <row r="5" spans="2:9">
      <c r="B5" s="24">
        <v>0</v>
      </c>
      <c r="C5" s="25">
        <v>6.5189999999999996E-3</v>
      </c>
      <c r="D5" s="25">
        <v>1</v>
      </c>
      <c r="E5" s="16">
        <v>76.28</v>
      </c>
      <c r="F5" s="16"/>
      <c r="G5" s="25">
        <v>5.3769999999999998E-3</v>
      </c>
      <c r="H5" s="25">
        <v>1</v>
      </c>
      <c r="I5" s="16">
        <v>81.05</v>
      </c>
    </row>
    <row r="6" spans="2:9">
      <c r="B6" s="24">
        <v>1</v>
      </c>
      <c r="C6" s="25">
        <v>4.6200000000000001E-4</v>
      </c>
      <c r="D6" s="25">
        <f>D5-(D5*C5)</f>
        <v>0.99348099999999995</v>
      </c>
      <c r="E6" s="16">
        <v>75.78</v>
      </c>
      <c r="F6" s="16"/>
      <c r="G6" s="25">
        <v>3.79E-4</v>
      </c>
      <c r="H6" s="25">
        <f>H5-(H5*G5)</f>
        <v>0.99462300000000003</v>
      </c>
      <c r="I6" s="16">
        <v>80.489999999999995</v>
      </c>
    </row>
    <row r="7" spans="2:9">
      <c r="B7" s="24">
        <v>2</v>
      </c>
      <c r="C7" s="25">
        <v>2.9100000000000003E-4</v>
      </c>
      <c r="D7" s="25">
        <f>D6-(D6*C6)</f>
        <v>0.99302201177799998</v>
      </c>
      <c r="E7" s="16">
        <v>74.819999999999993</v>
      </c>
      <c r="F7" s="16"/>
      <c r="G7" s="25">
        <v>2.2100000000000001E-4</v>
      </c>
      <c r="H7" s="25">
        <f t="shared" ref="H7:H70" si="0">H6-(H6*G6)</f>
        <v>0.99424603788300003</v>
      </c>
      <c r="I7" s="16">
        <v>79.52</v>
      </c>
    </row>
    <row r="8" spans="2:9">
      <c r="B8" s="24">
        <v>3</v>
      </c>
      <c r="C8" s="25">
        <v>2.0900000000000001E-4</v>
      </c>
      <c r="D8" s="25">
        <f>D7-(D7*C7)</f>
        <v>0.99273304237257254</v>
      </c>
      <c r="E8" s="16">
        <v>73.84</v>
      </c>
      <c r="F8" s="16"/>
      <c r="G8" s="25">
        <v>1.6200000000000001E-4</v>
      </c>
      <c r="H8" s="25">
        <f t="shared" si="0"/>
        <v>0.99402630950862791</v>
      </c>
      <c r="I8" s="16">
        <v>78.540000000000006</v>
      </c>
    </row>
    <row r="9" spans="2:9">
      <c r="B9" s="24">
        <v>4</v>
      </c>
      <c r="C9" s="25">
        <v>1.76E-4</v>
      </c>
      <c r="D9" s="25">
        <f>D8-(D8*C8)</f>
        <v>0.99252556116671664</v>
      </c>
      <c r="E9" s="16">
        <v>72.849999999999994</v>
      </c>
      <c r="F9" s="16"/>
      <c r="G9" s="25">
        <v>1.3300000000000001E-4</v>
      </c>
      <c r="H9" s="25">
        <f t="shared" si="0"/>
        <v>0.99386527724648754</v>
      </c>
      <c r="I9" s="16">
        <v>77.55</v>
      </c>
    </row>
    <row r="10" spans="2:9">
      <c r="B10" s="24">
        <v>5</v>
      </c>
      <c r="C10" s="25">
        <v>1.5899999999999999E-4</v>
      </c>
      <c r="D10" s="25">
        <f t="shared" ref="D10:D73" si="1">D9-(D9*C9)</f>
        <v>0.9923508766679513</v>
      </c>
      <c r="E10" s="16">
        <v>71.87</v>
      </c>
      <c r="F10" s="16"/>
      <c r="G10" s="25">
        <v>1.1900000000000001E-4</v>
      </c>
      <c r="H10" s="25">
        <f t="shared" si="0"/>
        <v>0.99373309316461378</v>
      </c>
      <c r="I10" s="16">
        <v>76.56</v>
      </c>
    </row>
    <row r="11" spans="2:9">
      <c r="B11" s="28">
        <v>6</v>
      </c>
      <c r="C11" s="29">
        <v>1.46E-4</v>
      </c>
      <c r="D11" s="29">
        <f t="shared" si="1"/>
        <v>0.99219309287856106</v>
      </c>
      <c r="E11" s="30">
        <v>70.88</v>
      </c>
      <c r="F11" s="30"/>
      <c r="G11" s="29">
        <v>1.0900000000000001E-4</v>
      </c>
      <c r="H11" s="29">
        <f t="shared" si="0"/>
        <v>0.99361483892652724</v>
      </c>
      <c r="I11" s="30">
        <v>75.569999999999993</v>
      </c>
    </row>
    <row r="12" spans="2:9">
      <c r="B12" s="28">
        <v>7</v>
      </c>
      <c r="C12" s="29">
        <v>1.3300000000000001E-4</v>
      </c>
      <c r="D12" s="29">
        <f t="shared" si="1"/>
        <v>0.99204823268700082</v>
      </c>
      <c r="E12" s="30">
        <v>69.89</v>
      </c>
      <c r="F12" s="30"/>
      <c r="G12" s="29">
        <v>1.01E-4</v>
      </c>
      <c r="H12" s="29">
        <f t="shared" si="0"/>
        <v>0.99350653490908425</v>
      </c>
      <c r="I12" s="30">
        <v>74.58</v>
      </c>
    </row>
    <row r="13" spans="2:9">
      <c r="B13" s="28">
        <v>8</v>
      </c>
      <c r="C13" s="29">
        <v>1.18E-4</v>
      </c>
      <c r="D13" s="29">
        <f t="shared" si="1"/>
        <v>0.99191629027205341</v>
      </c>
      <c r="E13" s="30">
        <v>68.900000000000006</v>
      </c>
      <c r="F13" s="30"/>
      <c r="G13" s="29">
        <v>9.6000000000000002E-5</v>
      </c>
      <c r="H13" s="29">
        <f t="shared" si="0"/>
        <v>0.99340619074905845</v>
      </c>
      <c r="I13" s="30">
        <v>73.58</v>
      </c>
    </row>
    <row r="14" spans="2:9">
      <c r="B14" s="28">
        <v>9</v>
      </c>
      <c r="C14" s="29">
        <v>1.02E-4</v>
      </c>
      <c r="D14" s="29">
        <f t="shared" si="1"/>
        <v>0.99179924414980136</v>
      </c>
      <c r="E14" s="30">
        <v>67.900000000000006</v>
      </c>
      <c r="F14" s="30"/>
      <c r="G14" s="29">
        <v>9.2999999999999997E-5</v>
      </c>
      <c r="H14" s="29">
        <f t="shared" si="0"/>
        <v>0.99331082375474655</v>
      </c>
      <c r="I14" s="30">
        <v>72.59</v>
      </c>
    </row>
    <row r="15" spans="2:9">
      <c r="B15" s="28">
        <v>10</v>
      </c>
      <c r="C15" s="29">
        <v>9.1000000000000003E-5</v>
      </c>
      <c r="D15" s="29">
        <f t="shared" si="1"/>
        <v>0.99169808062689813</v>
      </c>
      <c r="E15" s="30">
        <v>66.91</v>
      </c>
      <c r="F15" s="30"/>
      <c r="G15" s="29">
        <v>9.3999999999999994E-5</v>
      </c>
      <c r="H15" s="29">
        <f t="shared" si="0"/>
        <v>0.99321844584813734</v>
      </c>
      <c r="I15" s="30">
        <v>71.599999999999994</v>
      </c>
    </row>
    <row r="16" spans="2:9">
      <c r="B16" s="24">
        <v>11</v>
      </c>
      <c r="C16" s="25">
        <v>9.6000000000000002E-5</v>
      </c>
      <c r="D16" s="25">
        <f t="shared" si="1"/>
        <v>0.99160783610156111</v>
      </c>
      <c r="E16" s="16">
        <v>65.92</v>
      </c>
      <c r="F16" s="16"/>
      <c r="G16" s="25">
        <v>1E-4</v>
      </c>
      <c r="H16" s="25">
        <f t="shared" si="0"/>
        <v>0.99312508331422766</v>
      </c>
      <c r="I16" s="16">
        <v>70.599999999999994</v>
      </c>
    </row>
    <row r="17" spans="2:9">
      <c r="B17" s="24">
        <v>12</v>
      </c>
      <c r="C17" s="25">
        <v>1.2799999999999999E-4</v>
      </c>
      <c r="D17" s="25">
        <f t="shared" si="1"/>
        <v>0.99151264174929532</v>
      </c>
      <c r="E17" s="16">
        <v>64.92</v>
      </c>
      <c r="F17" s="16"/>
      <c r="G17" s="25">
        <v>1.12E-4</v>
      </c>
      <c r="H17" s="25">
        <f t="shared" si="0"/>
        <v>0.99302577080589627</v>
      </c>
      <c r="I17" s="16">
        <v>69.61</v>
      </c>
    </row>
    <row r="18" spans="2:9">
      <c r="B18" s="24">
        <v>13</v>
      </c>
      <c r="C18" s="25">
        <v>1.95E-4</v>
      </c>
      <c r="D18" s="25">
        <f t="shared" si="1"/>
        <v>0.99138572813115144</v>
      </c>
      <c r="E18" s="16">
        <v>63.93</v>
      </c>
      <c r="F18" s="16"/>
      <c r="G18" s="25">
        <v>1.34E-4</v>
      </c>
      <c r="H18" s="25">
        <f t="shared" si="0"/>
        <v>0.99291455191956601</v>
      </c>
      <c r="I18" s="16">
        <v>68.62</v>
      </c>
    </row>
    <row r="19" spans="2:9">
      <c r="B19" s="24">
        <v>14</v>
      </c>
      <c r="C19" s="25">
        <v>2.8800000000000001E-4</v>
      </c>
      <c r="D19" s="25">
        <f t="shared" si="1"/>
        <v>0.99119240791416585</v>
      </c>
      <c r="E19" s="16">
        <v>62.94</v>
      </c>
      <c r="F19" s="16"/>
      <c r="G19" s="25">
        <v>1.6200000000000001E-4</v>
      </c>
      <c r="H19" s="25">
        <f t="shared" si="0"/>
        <v>0.99278150136960874</v>
      </c>
      <c r="I19" s="16">
        <v>67.63</v>
      </c>
    </row>
    <row r="20" spans="2:9">
      <c r="B20" s="24">
        <v>15</v>
      </c>
      <c r="C20" s="25">
        <v>3.8900000000000002E-4</v>
      </c>
      <c r="D20" s="25">
        <f t="shared" si="1"/>
        <v>0.99090694450068662</v>
      </c>
      <c r="E20" s="16">
        <v>61.96</v>
      </c>
      <c r="F20" s="16"/>
      <c r="G20" s="25">
        <v>1.94E-4</v>
      </c>
      <c r="H20" s="25">
        <f t="shared" si="0"/>
        <v>0.99262067076638683</v>
      </c>
      <c r="I20" s="16">
        <v>66.64</v>
      </c>
    </row>
    <row r="21" spans="2:9">
      <c r="B21" s="24">
        <v>16</v>
      </c>
      <c r="C21" s="25">
        <v>4.9200000000000003E-4</v>
      </c>
      <c r="D21" s="25">
        <f t="shared" si="1"/>
        <v>0.9905214816992759</v>
      </c>
      <c r="E21" s="16">
        <v>60.99</v>
      </c>
      <c r="F21" s="16"/>
      <c r="G21" s="25">
        <v>2.2599999999999999E-4</v>
      </c>
      <c r="H21" s="25">
        <f t="shared" si="0"/>
        <v>0.99242810235625811</v>
      </c>
      <c r="I21" s="16">
        <v>65.650000000000006</v>
      </c>
    </row>
    <row r="22" spans="2:9">
      <c r="B22" s="24">
        <v>17</v>
      </c>
      <c r="C22" s="25">
        <v>6.0700000000000001E-4</v>
      </c>
      <c r="D22" s="25">
        <f t="shared" si="1"/>
        <v>0.99003414513027987</v>
      </c>
      <c r="E22" s="16">
        <v>60.02</v>
      </c>
      <c r="F22" s="16"/>
      <c r="G22" s="25">
        <v>2.61E-4</v>
      </c>
      <c r="H22" s="25">
        <f t="shared" si="0"/>
        <v>0.99220381360512555</v>
      </c>
      <c r="I22" s="16">
        <v>64.67</v>
      </c>
    </row>
    <row r="23" spans="2:9">
      <c r="B23" s="24">
        <v>18</v>
      </c>
      <c r="C23" s="25">
        <v>7.3499999999999998E-4</v>
      </c>
      <c r="D23" s="25">
        <f t="shared" si="1"/>
        <v>0.98943319440418576</v>
      </c>
      <c r="E23" s="16">
        <v>59.05</v>
      </c>
      <c r="F23" s="16"/>
      <c r="G23" s="25">
        <v>2.9700000000000001E-4</v>
      </c>
      <c r="H23" s="25">
        <f t="shared" si="0"/>
        <v>0.99194484840977459</v>
      </c>
      <c r="I23" s="16">
        <v>63.68</v>
      </c>
    </row>
    <row r="24" spans="2:9">
      <c r="B24" s="24">
        <v>19</v>
      </c>
      <c r="C24" s="25">
        <v>8.6899999999999998E-4</v>
      </c>
      <c r="D24" s="25">
        <f t="shared" si="1"/>
        <v>0.98870596100629871</v>
      </c>
      <c r="E24" s="16">
        <v>58.09</v>
      </c>
      <c r="F24" s="16"/>
      <c r="G24" s="25">
        <v>3.3399999999999999E-4</v>
      </c>
      <c r="H24" s="25">
        <f t="shared" si="0"/>
        <v>0.99165024078979691</v>
      </c>
      <c r="I24" s="16">
        <v>62.7</v>
      </c>
    </row>
    <row r="25" spans="2:9">
      <c r="B25" s="24">
        <v>20</v>
      </c>
      <c r="C25" s="25">
        <v>1.011E-3</v>
      </c>
      <c r="D25" s="25">
        <f t="shared" si="1"/>
        <v>0.98784677552618427</v>
      </c>
      <c r="E25" s="16">
        <v>57.14</v>
      </c>
      <c r="F25" s="16"/>
      <c r="G25" s="25">
        <v>3.7300000000000001E-4</v>
      </c>
      <c r="H25" s="25">
        <f t="shared" si="0"/>
        <v>0.99131902960937313</v>
      </c>
      <c r="I25" s="16">
        <v>61.72</v>
      </c>
    </row>
    <row r="26" spans="2:9">
      <c r="B26" s="24">
        <v>21</v>
      </c>
      <c r="C26" s="25">
        <v>1.145E-3</v>
      </c>
      <c r="D26" s="25">
        <f t="shared" si="1"/>
        <v>0.98684806243612733</v>
      </c>
      <c r="E26" s="16">
        <v>56.2</v>
      </c>
      <c r="F26" s="16"/>
      <c r="G26" s="25">
        <v>4.1199999999999999E-4</v>
      </c>
      <c r="H26" s="25">
        <f t="shared" si="0"/>
        <v>0.99094926761132884</v>
      </c>
      <c r="I26" s="16">
        <v>60.75</v>
      </c>
    </row>
    <row r="27" spans="2:9">
      <c r="B27" s="24">
        <v>22</v>
      </c>
      <c r="C27" s="25">
        <v>1.2459999999999999E-3</v>
      </c>
      <c r="D27" s="25">
        <f t="shared" si="1"/>
        <v>0.98571812140463799</v>
      </c>
      <c r="E27" s="16">
        <v>55.27</v>
      </c>
      <c r="F27" s="16"/>
      <c r="G27" s="25">
        <v>4.46E-4</v>
      </c>
      <c r="H27" s="25">
        <f t="shared" si="0"/>
        <v>0.99054099651307292</v>
      </c>
      <c r="I27" s="16">
        <v>59.77</v>
      </c>
    </row>
    <row r="28" spans="2:9">
      <c r="B28" s="24">
        <v>23</v>
      </c>
      <c r="C28" s="25">
        <v>1.3010000000000001E-3</v>
      </c>
      <c r="D28" s="25">
        <f t="shared" si="1"/>
        <v>0.98448991662536778</v>
      </c>
      <c r="E28" s="16">
        <v>54.33</v>
      </c>
      <c r="F28" s="16"/>
      <c r="G28" s="25">
        <v>4.7199999999999998E-4</v>
      </c>
      <c r="H28" s="25">
        <f t="shared" si="0"/>
        <v>0.99009921522862809</v>
      </c>
      <c r="I28" s="16">
        <v>58.8</v>
      </c>
    </row>
    <row r="29" spans="2:9">
      <c r="B29" s="24">
        <v>24</v>
      </c>
      <c r="C29" s="25">
        <v>1.3209999999999999E-3</v>
      </c>
      <c r="D29" s="25">
        <f t="shared" si="1"/>
        <v>0.98320909524383815</v>
      </c>
      <c r="E29" s="16">
        <v>53.4</v>
      </c>
      <c r="F29" s="16"/>
      <c r="G29" s="25">
        <v>4.9299999999999995E-4</v>
      </c>
      <c r="H29" s="25">
        <f t="shared" si="0"/>
        <v>0.98963188839904015</v>
      </c>
      <c r="I29" s="16">
        <v>57.82</v>
      </c>
    </row>
    <row r="30" spans="2:9">
      <c r="B30" s="24">
        <v>25</v>
      </c>
      <c r="C30" s="25">
        <v>1.33E-3</v>
      </c>
      <c r="D30" s="25">
        <f t="shared" si="1"/>
        <v>0.98191027602902103</v>
      </c>
      <c r="E30" s="16">
        <v>52.47</v>
      </c>
      <c r="F30" s="16"/>
      <c r="G30" s="25">
        <v>5.13E-4</v>
      </c>
      <c r="H30" s="25">
        <f t="shared" si="0"/>
        <v>0.98914399987805945</v>
      </c>
      <c r="I30" s="16">
        <v>56.85</v>
      </c>
    </row>
    <row r="31" spans="2:9">
      <c r="B31" s="24">
        <v>26</v>
      </c>
      <c r="C31" s="25">
        <v>1.3450000000000001E-3</v>
      </c>
      <c r="D31" s="25">
        <f t="shared" si="1"/>
        <v>0.98060433536190239</v>
      </c>
      <c r="E31" s="16">
        <v>51.54</v>
      </c>
      <c r="F31" s="16"/>
      <c r="G31" s="25">
        <v>5.3700000000000004E-4</v>
      </c>
      <c r="H31" s="25">
        <f t="shared" si="0"/>
        <v>0.98863656900612196</v>
      </c>
      <c r="I31" s="16">
        <v>55.88</v>
      </c>
    </row>
    <row r="32" spans="2:9">
      <c r="B32" s="24">
        <v>27</v>
      </c>
      <c r="C32" s="25">
        <v>1.3630000000000001E-3</v>
      </c>
      <c r="D32" s="25">
        <f t="shared" si="1"/>
        <v>0.97928542253084061</v>
      </c>
      <c r="E32" s="16">
        <v>50.61</v>
      </c>
      <c r="F32" s="16"/>
      <c r="G32" s="25">
        <v>5.6300000000000002E-4</v>
      </c>
      <c r="H32" s="25">
        <f t="shared" si="0"/>
        <v>0.98810567116856562</v>
      </c>
      <c r="I32" s="16">
        <v>54.91</v>
      </c>
    </row>
    <row r="33" spans="2:9">
      <c r="B33" s="24">
        <v>28</v>
      </c>
      <c r="C33" s="25">
        <v>1.3910000000000001E-3</v>
      </c>
      <c r="D33" s="25">
        <f t="shared" si="1"/>
        <v>0.97795065649993107</v>
      </c>
      <c r="E33" s="16">
        <v>49.68</v>
      </c>
      <c r="F33" s="16"/>
      <c r="G33" s="25">
        <v>5.9299999999999999E-4</v>
      </c>
      <c r="H33" s="25">
        <f t="shared" si="0"/>
        <v>0.98754936767569768</v>
      </c>
      <c r="I33" s="16">
        <v>53.94</v>
      </c>
    </row>
    <row r="34" spans="2:9">
      <c r="B34" s="24">
        <v>29</v>
      </c>
      <c r="C34" s="25">
        <v>1.4270000000000001E-3</v>
      </c>
      <c r="D34" s="25">
        <f t="shared" si="1"/>
        <v>0.97659032713673966</v>
      </c>
      <c r="E34" s="16">
        <v>48.75</v>
      </c>
      <c r="F34" s="16"/>
      <c r="G34" s="25">
        <v>6.2699999999999995E-4</v>
      </c>
      <c r="H34" s="25">
        <f t="shared" si="0"/>
        <v>0.98696375090066601</v>
      </c>
      <c r="I34" s="16">
        <v>52.97</v>
      </c>
    </row>
    <row r="35" spans="2:9">
      <c r="B35" s="24">
        <v>30</v>
      </c>
      <c r="C35" s="25">
        <v>1.467E-3</v>
      </c>
      <c r="D35" s="25">
        <f t="shared" si="1"/>
        <v>0.97519673273991547</v>
      </c>
      <c r="E35" s="16">
        <v>47.82</v>
      </c>
      <c r="F35" s="16"/>
      <c r="G35" s="25">
        <v>6.6399999999999999E-4</v>
      </c>
      <c r="H35" s="25">
        <f t="shared" si="0"/>
        <v>0.98634492462885126</v>
      </c>
      <c r="I35" s="16">
        <v>52.01</v>
      </c>
    </row>
    <row r="36" spans="2:9">
      <c r="B36" s="24">
        <v>31</v>
      </c>
      <c r="C36" s="25">
        <v>1.505E-3</v>
      </c>
      <c r="D36" s="25">
        <f t="shared" si="1"/>
        <v>0.97376611913298605</v>
      </c>
      <c r="E36" s="16">
        <v>46.89</v>
      </c>
      <c r="F36" s="16"/>
      <c r="G36" s="25">
        <v>7.0500000000000001E-4</v>
      </c>
      <c r="H36" s="25">
        <f t="shared" si="0"/>
        <v>0.9856899915988977</v>
      </c>
      <c r="I36" s="16">
        <v>51.04</v>
      </c>
    </row>
    <row r="37" spans="2:9">
      <c r="B37" s="24">
        <v>32</v>
      </c>
      <c r="C37" s="25">
        <v>1.5410000000000001E-3</v>
      </c>
      <c r="D37" s="25">
        <f t="shared" si="1"/>
        <v>0.97230060112369088</v>
      </c>
      <c r="E37" s="16">
        <v>45.96</v>
      </c>
      <c r="F37" s="16"/>
      <c r="G37" s="25">
        <v>7.4799999999999997E-4</v>
      </c>
      <c r="H37" s="25">
        <f t="shared" si="0"/>
        <v>0.98499508015482051</v>
      </c>
      <c r="I37" s="16">
        <v>50.08</v>
      </c>
    </row>
    <row r="38" spans="2:9">
      <c r="B38" s="24">
        <v>33</v>
      </c>
      <c r="C38" s="25">
        <v>1.573E-3</v>
      </c>
      <c r="D38" s="25">
        <f t="shared" si="1"/>
        <v>0.97080228589735929</v>
      </c>
      <c r="E38" s="16">
        <v>45.03</v>
      </c>
      <c r="F38" s="16"/>
      <c r="G38" s="25">
        <v>7.94E-4</v>
      </c>
      <c r="H38" s="25">
        <f t="shared" si="0"/>
        <v>0.98425830383486468</v>
      </c>
      <c r="I38" s="16">
        <v>49.11</v>
      </c>
    </row>
    <row r="39" spans="2:9">
      <c r="B39" s="24">
        <v>34</v>
      </c>
      <c r="C39" s="25">
        <v>1.606E-3</v>
      </c>
      <c r="D39" s="25">
        <f t="shared" si="1"/>
        <v>0.96927521390164273</v>
      </c>
      <c r="E39" s="16">
        <v>44.1</v>
      </c>
      <c r="F39" s="16"/>
      <c r="G39" s="25">
        <v>8.4500000000000005E-4</v>
      </c>
      <c r="H39" s="25">
        <f t="shared" si="0"/>
        <v>0.98347680274161975</v>
      </c>
      <c r="I39" s="16">
        <v>48.15</v>
      </c>
    </row>
    <row r="40" spans="2:9">
      <c r="B40" s="24">
        <v>35</v>
      </c>
      <c r="C40" s="25">
        <v>1.6479999999999999E-3</v>
      </c>
      <c r="D40" s="25">
        <f t="shared" si="1"/>
        <v>0.96771855790811667</v>
      </c>
      <c r="E40" s="16">
        <v>43.17</v>
      </c>
      <c r="F40" s="16"/>
      <c r="G40" s="25">
        <v>9.0300000000000005E-4</v>
      </c>
      <c r="H40" s="25">
        <f t="shared" si="0"/>
        <v>0.98264576484330313</v>
      </c>
      <c r="I40" s="16">
        <v>47.19</v>
      </c>
    </row>
    <row r="41" spans="2:9">
      <c r="B41" s="24">
        <v>36</v>
      </c>
      <c r="C41" s="25">
        <v>1.704E-3</v>
      </c>
      <c r="D41" s="25">
        <f t="shared" si="1"/>
        <v>0.96612375772468406</v>
      </c>
      <c r="E41" s="16">
        <v>42.24</v>
      </c>
      <c r="F41" s="16"/>
      <c r="G41" s="25">
        <v>9.68E-4</v>
      </c>
      <c r="H41" s="25">
        <f t="shared" si="0"/>
        <v>0.98175843571764965</v>
      </c>
      <c r="I41" s="16">
        <v>46.23</v>
      </c>
    </row>
    <row r="42" spans="2:9">
      <c r="B42" s="24">
        <v>37</v>
      </c>
      <c r="C42" s="25">
        <v>1.774E-3</v>
      </c>
      <c r="D42" s="25">
        <f t="shared" si="1"/>
        <v>0.96447748284152124</v>
      </c>
      <c r="E42" s="16">
        <v>41.31</v>
      </c>
      <c r="F42" s="16"/>
      <c r="G42" s="25">
        <v>1.0380000000000001E-3</v>
      </c>
      <c r="H42" s="25">
        <f t="shared" si="0"/>
        <v>0.98080809355187493</v>
      </c>
      <c r="I42" s="16">
        <v>45.28</v>
      </c>
    </row>
    <row r="43" spans="2:9">
      <c r="B43" s="24">
        <v>38</v>
      </c>
      <c r="C43" s="25">
        <v>1.861E-3</v>
      </c>
      <c r="D43" s="25">
        <f t="shared" si="1"/>
        <v>0.96276649978696038</v>
      </c>
      <c r="E43" s="16">
        <v>40.380000000000003</v>
      </c>
      <c r="F43" s="16"/>
      <c r="G43" s="25">
        <v>1.1130000000000001E-3</v>
      </c>
      <c r="H43" s="25">
        <f t="shared" si="0"/>
        <v>0.9797900147507681</v>
      </c>
      <c r="I43" s="16">
        <v>44.33</v>
      </c>
    </row>
    <row r="44" spans="2:9">
      <c r="B44" s="24">
        <v>39</v>
      </c>
      <c r="C44" s="25">
        <v>1.967E-3</v>
      </c>
      <c r="D44" s="25">
        <f t="shared" si="1"/>
        <v>0.96097479133085684</v>
      </c>
      <c r="E44" s="16">
        <v>39.46</v>
      </c>
      <c r="F44" s="16"/>
      <c r="G44" s="25">
        <v>1.196E-3</v>
      </c>
      <c r="H44" s="25">
        <f t="shared" si="0"/>
        <v>0.9786995084643505</v>
      </c>
      <c r="I44" s="16">
        <v>43.37</v>
      </c>
    </row>
    <row r="45" spans="2:9">
      <c r="B45" s="24">
        <v>40</v>
      </c>
      <c r="C45" s="25">
        <v>2.0920000000000001E-3</v>
      </c>
      <c r="D45" s="25">
        <f t="shared" si="1"/>
        <v>0.95908455391630909</v>
      </c>
      <c r="E45" s="16">
        <v>38.53</v>
      </c>
      <c r="F45" s="16"/>
      <c r="G45" s="25">
        <v>1.2869999999999999E-3</v>
      </c>
      <c r="H45" s="25">
        <f t="shared" si="0"/>
        <v>0.97752898385222708</v>
      </c>
      <c r="I45" s="16">
        <v>42.43</v>
      </c>
    </row>
    <row r="46" spans="2:9">
      <c r="B46" s="24">
        <v>41</v>
      </c>
      <c r="C46" s="25">
        <v>2.2399999999999998E-3</v>
      </c>
      <c r="D46" s="25">
        <f t="shared" si="1"/>
        <v>0.95707814902951616</v>
      </c>
      <c r="E46" s="16">
        <v>37.61</v>
      </c>
      <c r="F46" s="16"/>
      <c r="G46" s="25">
        <v>1.3929999999999999E-3</v>
      </c>
      <c r="H46" s="25">
        <f t="shared" si="0"/>
        <v>0.97627090405000927</v>
      </c>
      <c r="I46" s="16">
        <v>41.48</v>
      </c>
    </row>
    <row r="47" spans="2:9">
      <c r="B47" s="24">
        <v>42</v>
      </c>
      <c r="C47" s="25">
        <v>2.418E-3</v>
      </c>
      <c r="D47" s="25">
        <f t="shared" si="1"/>
        <v>0.95493429397569007</v>
      </c>
      <c r="E47" s="16">
        <v>36.700000000000003</v>
      </c>
      <c r="F47" s="16"/>
      <c r="G47" s="25">
        <v>1.5169999999999999E-3</v>
      </c>
      <c r="H47" s="25">
        <f t="shared" si="0"/>
        <v>0.97491095868066757</v>
      </c>
      <c r="I47" s="16">
        <v>40.54</v>
      </c>
    </row>
    <row r="48" spans="2:9">
      <c r="B48" s="24">
        <v>43</v>
      </c>
      <c r="C48" s="25">
        <v>2.6289999999999998E-3</v>
      </c>
      <c r="D48" s="25">
        <f t="shared" si="1"/>
        <v>0.95262526285285687</v>
      </c>
      <c r="E48" s="16">
        <v>35.78</v>
      </c>
      <c r="F48" s="16"/>
      <c r="G48" s="25">
        <v>1.6620000000000001E-3</v>
      </c>
      <c r="H48" s="25">
        <f t="shared" si="0"/>
        <v>0.97343201875634899</v>
      </c>
      <c r="I48" s="16">
        <v>39.6</v>
      </c>
    </row>
    <row r="49" spans="2:9">
      <c r="B49" s="24">
        <v>44</v>
      </c>
      <c r="C49" s="25">
        <v>2.8730000000000001E-3</v>
      </c>
      <c r="D49" s="25">
        <f t="shared" si="1"/>
        <v>0.95012081103681667</v>
      </c>
      <c r="E49" s="16">
        <v>34.880000000000003</v>
      </c>
      <c r="F49" s="16"/>
      <c r="G49" s="25">
        <v>1.8270000000000001E-3</v>
      </c>
      <c r="H49" s="25">
        <f t="shared" si="0"/>
        <v>0.97181417474117593</v>
      </c>
      <c r="I49" s="16">
        <v>38.659999999999997</v>
      </c>
    </row>
    <row r="50" spans="2:9">
      <c r="B50" s="24">
        <v>45</v>
      </c>
      <c r="C50" s="25">
        <v>3.1459999999999999E-3</v>
      </c>
      <c r="D50" s="25">
        <f t="shared" si="1"/>
        <v>0.94739111394670794</v>
      </c>
      <c r="E50" s="16">
        <v>33.979999999999997</v>
      </c>
      <c r="F50" s="16"/>
      <c r="G50" s="25">
        <v>2.0049999999999998E-3</v>
      </c>
      <c r="H50" s="25">
        <f t="shared" si="0"/>
        <v>0.97003867024392376</v>
      </c>
      <c r="I50" s="16">
        <v>37.729999999999997</v>
      </c>
    </row>
    <row r="51" spans="2:9">
      <c r="B51" s="24">
        <v>46</v>
      </c>
      <c r="C51" s="25">
        <v>3.447E-3</v>
      </c>
      <c r="D51" s="25">
        <f t="shared" si="1"/>
        <v>0.94441062150223165</v>
      </c>
      <c r="E51" s="16">
        <v>33.08</v>
      </c>
      <c r="F51" s="16"/>
      <c r="G51" s="25">
        <v>2.1979999999999999E-3</v>
      </c>
      <c r="H51" s="25">
        <f t="shared" si="0"/>
        <v>0.96809374271008475</v>
      </c>
      <c r="I51" s="16">
        <v>36.81</v>
      </c>
    </row>
    <row r="52" spans="2:9">
      <c r="B52" s="24">
        <v>47</v>
      </c>
      <c r="C52" s="25">
        <v>3.787E-3</v>
      </c>
      <c r="D52" s="25">
        <f t="shared" si="1"/>
        <v>0.94115523808991342</v>
      </c>
      <c r="E52" s="16">
        <v>32.19</v>
      </c>
      <c r="F52" s="16"/>
      <c r="G52" s="25">
        <v>2.4120000000000001E-3</v>
      </c>
      <c r="H52" s="25">
        <f t="shared" si="0"/>
        <v>0.96596587266360801</v>
      </c>
      <c r="I52" s="16">
        <v>35.89</v>
      </c>
    </row>
    <row r="53" spans="2:9">
      <c r="B53" s="24">
        <v>48</v>
      </c>
      <c r="C53" s="25">
        <v>4.1669999999999997E-3</v>
      </c>
      <c r="D53" s="25">
        <f t="shared" si="1"/>
        <v>0.9375910832032669</v>
      </c>
      <c r="E53" s="16">
        <v>31.32</v>
      </c>
      <c r="F53" s="16"/>
      <c r="G53" s="25">
        <v>2.6480000000000002E-3</v>
      </c>
      <c r="H53" s="25">
        <f t="shared" si="0"/>
        <v>0.96363596297874343</v>
      </c>
      <c r="I53" s="16">
        <v>34.97</v>
      </c>
    </row>
    <row r="54" spans="2:9">
      <c r="B54" s="24">
        <v>49</v>
      </c>
      <c r="C54" s="25">
        <v>4.5859999999999998E-3</v>
      </c>
      <c r="D54" s="25">
        <f t="shared" si="1"/>
        <v>0.93368414115955889</v>
      </c>
      <c r="E54" s="16">
        <v>30.44</v>
      </c>
      <c r="F54" s="16"/>
      <c r="G54" s="25">
        <v>2.9039999999999999E-3</v>
      </c>
      <c r="H54" s="25">
        <f t="shared" si="0"/>
        <v>0.9610842549487757</v>
      </c>
      <c r="I54" s="16">
        <v>34.06</v>
      </c>
    </row>
    <row r="55" spans="2:9">
      <c r="B55" s="24">
        <v>50</v>
      </c>
      <c r="C55" s="25">
        <v>5.0379999999999999E-3</v>
      </c>
      <c r="D55" s="25">
        <f t="shared" si="1"/>
        <v>0.92940226568820117</v>
      </c>
      <c r="E55" s="16">
        <v>29.58</v>
      </c>
      <c r="F55" s="16"/>
      <c r="G55" s="25">
        <v>3.1819999999999999E-3</v>
      </c>
      <c r="H55" s="25">
        <f t="shared" si="0"/>
        <v>0.95829326627240441</v>
      </c>
      <c r="I55" s="16">
        <v>33.159999999999997</v>
      </c>
    </row>
    <row r="56" spans="2:9">
      <c r="B56" s="24">
        <v>51</v>
      </c>
      <c r="C56" s="25">
        <v>5.5199999999999997E-3</v>
      </c>
      <c r="D56" s="25">
        <f t="shared" si="1"/>
        <v>0.92471993707366396</v>
      </c>
      <c r="E56" s="16">
        <v>28.73</v>
      </c>
      <c r="F56" s="16"/>
      <c r="G56" s="25">
        <v>3.473E-3</v>
      </c>
      <c r="H56" s="25">
        <f t="shared" si="0"/>
        <v>0.95524397709912567</v>
      </c>
      <c r="I56" s="16">
        <v>32.270000000000003</v>
      </c>
    </row>
    <row r="57" spans="2:9">
      <c r="B57" s="24">
        <v>52</v>
      </c>
      <c r="C57" s="25">
        <v>6.0359999999999997E-3</v>
      </c>
      <c r="D57" s="25">
        <f t="shared" si="1"/>
        <v>0.91961548302101737</v>
      </c>
      <c r="E57" s="16">
        <v>27.89</v>
      </c>
      <c r="F57" s="16"/>
      <c r="G57" s="25">
        <v>3.7669999999999999E-3</v>
      </c>
      <c r="H57" s="25">
        <f t="shared" si="0"/>
        <v>0.9519264147666604</v>
      </c>
      <c r="I57" s="16">
        <v>31.38</v>
      </c>
    </row>
    <row r="58" spans="2:9">
      <c r="B58" s="24">
        <v>53</v>
      </c>
      <c r="C58" s="25">
        <v>6.587E-3</v>
      </c>
      <c r="D58" s="25">
        <f t="shared" si="1"/>
        <v>0.91406468396550256</v>
      </c>
      <c r="E58" s="16">
        <v>27.05</v>
      </c>
      <c r="F58" s="16"/>
      <c r="G58" s="25">
        <v>4.058E-3</v>
      </c>
      <c r="H58" s="25">
        <f t="shared" si="0"/>
        <v>0.94834050796223435</v>
      </c>
      <c r="I58" s="16">
        <v>30.49</v>
      </c>
    </row>
    <row r="59" spans="2:9">
      <c r="B59" s="24">
        <v>54</v>
      </c>
      <c r="C59" s="25">
        <v>7.1700000000000002E-3</v>
      </c>
      <c r="D59" s="25">
        <f t="shared" si="1"/>
        <v>0.90804373989222176</v>
      </c>
      <c r="E59" s="16">
        <v>26.23</v>
      </c>
      <c r="F59" s="16"/>
      <c r="G59" s="25">
        <v>4.352E-3</v>
      </c>
      <c r="H59" s="25">
        <f t="shared" si="0"/>
        <v>0.94449214218092359</v>
      </c>
      <c r="I59" s="16">
        <v>29.62</v>
      </c>
    </row>
    <row r="60" spans="2:9">
      <c r="B60" s="24">
        <v>55</v>
      </c>
      <c r="C60" s="25">
        <v>7.8009999999999998E-3</v>
      </c>
      <c r="D60" s="25">
        <f t="shared" si="1"/>
        <v>0.90153306627719454</v>
      </c>
      <c r="E60" s="16">
        <v>25.41</v>
      </c>
      <c r="F60" s="16"/>
      <c r="G60" s="25">
        <v>4.6810000000000003E-3</v>
      </c>
      <c r="H60" s="25">
        <f t="shared" si="0"/>
        <v>0.94038171237815216</v>
      </c>
      <c r="I60" s="16">
        <v>28.74</v>
      </c>
    </row>
    <row r="61" spans="2:9">
      <c r="B61" s="24">
        <v>56</v>
      </c>
      <c r="C61" s="25">
        <v>8.4659999999999996E-3</v>
      </c>
      <c r="D61" s="25">
        <f t="shared" si="1"/>
        <v>0.89450020682716613</v>
      </c>
      <c r="E61" s="16">
        <v>24.61</v>
      </c>
      <c r="F61" s="16"/>
      <c r="G61" s="25">
        <v>5.0400000000000002E-3</v>
      </c>
      <c r="H61" s="25">
        <f t="shared" si="0"/>
        <v>0.93597978558251005</v>
      </c>
      <c r="I61" s="16">
        <v>27.88</v>
      </c>
    </row>
    <row r="62" spans="2:9">
      <c r="B62" s="24">
        <v>57</v>
      </c>
      <c r="C62" s="25">
        <v>9.1330000000000005E-3</v>
      </c>
      <c r="D62" s="25">
        <f t="shared" si="1"/>
        <v>0.88692736807616734</v>
      </c>
      <c r="E62" s="16">
        <v>23.82</v>
      </c>
      <c r="F62" s="16"/>
      <c r="G62" s="25">
        <v>5.4000000000000003E-3</v>
      </c>
      <c r="H62" s="25">
        <f t="shared" si="0"/>
        <v>0.93126244746317421</v>
      </c>
      <c r="I62" s="16">
        <v>27.01</v>
      </c>
    </row>
    <row r="63" spans="2:9">
      <c r="B63" s="24">
        <v>58</v>
      </c>
      <c r="C63" s="25">
        <v>9.7920000000000004E-3</v>
      </c>
      <c r="D63" s="25">
        <f t="shared" si="1"/>
        <v>0.87882706042352776</v>
      </c>
      <c r="E63" s="16">
        <v>23.03</v>
      </c>
      <c r="F63" s="16"/>
      <c r="G63" s="25">
        <v>5.7559999999999998E-3</v>
      </c>
      <c r="H63" s="25">
        <f t="shared" si="0"/>
        <v>0.92623363024687311</v>
      </c>
      <c r="I63" s="16">
        <v>26.16</v>
      </c>
    </row>
    <row r="64" spans="2:9">
      <c r="B64" s="24">
        <v>59</v>
      </c>
      <c r="C64" s="25">
        <v>1.0462000000000001E-2</v>
      </c>
      <c r="D64" s="25">
        <f t="shared" si="1"/>
        <v>0.87022158584786058</v>
      </c>
      <c r="E64" s="16">
        <v>22.25</v>
      </c>
      <c r="F64" s="16"/>
      <c r="G64" s="25">
        <v>6.1279999999999998E-3</v>
      </c>
      <c r="H64" s="25">
        <f t="shared" si="0"/>
        <v>0.92090222947117206</v>
      </c>
      <c r="I64" s="16">
        <v>25.31</v>
      </c>
    </row>
    <row r="65" spans="2:9">
      <c r="B65" s="24">
        <v>60</v>
      </c>
      <c r="C65" s="25">
        <v>1.1197E-2</v>
      </c>
      <c r="D65" s="25">
        <f t="shared" si="1"/>
        <v>0.86111732761672022</v>
      </c>
      <c r="E65" s="16">
        <v>21.48</v>
      </c>
      <c r="F65" s="16"/>
      <c r="G65" s="25">
        <v>6.5449999999999996E-3</v>
      </c>
      <c r="H65" s="25">
        <f t="shared" si="0"/>
        <v>0.91525894060897273</v>
      </c>
      <c r="I65" s="16">
        <v>24.46</v>
      </c>
    </row>
    <row r="66" spans="2:9">
      <c r="B66" s="24">
        <v>61</v>
      </c>
      <c r="C66" s="25">
        <v>1.2009000000000001E-2</v>
      </c>
      <c r="D66" s="25">
        <f t="shared" si="1"/>
        <v>0.85147539689939578</v>
      </c>
      <c r="E66" s="16">
        <v>20.72</v>
      </c>
      <c r="F66" s="16"/>
      <c r="G66" s="25">
        <v>7.0340000000000003E-3</v>
      </c>
      <c r="H66" s="25">
        <f t="shared" si="0"/>
        <v>0.90926857084268697</v>
      </c>
      <c r="I66" s="16">
        <v>23.62</v>
      </c>
    </row>
    <row r="67" spans="2:9">
      <c r="B67" s="24">
        <v>62</v>
      </c>
      <c r="C67" s="25">
        <v>1.2867E-2</v>
      </c>
      <c r="D67" s="25">
        <f t="shared" si="1"/>
        <v>0.84125002885803091</v>
      </c>
      <c r="E67" s="16">
        <v>19.97</v>
      </c>
      <c r="F67" s="16"/>
      <c r="G67" s="25">
        <v>7.607E-3</v>
      </c>
      <c r="H67" s="25">
        <f t="shared" si="0"/>
        <v>0.90287277571537949</v>
      </c>
      <c r="I67" s="16">
        <v>22.78</v>
      </c>
    </row>
    <row r="68" spans="2:9">
      <c r="B68" s="24">
        <v>63</v>
      </c>
      <c r="C68" s="25">
        <v>1.3772E-2</v>
      </c>
      <c r="D68" s="25">
        <f t="shared" si="1"/>
        <v>0.83042566473671464</v>
      </c>
      <c r="E68" s="16">
        <v>19.22</v>
      </c>
      <c r="F68" s="16"/>
      <c r="G68" s="25">
        <v>8.2810000000000002E-3</v>
      </c>
      <c r="H68" s="25">
        <f t="shared" si="0"/>
        <v>0.8960046225105126</v>
      </c>
      <c r="I68" s="16">
        <v>21.95</v>
      </c>
    </row>
    <row r="69" spans="2:9">
      <c r="B69" s="24">
        <v>64</v>
      </c>
      <c r="C69" s="25">
        <v>1.4749E-2</v>
      </c>
      <c r="D69" s="25">
        <f t="shared" si="1"/>
        <v>0.81898904248196058</v>
      </c>
      <c r="E69" s="16">
        <v>18.48</v>
      </c>
      <c r="F69" s="16"/>
      <c r="G69" s="25">
        <v>9.0570000000000008E-3</v>
      </c>
      <c r="H69" s="25">
        <f t="shared" si="0"/>
        <v>0.8885848082315031</v>
      </c>
      <c r="I69" s="16">
        <v>21.13</v>
      </c>
    </row>
    <row r="70" spans="2:9">
      <c r="B70" s="24">
        <v>65</v>
      </c>
      <c r="C70" s="25">
        <v>1.5852000000000002E-2</v>
      </c>
      <c r="D70" s="25">
        <f t="shared" si="1"/>
        <v>0.80690977309439416</v>
      </c>
      <c r="E70" s="16">
        <v>17.75</v>
      </c>
      <c r="F70" s="16"/>
      <c r="G70" s="25">
        <v>9.953E-3</v>
      </c>
      <c r="H70" s="25">
        <f t="shared" si="0"/>
        <v>0.88053689562335036</v>
      </c>
      <c r="I70" s="16">
        <v>20.32</v>
      </c>
    </row>
    <row r="71" spans="2:9">
      <c r="B71" s="24">
        <v>66</v>
      </c>
      <c r="C71" s="25">
        <v>1.7097000000000001E-2</v>
      </c>
      <c r="D71" s="25">
        <f t="shared" si="1"/>
        <v>0.79411863937130178</v>
      </c>
      <c r="E71" s="16">
        <v>17.03</v>
      </c>
      <c r="F71" s="16"/>
      <c r="G71" s="25">
        <v>1.095E-2</v>
      </c>
      <c r="H71" s="25">
        <f t="shared" ref="H71:H124" si="2">H70-(H70*G70)</f>
        <v>0.8717729119012112</v>
      </c>
      <c r="I71" s="16">
        <v>19.52</v>
      </c>
    </row>
    <row r="72" spans="2:9">
      <c r="B72" s="24">
        <v>67</v>
      </c>
      <c r="C72" s="25">
        <v>1.8463E-2</v>
      </c>
      <c r="D72" s="25">
        <f t="shared" si="1"/>
        <v>0.78054159299397063</v>
      </c>
      <c r="E72" s="16">
        <v>16.32</v>
      </c>
      <c r="F72" s="16"/>
      <c r="G72" s="25">
        <v>1.201E-2</v>
      </c>
      <c r="H72" s="25">
        <f t="shared" si="2"/>
        <v>0.86222699851589291</v>
      </c>
      <c r="I72" s="16">
        <v>18.73</v>
      </c>
    </row>
    <row r="73" spans="2:9">
      <c r="B73" s="24">
        <v>68</v>
      </c>
      <c r="C73" s="25">
        <v>1.9959000000000001E-2</v>
      </c>
      <c r="D73" s="25">
        <f t="shared" si="1"/>
        <v>0.76613045356252296</v>
      </c>
      <c r="E73" s="16">
        <v>15.61</v>
      </c>
      <c r="F73" s="16"/>
      <c r="G73" s="25">
        <v>1.3124E-2</v>
      </c>
      <c r="H73" s="25">
        <f t="shared" si="2"/>
        <v>0.85187165226371708</v>
      </c>
      <c r="I73" s="16">
        <v>17.95</v>
      </c>
    </row>
    <row r="74" spans="2:9">
      <c r="B74" s="24">
        <v>69</v>
      </c>
      <c r="C74" s="25">
        <v>2.1616E-2</v>
      </c>
      <c r="D74" s="25">
        <f t="shared" ref="D74:D124" si="3">D73-(D73*C73)</f>
        <v>0.75083925583986855</v>
      </c>
      <c r="E74" s="16">
        <v>14.92</v>
      </c>
      <c r="F74" s="16"/>
      <c r="G74" s="25">
        <v>1.4330000000000001E-2</v>
      </c>
      <c r="H74" s="25">
        <f t="shared" si="2"/>
        <v>0.84069168869940802</v>
      </c>
      <c r="I74" s="16">
        <v>17.18</v>
      </c>
    </row>
    <row r="75" spans="2:9">
      <c r="B75" s="24">
        <v>70</v>
      </c>
      <c r="C75" s="25">
        <v>2.3528E-2</v>
      </c>
      <c r="D75" s="25">
        <f t="shared" si="3"/>
        <v>0.73460911448563393</v>
      </c>
      <c r="E75" s="16">
        <v>14.24</v>
      </c>
      <c r="F75" s="16"/>
      <c r="G75" s="25">
        <v>1.5727999999999999E-2</v>
      </c>
      <c r="H75" s="25">
        <f t="shared" si="2"/>
        <v>0.82864457680034553</v>
      </c>
      <c r="I75" s="16">
        <v>16.43</v>
      </c>
    </row>
    <row r="76" spans="2:9">
      <c r="B76" s="24">
        <v>71</v>
      </c>
      <c r="C76" s="25">
        <v>2.5693000000000001E-2</v>
      </c>
      <c r="D76" s="25">
        <f t="shared" si="3"/>
        <v>0.7173252312400159</v>
      </c>
      <c r="E76" s="16">
        <v>13.57</v>
      </c>
      <c r="F76" s="16"/>
      <c r="G76" s="25">
        <v>1.7337999999999999E-2</v>
      </c>
      <c r="H76" s="25">
        <f t="shared" si="2"/>
        <v>0.81561165489642973</v>
      </c>
      <c r="I76" s="16">
        <v>15.68</v>
      </c>
    </row>
    <row r="77" spans="2:9">
      <c r="B77" s="24">
        <v>72</v>
      </c>
      <c r="C77" s="25">
        <v>2.8041E-2</v>
      </c>
      <c r="D77" s="25">
        <f t="shared" si="3"/>
        <v>0.69889499407376621</v>
      </c>
      <c r="E77" s="16">
        <v>12.92</v>
      </c>
      <c r="F77" s="16"/>
      <c r="G77" s="25">
        <v>1.9108E-2</v>
      </c>
      <c r="H77" s="25">
        <f t="shared" si="2"/>
        <v>0.80147058002383542</v>
      </c>
      <c r="I77" s="16">
        <v>14.95</v>
      </c>
    </row>
    <row r="78" spans="2:9">
      <c r="B78" s="24">
        <v>73</v>
      </c>
      <c r="C78" s="25">
        <v>3.0567E-2</v>
      </c>
      <c r="D78" s="25">
        <f t="shared" si="3"/>
        <v>0.67929727954494368</v>
      </c>
      <c r="E78" s="16">
        <v>12.27</v>
      </c>
      <c r="F78" s="16"/>
      <c r="G78" s="25">
        <v>2.1041000000000001E-2</v>
      </c>
      <c r="H78" s="25">
        <f t="shared" si="2"/>
        <v>0.78615608018074001</v>
      </c>
      <c r="I78" s="16">
        <v>14.23</v>
      </c>
    </row>
    <row r="79" spans="2:9">
      <c r="B79" s="24">
        <v>74</v>
      </c>
      <c r="C79" s="25">
        <v>3.3347000000000002E-2</v>
      </c>
      <c r="D79" s="25">
        <f t="shared" si="3"/>
        <v>0.65853319960109336</v>
      </c>
      <c r="E79" s="16">
        <v>11.65</v>
      </c>
      <c r="F79" s="16"/>
      <c r="G79" s="25">
        <v>2.3191E-2</v>
      </c>
      <c r="H79" s="25">
        <f t="shared" si="2"/>
        <v>0.7696145700976571</v>
      </c>
      <c r="I79" s="16">
        <v>13.53</v>
      </c>
    </row>
    <row r="80" spans="2:9">
      <c r="B80" s="24">
        <v>75</v>
      </c>
      <c r="C80" s="25">
        <v>3.6572E-2</v>
      </c>
      <c r="D80" s="25">
        <f t="shared" si="3"/>
        <v>0.63657309299399567</v>
      </c>
      <c r="E80" s="16">
        <v>11.03</v>
      </c>
      <c r="F80" s="16"/>
      <c r="G80" s="25">
        <v>2.5713E-2</v>
      </c>
      <c r="H80" s="25">
        <f t="shared" si="2"/>
        <v>0.75176643860252235</v>
      </c>
      <c r="I80" s="16">
        <v>12.83</v>
      </c>
    </row>
    <row r="81" spans="2:9">
      <c r="B81" s="24">
        <v>76</v>
      </c>
      <c r="C81" s="25">
        <v>4.0275999999999999E-2</v>
      </c>
      <c r="D81" s="25">
        <f t="shared" si="3"/>
        <v>0.61329234183701931</v>
      </c>
      <c r="E81" s="16">
        <v>10.43</v>
      </c>
      <c r="F81" s="16"/>
      <c r="G81" s="25">
        <v>2.8608999999999999E-2</v>
      </c>
      <c r="H81" s="25">
        <f t="shared" si="2"/>
        <v>0.73243626816673568</v>
      </c>
      <c r="I81" s="16">
        <v>12.16</v>
      </c>
    </row>
    <row r="82" spans="2:9">
      <c r="B82" s="24">
        <v>77</v>
      </c>
      <c r="C82" s="25">
        <v>4.4347999999999999E-2</v>
      </c>
      <c r="D82" s="25">
        <f t="shared" si="3"/>
        <v>0.58859137947719153</v>
      </c>
      <c r="E82" s="16">
        <v>9.85</v>
      </c>
      <c r="F82" s="16"/>
      <c r="G82" s="25">
        <v>3.1759999999999997E-2</v>
      </c>
      <c r="H82" s="25">
        <f t="shared" si="2"/>
        <v>0.71148199897075359</v>
      </c>
      <c r="I82" s="16">
        <v>11.5</v>
      </c>
    </row>
    <row r="83" spans="2:9">
      <c r="B83" s="24">
        <v>78</v>
      </c>
      <c r="C83" s="25">
        <v>4.8797E-2</v>
      </c>
      <c r="D83" s="25">
        <f t="shared" si="3"/>
        <v>0.56248852898013701</v>
      </c>
      <c r="E83" s="16">
        <v>9.2799999999999994</v>
      </c>
      <c r="F83" s="16"/>
      <c r="G83" s="25">
        <v>3.5157000000000001E-2</v>
      </c>
      <c r="H83" s="25">
        <f t="shared" si="2"/>
        <v>0.68888533068344249</v>
      </c>
      <c r="I83" s="16">
        <v>10.86</v>
      </c>
    </row>
    <row r="84" spans="2:9">
      <c r="B84" s="24">
        <v>79</v>
      </c>
      <c r="C84" s="25">
        <v>5.3739000000000002E-2</v>
      </c>
      <c r="D84" s="25">
        <f t="shared" si="3"/>
        <v>0.53504077623149326</v>
      </c>
      <c r="E84" s="16">
        <v>8.73</v>
      </c>
      <c r="F84" s="16"/>
      <c r="G84" s="25">
        <v>3.8920000000000003E-2</v>
      </c>
      <c r="H84" s="25">
        <f t="shared" si="2"/>
        <v>0.66466618911260467</v>
      </c>
      <c r="I84" s="16">
        <v>10.24</v>
      </c>
    </row>
    <row r="85" spans="2:9">
      <c r="B85" s="24">
        <v>80</v>
      </c>
      <c r="C85" s="25">
        <v>5.9402999999999997E-2</v>
      </c>
      <c r="D85" s="25">
        <f t="shared" si="3"/>
        <v>0.5062882199575891</v>
      </c>
      <c r="E85" s="16">
        <v>8.1999999999999993</v>
      </c>
      <c r="F85" s="16"/>
      <c r="G85" s="25">
        <v>4.3289000000000001E-2</v>
      </c>
      <c r="H85" s="25">
        <f t="shared" si="2"/>
        <v>0.63879738103234207</v>
      </c>
      <c r="I85" s="16">
        <v>9.64</v>
      </c>
    </row>
    <row r="86" spans="2:9">
      <c r="B86" s="24">
        <v>81</v>
      </c>
      <c r="C86" s="25">
        <v>6.5873000000000001E-2</v>
      </c>
      <c r="D86" s="25">
        <f t="shared" si="3"/>
        <v>0.47621318082744846</v>
      </c>
      <c r="E86" s="16">
        <v>7.68</v>
      </c>
      <c r="F86" s="16"/>
      <c r="G86" s="25">
        <v>4.8356000000000003E-2</v>
      </c>
      <c r="H86" s="25">
        <f t="shared" si="2"/>
        <v>0.611144481204833</v>
      </c>
      <c r="I86" s="16">
        <v>9.0500000000000007</v>
      </c>
    </row>
    <row r="87" spans="2:9">
      <c r="B87" s="24">
        <v>82</v>
      </c>
      <c r="C87" s="25">
        <v>7.3081999999999994E-2</v>
      </c>
      <c r="D87" s="25">
        <f t="shared" si="3"/>
        <v>0.44484358996680196</v>
      </c>
      <c r="E87" s="16">
        <v>7.19</v>
      </c>
      <c r="F87" s="16"/>
      <c r="G87" s="25">
        <v>5.4040999999999999E-2</v>
      </c>
      <c r="H87" s="25">
        <f t="shared" si="2"/>
        <v>0.5815919786716921</v>
      </c>
      <c r="I87" s="16">
        <v>8.48</v>
      </c>
    </row>
    <row r="88" spans="2:9">
      <c r="B88" s="24">
        <v>83</v>
      </c>
      <c r="C88" s="25">
        <v>8.1070000000000003E-2</v>
      </c>
      <c r="D88" s="25">
        <f t="shared" si="3"/>
        <v>0.41233353072484813</v>
      </c>
      <c r="E88" s="16">
        <v>6.72</v>
      </c>
      <c r="F88" s="16"/>
      <c r="G88" s="25">
        <v>6.0384E-2</v>
      </c>
      <c r="H88" s="25">
        <f t="shared" si="2"/>
        <v>0.55016216655229522</v>
      </c>
      <c r="I88" s="16">
        <v>7.94</v>
      </c>
    </row>
    <row r="89" spans="2:9">
      <c r="B89" s="24">
        <v>84</v>
      </c>
      <c r="C89" s="25">
        <v>8.9946999999999999E-2</v>
      </c>
      <c r="D89" s="25">
        <f t="shared" si="3"/>
        <v>0.37890565138898469</v>
      </c>
      <c r="E89" s="16">
        <v>6.27</v>
      </c>
      <c r="F89" s="16"/>
      <c r="G89" s="25">
        <v>6.7498000000000002E-2</v>
      </c>
      <c r="H89" s="25">
        <f t="shared" si="2"/>
        <v>0.51694117428720143</v>
      </c>
      <c r="I89" s="16">
        <v>7.42</v>
      </c>
    </row>
    <row r="90" spans="2:9">
      <c r="B90" s="24">
        <v>85</v>
      </c>
      <c r="C90" s="25">
        <v>9.9842E-2</v>
      </c>
      <c r="D90" s="25">
        <f t="shared" si="3"/>
        <v>0.34482422476349966</v>
      </c>
      <c r="E90" s="16">
        <v>5.84</v>
      </c>
      <c r="F90" s="16"/>
      <c r="G90" s="25">
        <v>7.5516E-2</v>
      </c>
      <c r="H90" s="25">
        <f t="shared" si="2"/>
        <v>0.4820486789051639</v>
      </c>
      <c r="I90" s="16">
        <v>6.92</v>
      </c>
    </row>
    <row r="91" spans="2:9">
      <c r="B91" s="24">
        <v>86</v>
      </c>
      <c r="C91" s="25">
        <v>0.110863</v>
      </c>
      <c r="D91" s="25">
        <f t="shared" si="3"/>
        <v>0.31039628451466234</v>
      </c>
      <c r="E91" s="16">
        <v>5.43</v>
      </c>
      <c r="F91" s="16"/>
      <c r="G91" s="25">
        <v>8.4556000000000006E-2</v>
      </c>
      <c r="H91" s="25">
        <f t="shared" si="2"/>
        <v>0.44564629086896157</v>
      </c>
      <c r="I91" s="16">
        <v>6.44</v>
      </c>
    </row>
    <row r="92" spans="2:9">
      <c r="B92" s="24">
        <v>87</v>
      </c>
      <c r="C92" s="25">
        <v>0.123088</v>
      </c>
      <c r="D92" s="25">
        <f t="shared" si="3"/>
        <v>0.27598482122451334</v>
      </c>
      <c r="E92" s="16">
        <v>5.04</v>
      </c>
      <c r="F92" s="16"/>
      <c r="G92" s="25">
        <v>9.4702999999999996E-2</v>
      </c>
      <c r="H92" s="25">
        <f t="shared" si="2"/>
        <v>0.40796422309824565</v>
      </c>
      <c r="I92" s="16">
        <v>5.99</v>
      </c>
    </row>
    <row r="93" spans="2:9">
      <c r="B93" s="24">
        <v>88</v>
      </c>
      <c r="C93" s="25">
        <v>0.13656299999999999</v>
      </c>
      <c r="D93" s="25">
        <f t="shared" si="3"/>
        <v>0.24201440154963044</v>
      </c>
      <c r="E93" s="16">
        <v>4.68</v>
      </c>
      <c r="F93" s="16"/>
      <c r="G93" s="25">
        <v>0.106014</v>
      </c>
      <c r="H93" s="25">
        <f t="shared" si="2"/>
        <v>0.36932878727817248</v>
      </c>
      <c r="I93" s="16">
        <v>5.57</v>
      </c>
    </row>
    <row r="94" spans="2:9">
      <c r="B94" s="24">
        <v>89</v>
      </c>
      <c r="C94" s="25">
        <v>0.15129899999999999</v>
      </c>
      <c r="D94" s="25">
        <f t="shared" si="3"/>
        <v>0.20896418883080825</v>
      </c>
      <c r="E94" s="16">
        <v>4.34</v>
      </c>
      <c r="F94" s="16"/>
      <c r="G94" s="25">
        <v>0.11851299999999999</v>
      </c>
      <c r="H94" s="25">
        <f t="shared" si="2"/>
        <v>0.33017476522366429</v>
      </c>
      <c r="I94" s="16">
        <v>5.17</v>
      </c>
    </row>
    <row r="95" spans="2:9">
      <c r="B95" s="35">
        <v>90</v>
      </c>
      <c r="C95" s="36">
        <v>0.167291</v>
      </c>
      <c r="D95" s="36">
        <f t="shared" si="3"/>
        <v>0.17734811602489581</v>
      </c>
      <c r="E95" s="37">
        <v>4.03</v>
      </c>
      <c r="F95" s="37"/>
      <c r="G95" s="36">
        <v>0.13220599999999999</v>
      </c>
      <c r="H95" s="36">
        <f t="shared" si="2"/>
        <v>0.29104476327271217</v>
      </c>
      <c r="I95" s="37">
        <v>4.8</v>
      </c>
    </row>
    <row r="96" spans="2:9">
      <c r="B96" s="35">
        <v>91</v>
      </c>
      <c r="C96" s="36">
        <v>0.18451999999999999</v>
      </c>
      <c r="D96" s="36">
        <f t="shared" si="3"/>
        <v>0.14767937234697495</v>
      </c>
      <c r="E96" s="37">
        <v>3.74</v>
      </c>
      <c r="F96" s="37"/>
      <c r="G96" s="36">
        <v>0.147092</v>
      </c>
      <c r="H96" s="36">
        <f t="shared" si="2"/>
        <v>0.25256689929948001</v>
      </c>
      <c r="I96" s="37">
        <v>4.45</v>
      </c>
    </row>
    <row r="97" spans="2:9">
      <c r="B97" s="24">
        <v>92</v>
      </c>
      <c r="C97" s="25">
        <v>0.202954</v>
      </c>
      <c r="D97" s="25">
        <f t="shared" si="3"/>
        <v>0.12042957456151113</v>
      </c>
      <c r="E97" s="16">
        <v>3.47</v>
      </c>
      <c r="F97" s="16"/>
      <c r="G97" s="25">
        <v>0.16315399999999999</v>
      </c>
      <c r="H97" s="25">
        <f t="shared" si="2"/>
        <v>0.21541632894772089</v>
      </c>
      <c r="I97" s="16">
        <v>4.13</v>
      </c>
    </row>
    <row r="98" spans="2:9">
      <c r="B98" s="24">
        <v>93</v>
      </c>
      <c r="C98" s="25">
        <v>0.222555</v>
      </c>
      <c r="D98" s="25">
        <f t="shared" si="3"/>
        <v>9.5987910685954192E-2</v>
      </c>
      <c r="E98" s="16">
        <v>3.23</v>
      </c>
      <c r="F98" s="16"/>
      <c r="G98" s="25">
        <v>0.180371</v>
      </c>
      <c r="H98" s="25">
        <f t="shared" si="2"/>
        <v>0.18027029321458443</v>
      </c>
      <c r="I98" s="16">
        <v>3.84</v>
      </c>
    </row>
    <row r="99" spans="2:9">
      <c r="B99" s="24">
        <v>94</v>
      </c>
      <c r="C99" s="25">
        <v>0.24327199999999999</v>
      </c>
      <c r="D99" s="25">
        <f t="shared" si="3"/>
        <v>7.4625321223241656E-2</v>
      </c>
      <c r="E99" s="16">
        <v>3.01</v>
      </c>
      <c r="F99" s="16"/>
      <c r="G99" s="25">
        <v>0.198714</v>
      </c>
      <c r="H99" s="25">
        <f t="shared" si="2"/>
        <v>0.14775476015717662</v>
      </c>
      <c r="I99" s="16">
        <v>3.57</v>
      </c>
    </row>
    <row r="100" spans="2:9">
      <c r="B100" s="24">
        <v>95</v>
      </c>
      <c r="C100" s="25">
        <v>0.26382100000000003</v>
      </c>
      <c r="D100" s="25">
        <f t="shared" si="3"/>
        <v>5.6471070078621212E-2</v>
      </c>
      <c r="E100" s="16">
        <v>2.82</v>
      </c>
      <c r="F100" s="16"/>
      <c r="G100" s="25">
        <v>0.21726400000000001</v>
      </c>
      <c r="H100" s="25">
        <f t="shared" si="2"/>
        <v>0.11839382074730342</v>
      </c>
      <c r="I100" s="16">
        <v>3.34</v>
      </c>
    </row>
    <row r="101" spans="2:9">
      <c r="B101" s="24">
        <v>96</v>
      </c>
      <c r="C101" s="25">
        <v>0.283833</v>
      </c>
      <c r="D101" s="25">
        <f t="shared" si="3"/>
        <v>4.1572815899409282E-2</v>
      </c>
      <c r="E101" s="16">
        <v>2.64</v>
      </c>
      <c r="F101" s="16"/>
      <c r="G101" s="25">
        <v>0.235735</v>
      </c>
      <c r="H101" s="25">
        <f t="shared" si="2"/>
        <v>9.2671105676461293E-2</v>
      </c>
      <c r="I101" s="16">
        <v>3.12</v>
      </c>
    </row>
    <row r="102" spans="2:9">
      <c r="B102" s="24">
        <v>97</v>
      </c>
      <c r="C102" s="25">
        <v>0.30291600000000002</v>
      </c>
      <c r="D102" s="25">
        <f t="shared" si="3"/>
        <v>2.9773078844232248E-2</v>
      </c>
      <c r="E102" s="16">
        <v>2.4900000000000002</v>
      </c>
      <c r="F102" s="16"/>
      <c r="G102" s="25">
        <v>0.25380999999999998</v>
      </c>
      <c r="H102" s="25">
        <f t="shared" si="2"/>
        <v>7.0825282579820695E-2</v>
      </c>
      <c r="I102" s="16">
        <v>2.93</v>
      </c>
    </row>
    <row r="103" spans="2:9">
      <c r="B103" s="24">
        <v>98</v>
      </c>
      <c r="C103" s="25">
        <v>0.32067200000000001</v>
      </c>
      <c r="D103" s="25">
        <f t="shared" si="3"/>
        <v>2.075433689305279E-2</v>
      </c>
      <c r="E103" s="16">
        <v>2.36</v>
      </c>
      <c r="F103" s="16"/>
      <c r="G103" s="25">
        <v>0.27115499999999998</v>
      </c>
      <c r="H103" s="25">
        <f t="shared" si="2"/>
        <v>5.2849117608236407E-2</v>
      </c>
      <c r="I103" s="16">
        <v>2.76</v>
      </c>
    </row>
    <row r="104" spans="2:9">
      <c r="B104" s="24">
        <v>99</v>
      </c>
      <c r="C104" s="25">
        <v>0.33670600000000001</v>
      </c>
      <c r="D104" s="25">
        <f t="shared" si="3"/>
        <v>1.4099002172883766E-2</v>
      </c>
      <c r="E104" s="16">
        <v>2.2400000000000002</v>
      </c>
      <c r="F104" s="16"/>
      <c r="G104" s="25">
        <v>0.28742400000000001</v>
      </c>
      <c r="H104" s="25">
        <f t="shared" si="2"/>
        <v>3.8518815123175065E-2</v>
      </c>
      <c r="I104" s="16">
        <v>2.6</v>
      </c>
    </row>
    <row r="105" spans="2:9">
      <c r="B105" s="24">
        <v>100</v>
      </c>
      <c r="C105" s="25">
        <v>0.35354099999999999</v>
      </c>
      <c r="D105" s="25">
        <f t="shared" si="3"/>
        <v>9.3517835472607634E-3</v>
      </c>
      <c r="E105" s="16">
        <v>2.12</v>
      </c>
      <c r="F105" s="16"/>
      <c r="G105" s="25">
        <v>0.30467</v>
      </c>
      <c r="H105" s="25">
        <f t="shared" si="2"/>
        <v>2.7447583205211595E-2</v>
      </c>
      <c r="I105" s="16">
        <v>2.4500000000000002</v>
      </c>
    </row>
    <row r="106" spans="2:9">
      <c r="B106" s="24">
        <v>101</v>
      </c>
      <c r="C106" s="25">
        <v>0.37121799999999999</v>
      </c>
      <c r="D106" s="25">
        <f t="shared" si="3"/>
        <v>6.0455446401786461E-3</v>
      </c>
      <c r="E106" s="16">
        <v>2.0099999999999998</v>
      </c>
      <c r="F106" s="16"/>
      <c r="G106" s="25">
        <v>0.32295000000000001</v>
      </c>
      <c r="H106" s="25">
        <f t="shared" si="2"/>
        <v>1.9085128030079779E-2</v>
      </c>
      <c r="I106" s="16">
        <v>2.2999999999999998</v>
      </c>
    </row>
    <row r="107" spans="2:9">
      <c r="B107" s="24">
        <v>102</v>
      </c>
      <c r="C107" s="25">
        <v>0.38977899999999999</v>
      </c>
      <c r="D107" s="25">
        <f t="shared" si="3"/>
        <v>3.8013296499408095E-3</v>
      </c>
      <c r="E107" s="16">
        <v>1.9</v>
      </c>
      <c r="F107" s="16"/>
      <c r="G107" s="25">
        <v>0.34232699999999999</v>
      </c>
      <c r="H107" s="25">
        <f t="shared" si="2"/>
        <v>1.2921585932765513E-2</v>
      </c>
      <c r="I107" s="16">
        <v>2.17</v>
      </c>
    </row>
    <row r="108" spans="2:9">
      <c r="B108" s="24">
        <v>103</v>
      </c>
      <c r="C108" s="25">
        <v>0.40926800000000002</v>
      </c>
      <c r="D108" s="25">
        <f t="shared" si="3"/>
        <v>2.3196511803165306E-3</v>
      </c>
      <c r="E108" s="16">
        <v>1.8</v>
      </c>
      <c r="F108" s="16"/>
      <c r="G108" s="25">
        <v>0.362867</v>
      </c>
      <c r="H108" s="25">
        <f t="shared" si="2"/>
        <v>8.4981781851596935E-3</v>
      </c>
      <c r="I108" s="16">
        <v>2.0299999999999998</v>
      </c>
    </row>
    <row r="109" spans="2:9">
      <c r="B109" s="24">
        <v>104</v>
      </c>
      <c r="C109" s="25">
        <v>0.429732</v>
      </c>
      <c r="D109" s="25">
        <f t="shared" si="3"/>
        <v>1.3702921810507447E-3</v>
      </c>
      <c r="E109" s="16">
        <v>1.7</v>
      </c>
      <c r="F109" s="16"/>
      <c r="G109" s="25">
        <v>0.38463900000000001</v>
      </c>
      <c r="H109" s="25">
        <f t="shared" si="2"/>
        <v>5.4144697616453508E-3</v>
      </c>
      <c r="I109" s="16">
        <v>1.91</v>
      </c>
    </row>
    <row r="110" spans="2:9">
      <c r="B110" s="24">
        <v>105</v>
      </c>
      <c r="C110" s="25">
        <v>0.45121800000000001</v>
      </c>
      <c r="D110" s="25">
        <f t="shared" si="3"/>
        <v>7.8143378150344605E-4</v>
      </c>
      <c r="E110" s="16">
        <v>1.6</v>
      </c>
      <c r="F110" s="16"/>
      <c r="G110" s="25">
        <v>0.407717</v>
      </c>
      <c r="H110" s="25">
        <f t="shared" si="2"/>
        <v>3.3318535269958446E-3</v>
      </c>
      <c r="I110" s="16">
        <v>1.78</v>
      </c>
    </row>
    <row r="111" spans="2:9">
      <c r="B111" s="24">
        <v>106</v>
      </c>
      <c r="C111" s="25">
        <v>0.47377900000000001</v>
      </c>
      <c r="D111" s="25">
        <f t="shared" si="3"/>
        <v>4.2883679348102414E-4</v>
      </c>
      <c r="E111" s="16">
        <v>1.51</v>
      </c>
      <c r="F111" s="16"/>
      <c r="G111" s="25">
        <v>0.43218000000000001</v>
      </c>
      <c r="H111" s="25">
        <f t="shared" si="2"/>
        <v>1.9734002025296798E-3</v>
      </c>
      <c r="I111" s="16">
        <v>1.67</v>
      </c>
    </row>
    <row r="112" spans="2:9">
      <c r="B112" s="24">
        <v>107</v>
      </c>
      <c r="C112" s="25">
        <v>0.49746800000000002</v>
      </c>
      <c r="D112" s="25">
        <f t="shared" si="3"/>
        <v>2.2566292630237799E-4</v>
      </c>
      <c r="E112" s="16">
        <v>1.42</v>
      </c>
      <c r="F112" s="16"/>
      <c r="G112" s="25">
        <v>0.45811099999999999</v>
      </c>
      <c r="H112" s="25">
        <f t="shared" si="2"/>
        <v>1.1205361030004028E-3</v>
      </c>
      <c r="I112" s="16">
        <v>1.56</v>
      </c>
    </row>
    <row r="113" spans="2:9">
      <c r="B113" s="24">
        <v>108</v>
      </c>
      <c r="C113" s="25">
        <v>0.52234100000000006</v>
      </c>
      <c r="D113" s="25">
        <f t="shared" si="3"/>
        <v>1.1340284168058661E-4</v>
      </c>
      <c r="E113" s="16">
        <v>1.34</v>
      </c>
      <c r="F113" s="16"/>
      <c r="G113" s="25">
        <v>0.485597</v>
      </c>
      <c r="H113" s="25">
        <f t="shared" si="2"/>
        <v>6.0720618831878526E-4</v>
      </c>
      <c r="I113" s="16">
        <v>1.45</v>
      </c>
    </row>
    <row r="114" spans="2:9">
      <c r="B114" s="24">
        <v>109</v>
      </c>
      <c r="C114" s="25">
        <v>0.548458</v>
      </c>
      <c r="D114" s="25">
        <f t="shared" si="3"/>
        <v>5.416788795430731E-5</v>
      </c>
      <c r="E114" s="16">
        <v>1.26</v>
      </c>
      <c r="F114" s="16"/>
      <c r="G114" s="25">
        <v>0.514733</v>
      </c>
      <c r="H114" s="25">
        <f t="shared" si="2"/>
        <v>3.123486848897481E-4</v>
      </c>
      <c r="I114" s="16">
        <v>1.35</v>
      </c>
    </row>
    <row r="115" spans="2:9">
      <c r="B115" s="24">
        <v>110</v>
      </c>
      <c r="C115" s="25">
        <v>0.57588099999999998</v>
      </c>
      <c r="D115" s="25">
        <f t="shared" si="3"/>
        <v>2.4459076462663831E-5</v>
      </c>
      <c r="E115" s="16">
        <v>1.18</v>
      </c>
      <c r="F115" s="16"/>
      <c r="G115" s="25">
        <v>0.54561700000000002</v>
      </c>
      <c r="H115" s="25">
        <f t="shared" si="2"/>
        <v>1.515725092703934E-4</v>
      </c>
      <c r="I115" s="16">
        <v>1.26</v>
      </c>
    </row>
    <row r="116" spans="2:9">
      <c r="B116" s="24">
        <v>111</v>
      </c>
      <c r="C116" s="25">
        <v>0.60467499999999996</v>
      </c>
      <c r="D116" s="25">
        <f t="shared" si="3"/>
        <v>1.0373559050268522E-5</v>
      </c>
      <c r="E116" s="16">
        <v>1.1100000000000001</v>
      </c>
      <c r="F116" s="16"/>
      <c r="G116" s="25">
        <v>0.57835400000000003</v>
      </c>
      <c r="H116" s="25">
        <f t="shared" si="2"/>
        <v>6.8871971479809167E-5</v>
      </c>
      <c r="I116" s="16">
        <v>1.17</v>
      </c>
    </row>
    <row r="117" spans="2:9">
      <c r="B117" s="24">
        <v>112</v>
      </c>
      <c r="C117" s="25">
        <v>0.63490899999999995</v>
      </c>
      <c r="D117" s="25">
        <f t="shared" si="3"/>
        <v>4.1009272315474037E-6</v>
      </c>
      <c r="E117" s="16">
        <v>1.04</v>
      </c>
      <c r="F117" s="16"/>
      <c r="G117" s="25">
        <v>0.61305500000000002</v>
      </c>
      <c r="H117" s="25">
        <f t="shared" si="2"/>
        <v>2.9039591286575614E-5</v>
      </c>
      <c r="I117" s="16">
        <v>1.08</v>
      </c>
    </row>
    <row r="118" spans="2:9">
      <c r="B118" s="24">
        <v>113</v>
      </c>
      <c r="C118" s="25">
        <v>0.666655</v>
      </c>
      <c r="D118" s="25">
        <f t="shared" si="3"/>
        <v>1.4972116238928733E-6</v>
      </c>
      <c r="E118" s="16">
        <v>0.97</v>
      </c>
      <c r="F118" s="16"/>
      <c r="G118" s="25">
        <v>0.64983900000000006</v>
      </c>
      <c r="H118" s="25">
        <f t="shared" si="2"/>
        <v>1.1236724650384002E-5</v>
      </c>
      <c r="I118" s="16">
        <v>1</v>
      </c>
    </row>
    <row r="119" spans="2:9">
      <c r="B119" s="24">
        <v>114</v>
      </c>
      <c r="C119" s="25">
        <v>0.69998700000000003</v>
      </c>
      <c r="D119" s="25">
        <f t="shared" si="3"/>
        <v>4.9908800876656982E-7</v>
      </c>
      <c r="E119" s="16">
        <v>0.9</v>
      </c>
      <c r="F119" s="16"/>
      <c r="G119" s="25">
        <v>0.68882900000000002</v>
      </c>
      <c r="H119" s="25">
        <f t="shared" si="2"/>
        <v>3.9346627403031122E-6</v>
      </c>
      <c r="I119" s="16">
        <v>0.92</v>
      </c>
    </row>
    <row r="120" spans="2:9">
      <c r="B120" s="24">
        <v>115</v>
      </c>
      <c r="C120" s="25">
        <v>0.73498699999999995</v>
      </c>
      <c r="D120" s="25">
        <f t="shared" si="3"/>
        <v>1.4973289077408489E-7</v>
      </c>
      <c r="E120" s="16">
        <v>0.84</v>
      </c>
      <c r="F120" s="16"/>
      <c r="G120" s="25">
        <v>0.730159</v>
      </c>
      <c r="H120" s="25">
        <f t="shared" si="2"/>
        <v>1.2243529395628595E-6</v>
      </c>
      <c r="I120" s="16">
        <v>0.85</v>
      </c>
    </row>
    <row r="121" spans="2:9">
      <c r="B121" s="24">
        <v>116</v>
      </c>
      <c r="C121" s="25">
        <v>0.77173599999999998</v>
      </c>
      <c r="D121" s="25">
        <f t="shared" si="3"/>
        <v>3.9681162582712572E-8</v>
      </c>
      <c r="E121" s="16">
        <v>0.78</v>
      </c>
      <c r="F121" s="16"/>
      <c r="G121" s="25">
        <v>0.77173599999999998</v>
      </c>
      <c r="H121" s="25">
        <f t="shared" si="2"/>
        <v>3.3038062156458161E-7</v>
      </c>
      <c r="I121" s="16">
        <v>0.78</v>
      </c>
    </row>
    <row r="122" spans="2:9">
      <c r="B122" s="24">
        <v>117</v>
      </c>
      <c r="C122" s="25">
        <v>0.81032300000000002</v>
      </c>
      <c r="D122" s="25">
        <f t="shared" si="3"/>
        <v>9.0577808957803056E-9</v>
      </c>
      <c r="E122" s="16">
        <v>0.72</v>
      </c>
      <c r="F122" s="16"/>
      <c r="G122" s="25">
        <v>0.81032300000000002</v>
      </c>
      <c r="H122" s="25">
        <f t="shared" si="2"/>
        <v>7.5414002200817665E-8</v>
      </c>
      <c r="I122" s="16">
        <v>0.72</v>
      </c>
    </row>
    <row r="123" spans="2:9">
      <c r="B123" s="24">
        <v>118</v>
      </c>
      <c r="C123" s="25">
        <v>0.85083900000000001</v>
      </c>
      <c r="D123" s="25">
        <f t="shared" si="3"/>
        <v>1.7180527069689209E-9</v>
      </c>
      <c r="E123" s="16">
        <v>0.67</v>
      </c>
      <c r="F123" s="16"/>
      <c r="G123" s="25">
        <v>0.85083900000000001</v>
      </c>
      <c r="H123" s="25">
        <f t="shared" si="2"/>
        <v>1.430430169544449E-8</v>
      </c>
      <c r="I123" s="16">
        <v>0.67</v>
      </c>
    </row>
    <row r="124" spans="2:9">
      <c r="B124" s="24">
        <v>119</v>
      </c>
      <c r="C124" s="25">
        <v>0.89338099999999998</v>
      </c>
      <c r="D124" s="25">
        <f t="shared" si="3"/>
        <v>2.5626645982419117E-10</v>
      </c>
      <c r="E124" s="16">
        <v>0.61</v>
      </c>
      <c r="F124" s="16"/>
      <c r="G124" s="25">
        <v>0.89338099999999998</v>
      </c>
      <c r="H124" s="25">
        <f t="shared" si="2"/>
        <v>2.1336439451941957E-9</v>
      </c>
      <c r="I124" s="16">
        <v>0.61</v>
      </c>
    </row>
    <row r="125" spans="2:9" ht="15.75" customHeight="1">
      <c r="B125" s="17" t="s">
        <v>30</v>
      </c>
      <c r="C125" s="17"/>
      <c r="D125" s="17"/>
      <c r="E125" s="17"/>
      <c r="F125" s="17"/>
      <c r="G125" s="17"/>
      <c r="H125" s="17"/>
      <c r="I125" s="17"/>
    </row>
    <row r="126" spans="2:9">
      <c r="B126" s="13"/>
      <c r="C126" s="13"/>
      <c r="D126" s="13"/>
      <c r="E126" s="13"/>
      <c r="F126" s="18"/>
      <c r="G126" s="13"/>
      <c r="H126" s="13"/>
      <c r="I126" s="13"/>
    </row>
    <row r="127" spans="2:9" ht="63" customHeight="1">
      <c r="B127" s="14" t="s">
        <v>28</v>
      </c>
      <c r="C127" s="14"/>
      <c r="D127" s="14"/>
      <c r="E127" s="14"/>
      <c r="F127" s="19"/>
      <c r="G127" s="14"/>
      <c r="H127" s="14"/>
      <c r="I127" s="14"/>
    </row>
    <row r="128" spans="2:9">
      <c r="B128" s="13"/>
      <c r="C128" s="13"/>
      <c r="D128" s="13"/>
      <c r="E128" s="13"/>
      <c r="F128" s="18"/>
      <c r="G128" s="13"/>
      <c r="H128" s="13"/>
      <c r="I128" s="13"/>
    </row>
    <row r="129" spans="2:9" ht="31.5" customHeight="1">
      <c r="B129" s="14" t="s">
        <v>29</v>
      </c>
      <c r="C129" s="14"/>
      <c r="D129" s="14"/>
      <c r="E129" s="14"/>
      <c r="F129" s="19"/>
      <c r="G129" s="14"/>
      <c r="H129" s="14"/>
      <c r="I129" s="1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33"/>
  <sheetViews>
    <sheetView showGridLines="0" workbookViewId="0">
      <selection activeCell="M99" sqref="M99"/>
    </sheetView>
  </sheetViews>
  <sheetFormatPr defaultColWidth="8.85546875" defaultRowHeight="15" outlineLevelRow="1"/>
  <cols>
    <col min="1" max="1" width="8.85546875" style="52"/>
    <col min="2" max="2" width="9.28515625" style="52" bestFit="1" customWidth="1"/>
    <col min="3" max="4" width="10.7109375" style="52" customWidth="1"/>
    <col min="5" max="5" width="9.28515625" style="52" bestFit="1" customWidth="1"/>
    <col min="6" max="6" width="2.7109375" style="54" customWidth="1"/>
    <col min="7" max="8" width="10.7109375" style="52" customWidth="1"/>
    <col min="9" max="9" width="9.28515625" style="52" bestFit="1" customWidth="1"/>
    <col min="10" max="16384" width="8.85546875" style="52"/>
  </cols>
  <sheetData>
    <row r="1" spans="2:9">
      <c r="E1" s="53" t="s">
        <v>55</v>
      </c>
    </row>
    <row r="2" spans="2:9">
      <c r="C2" s="55" t="s">
        <v>41</v>
      </c>
      <c r="D2" s="55"/>
      <c r="E2" s="55"/>
      <c r="G2" s="55" t="s">
        <v>42</v>
      </c>
      <c r="H2" s="55"/>
      <c r="I2" s="55"/>
    </row>
    <row r="3" spans="2:9">
      <c r="C3" s="56" t="s">
        <v>70</v>
      </c>
      <c r="D3" s="56" t="s">
        <v>71</v>
      </c>
      <c r="E3" s="57"/>
      <c r="G3" s="56" t="s">
        <v>70</v>
      </c>
      <c r="H3" s="56" t="s">
        <v>71</v>
      </c>
      <c r="I3" s="57"/>
    </row>
    <row r="4" spans="2:9" s="53" customFormat="1">
      <c r="B4" s="58" t="s">
        <v>32</v>
      </c>
      <c r="C4" s="59" t="s">
        <v>34</v>
      </c>
      <c r="D4" s="59" t="s">
        <v>38</v>
      </c>
      <c r="E4" s="59" t="s">
        <v>36</v>
      </c>
      <c r="F4" s="60"/>
      <c r="G4" s="59" t="s">
        <v>34</v>
      </c>
      <c r="H4" s="59" t="s">
        <v>38</v>
      </c>
      <c r="I4" s="59" t="s">
        <v>36</v>
      </c>
    </row>
    <row r="5" spans="2:9" s="53" customFormat="1">
      <c r="B5" s="61" t="s">
        <v>33</v>
      </c>
      <c r="C5" s="62" t="s">
        <v>54</v>
      </c>
      <c r="D5" s="62" t="s">
        <v>53</v>
      </c>
      <c r="E5" s="62" t="s">
        <v>37</v>
      </c>
      <c r="F5" s="60"/>
      <c r="G5" s="62" t="s">
        <v>54</v>
      </c>
      <c r="H5" s="62" t="s">
        <v>53</v>
      </c>
      <c r="I5" s="62" t="s">
        <v>37</v>
      </c>
    </row>
    <row r="6" spans="2:9">
      <c r="B6" s="63">
        <v>0</v>
      </c>
      <c r="C6" s="64">
        <v>6.5189999999999996E-3</v>
      </c>
      <c r="D6" s="64">
        <v>1</v>
      </c>
      <c r="E6" s="65">
        <v>76.28</v>
      </c>
      <c r="F6" s="65"/>
      <c r="G6" s="64">
        <v>5.3769999999999998E-3</v>
      </c>
      <c r="H6" s="64">
        <v>1</v>
      </c>
      <c r="I6" s="65">
        <v>81.05</v>
      </c>
    </row>
    <row r="7" spans="2:9">
      <c r="B7" s="63">
        <v>1</v>
      </c>
      <c r="C7" s="64">
        <v>4.6200000000000001E-4</v>
      </c>
      <c r="D7" s="64">
        <f>D6-(D6*C6)</f>
        <v>0.99348099999999995</v>
      </c>
      <c r="E7" s="65">
        <v>75.78</v>
      </c>
      <c r="F7" s="65"/>
      <c r="G7" s="64">
        <v>3.79E-4</v>
      </c>
      <c r="H7" s="64">
        <f>H6-(H6*G6)</f>
        <v>0.99462300000000003</v>
      </c>
      <c r="I7" s="65">
        <v>80.489999999999995</v>
      </c>
    </row>
    <row r="8" spans="2:9">
      <c r="B8" s="63">
        <v>2</v>
      </c>
      <c r="C8" s="64">
        <v>2.9100000000000003E-4</v>
      </c>
      <c r="D8" s="64">
        <f>D7-(D7*C7)</f>
        <v>0.99302201177799998</v>
      </c>
      <c r="E8" s="65">
        <v>74.819999999999993</v>
      </c>
      <c r="F8" s="65"/>
      <c r="G8" s="64">
        <v>2.2100000000000001E-4</v>
      </c>
      <c r="H8" s="64">
        <f t="shared" ref="H8:H72" si="0">H7-(H7*G7)</f>
        <v>0.99424603788300003</v>
      </c>
      <c r="I8" s="65">
        <v>79.52</v>
      </c>
    </row>
    <row r="9" spans="2:9">
      <c r="B9" s="63">
        <v>3</v>
      </c>
      <c r="C9" s="64">
        <v>2.0900000000000001E-4</v>
      </c>
      <c r="D9" s="64">
        <f>D8-(D8*C8)</f>
        <v>0.99273304237257254</v>
      </c>
      <c r="E9" s="65">
        <v>73.84</v>
      </c>
      <c r="F9" s="65"/>
      <c r="G9" s="64">
        <v>1.6200000000000001E-4</v>
      </c>
      <c r="H9" s="64">
        <f t="shared" si="0"/>
        <v>0.99402630950862791</v>
      </c>
      <c r="I9" s="65">
        <v>78.540000000000006</v>
      </c>
    </row>
    <row r="10" spans="2:9">
      <c r="B10" s="63">
        <v>4</v>
      </c>
      <c r="C10" s="64">
        <v>1.76E-4</v>
      </c>
      <c r="D10" s="64">
        <f>D9-(D9*C9)</f>
        <v>0.99252556116671664</v>
      </c>
      <c r="E10" s="65">
        <v>72.849999999999994</v>
      </c>
      <c r="F10" s="65"/>
      <c r="G10" s="64">
        <v>1.3300000000000001E-4</v>
      </c>
      <c r="H10" s="64">
        <f t="shared" si="0"/>
        <v>0.99386527724648754</v>
      </c>
      <c r="I10" s="65">
        <v>77.55</v>
      </c>
    </row>
    <row r="11" spans="2:9">
      <c r="B11" s="63">
        <v>5</v>
      </c>
      <c r="C11" s="64">
        <v>1.5899999999999999E-4</v>
      </c>
      <c r="D11" s="64">
        <f t="shared" ref="D11:D75" si="1">D10-(D10*C10)</f>
        <v>0.9923508766679513</v>
      </c>
      <c r="E11" s="65">
        <v>71.87</v>
      </c>
      <c r="F11" s="65"/>
      <c r="G11" s="64">
        <v>1.1900000000000001E-4</v>
      </c>
      <c r="H11" s="64">
        <f t="shared" si="0"/>
        <v>0.99373309316461378</v>
      </c>
      <c r="I11" s="65">
        <v>76.56</v>
      </c>
    </row>
    <row r="12" spans="2:9">
      <c r="B12" s="66">
        <v>6</v>
      </c>
      <c r="C12" s="67">
        <v>1.46E-4</v>
      </c>
      <c r="D12" s="67">
        <f t="shared" si="1"/>
        <v>0.99219309287856106</v>
      </c>
      <c r="E12" s="68">
        <v>70.88</v>
      </c>
      <c r="F12" s="68"/>
      <c r="G12" s="67">
        <v>1.0900000000000001E-4</v>
      </c>
      <c r="H12" s="67">
        <f t="shared" si="0"/>
        <v>0.99361483892652724</v>
      </c>
      <c r="I12" s="68">
        <v>75.569999999999993</v>
      </c>
    </row>
    <row r="13" spans="2:9">
      <c r="B13" s="66">
        <v>7</v>
      </c>
      <c r="C13" s="67">
        <v>1.3300000000000001E-4</v>
      </c>
      <c r="D13" s="67">
        <f t="shared" si="1"/>
        <v>0.99204823268700082</v>
      </c>
      <c r="E13" s="68">
        <v>69.89</v>
      </c>
      <c r="F13" s="68"/>
      <c r="G13" s="67">
        <v>1.01E-4</v>
      </c>
      <c r="H13" s="67">
        <f t="shared" si="0"/>
        <v>0.99350653490908425</v>
      </c>
      <c r="I13" s="68">
        <v>74.58</v>
      </c>
    </row>
    <row r="14" spans="2:9">
      <c r="B14" s="66">
        <v>8</v>
      </c>
      <c r="C14" s="67">
        <v>1.18E-4</v>
      </c>
      <c r="D14" s="67">
        <f t="shared" si="1"/>
        <v>0.99191629027205341</v>
      </c>
      <c r="E14" s="68">
        <v>68.900000000000006</v>
      </c>
      <c r="F14" s="68"/>
      <c r="G14" s="67">
        <v>9.6000000000000002E-5</v>
      </c>
      <c r="H14" s="67">
        <f t="shared" si="0"/>
        <v>0.99340619074905845</v>
      </c>
      <c r="I14" s="68">
        <v>73.58</v>
      </c>
    </row>
    <row r="15" spans="2:9">
      <c r="B15" s="66">
        <v>9</v>
      </c>
      <c r="C15" s="67">
        <v>1.02E-4</v>
      </c>
      <c r="D15" s="67">
        <f t="shared" si="1"/>
        <v>0.99179924414980136</v>
      </c>
      <c r="E15" s="68">
        <v>67.900000000000006</v>
      </c>
      <c r="F15" s="68"/>
      <c r="G15" s="67">
        <v>9.2999999999999997E-5</v>
      </c>
      <c r="H15" s="67">
        <f t="shared" si="0"/>
        <v>0.99331082375474655</v>
      </c>
      <c r="I15" s="68">
        <v>72.59</v>
      </c>
    </row>
    <row r="16" spans="2:9">
      <c r="B16" s="66">
        <v>10</v>
      </c>
      <c r="C16" s="67">
        <v>9.1000000000000003E-5</v>
      </c>
      <c r="D16" s="67">
        <f t="shared" si="1"/>
        <v>0.99169808062689813</v>
      </c>
      <c r="E16" s="68">
        <v>66.91</v>
      </c>
      <c r="F16" s="68"/>
      <c r="G16" s="67">
        <v>9.3999999999999994E-5</v>
      </c>
      <c r="H16" s="67">
        <f t="shared" si="0"/>
        <v>0.99321844584813734</v>
      </c>
      <c r="I16" s="68">
        <v>71.599999999999994</v>
      </c>
    </row>
    <row r="17" spans="2:9">
      <c r="B17" s="63">
        <v>11</v>
      </c>
      <c r="C17" s="64">
        <v>9.6000000000000002E-5</v>
      </c>
      <c r="D17" s="64">
        <f t="shared" si="1"/>
        <v>0.99160783610156111</v>
      </c>
      <c r="E17" s="65">
        <v>65.92</v>
      </c>
      <c r="F17" s="65"/>
      <c r="G17" s="64">
        <v>1E-4</v>
      </c>
      <c r="H17" s="64">
        <f t="shared" si="0"/>
        <v>0.99312508331422766</v>
      </c>
      <c r="I17" s="65">
        <v>70.599999999999994</v>
      </c>
    </row>
    <row r="18" spans="2:9">
      <c r="B18" s="63">
        <v>12</v>
      </c>
      <c r="C18" s="64">
        <v>1.2799999999999999E-4</v>
      </c>
      <c r="D18" s="64">
        <f t="shared" si="1"/>
        <v>0.99151264174929532</v>
      </c>
      <c r="E18" s="65">
        <v>64.92</v>
      </c>
      <c r="F18" s="65"/>
      <c r="G18" s="64">
        <v>1.12E-4</v>
      </c>
      <c r="H18" s="64">
        <f t="shared" si="0"/>
        <v>0.99302577080589627</v>
      </c>
      <c r="I18" s="65">
        <v>69.61</v>
      </c>
    </row>
    <row r="19" spans="2:9">
      <c r="B19" s="63">
        <v>13</v>
      </c>
      <c r="C19" s="64">
        <v>1.95E-4</v>
      </c>
      <c r="D19" s="64">
        <f t="shared" si="1"/>
        <v>0.99138572813115144</v>
      </c>
      <c r="E19" s="65">
        <v>63.93</v>
      </c>
      <c r="F19" s="65"/>
      <c r="G19" s="64">
        <v>1.34E-4</v>
      </c>
      <c r="H19" s="64">
        <f t="shared" si="0"/>
        <v>0.99291455191956601</v>
      </c>
      <c r="I19" s="65">
        <v>68.62</v>
      </c>
    </row>
    <row r="20" spans="2:9">
      <c r="B20" s="63">
        <v>14</v>
      </c>
      <c r="C20" s="64">
        <v>2.8800000000000001E-4</v>
      </c>
      <c r="D20" s="64">
        <f t="shared" si="1"/>
        <v>0.99119240791416585</v>
      </c>
      <c r="E20" s="65">
        <v>62.94</v>
      </c>
      <c r="F20" s="65"/>
      <c r="G20" s="64">
        <v>1.6200000000000001E-4</v>
      </c>
      <c r="H20" s="64">
        <f t="shared" si="0"/>
        <v>0.99278150136960874</v>
      </c>
      <c r="I20" s="65">
        <v>67.63</v>
      </c>
    </row>
    <row r="21" spans="2:9">
      <c r="B21" s="63" t="s">
        <v>72</v>
      </c>
      <c r="C21" s="63" t="s">
        <v>72</v>
      </c>
      <c r="D21" s="63" t="s">
        <v>72</v>
      </c>
      <c r="E21" s="63" t="s">
        <v>72</v>
      </c>
      <c r="F21" s="65"/>
      <c r="G21" s="63" t="s">
        <v>72</v>
      </c>
      <c r="H21" s="63" t="s">
        <v>72</v>
      </c>
      <c r="I21" s="63" t="s">
        <v>72</v>
      </c>
    </row>
    <row r="22" spans="2:9" hidden="1" outlineLevel="1">
      <c r="B22" s="63">
        <v>15</v>
      </c>
      <c r="C22" s="64">
        <v>3.8900000000000002E-4</v>
      </c>
      <c r="D22" s="64">
        <f>D20-(D20*C20)</f>
        <v>0.99090694450068662</v>
      </c>
      <c r="E22" s="65">
        <v>61.96</v>
      </c>
      <c r="F22" s="65"/>
      <c r="G22" s="64">
        <v>1.94E-4</v>
      </c>
      <c r="H22" s="64">
        <f>H20-(H20*G20)</f>
        <v>0.99262067076638683</v>
      </c>
      <c r="I22" s="65">
        <v>66.64</v>
      </c>
    </row>
    <row r="23" spans="2:9" hidden="1" outlineLevel="1">
      <c r="B23" s="63">
        <v>16</v>
      </c>
      <c r="C23" s="64">
        <v>4.9200000000000003E-4</v>
      </c>
      <c r="D23" s="64">
        <f t="shared" si="1"/>
        <v>0.9905214816992759</v>
      </c>
      <c r="E23" s="65">
        <v>60.99</v>
      </c>
      <c r="F23" s="65"/>
      <c r="G23" s="64">
        <v>2.2599999999999999E-4</v>
      </c>
      <c r="H23" s="64">
        <f t="shared" si="0"/>
        <v>0.99242810235625811</v>
      </c>
      <c r="I23" s="65">
        <v>65.650000000000006</v>
      </c>
    </row>
    <row r="24" spans="2:9" hidden="1" outlineLevel="1">
      <c r="B24" s="63">
        <v>17</v>
      </c>
      <c r="C24" s="64">
        <v>6.0700000000000001E-4</v>
      </c>
      <c r="D24" s="64">
        <f t="shared" si="1"/>
        <v>0.99003414513027987</v>
      </c>
      <c r="E24" s="65">
        <v>60.02</v>
      </c>
      <c r="F24" s="65"/>
      <c r="G24" s="64">
        <v>2.61E-4</v>
      </c>
      <c r="H24" s="64">
        <f t="shared" si="0"/>
        <v>0.99220381360512555</v>
      </c>
      <c r="I24" s="65">
        <v>64.67</v>
      </c>
    </row>
    <row r="25" spans="2:9" hidden="1" outlineLevel="1">
      <c r="B25" s="63">
        <v>18</v>
      </c>
      <c r="C25" s="64">
        <v>7.3499999999999998E-4</v>
      </c>
      <c r="D25" s="64">
        <f t="shared" si="1"/>
        <v>0.98943319440418576</v>
      </c>
      <c r="E25" s="65">
        <v>59.05</v>
      </c>
      <c r="F25" s="65"/>
      <c r="G25" s="64">
        <v>2.9700000000000001E-4</v>
      </c>
      <c r="H25" s="64">
        <f t="shared" si="0"/>
        <v>0.99194484840977459</v>
      </c>
      <c r="I25" s="65">
        <v>63.68</v>
      </c>
    </row>
    <row r="26" spans="2:9" hidden="1" outlineLevel="1">
      <c r="B26" s="63">
        <v>19</v>
      </c>
      <c r="C26" s="64">
        <v>8.6899999999999998E-4</v>
      </c>
      <c r="D26" s="64">
        <f t="shared" si="1"/>
        <v>0.98870596100629871</v>
      </c>
      <c r="E26" s="65">
        <v>58.09</v>
      </c>
      <c r="F26" s="65"/>
      <c r="G26" s="64">
        <v>3.3399999999999999E-4</v>
      </c>
      <c r="H26" s="64">
        <f t="shared" si="0"/>
        <v>0.99165024078979691</v>
      </c>
      <c r="I26" s="65">
        <v>62.7</v>
      </c>
    </row>
    <row r="27" spans="2:9" hidden="1" outlineLevel="1">
      <c r="B27" s="63">
        <v>20</v>
      </c>
      <c r="C27" s="64">
        <v>1.011E-3</v>
      </c>
      <c r="D27" s="64">
        <f t="shared" si="1"/>
        <v>0.98784677552618427</v>
      </c>
      <c r="E27" s="65">
        <v>57.14</v>
      </c>
      <c r="F27" s="65"/>
      <c r="G27" s="64">
        <v>3.7300000000000001E-4</v>
      </c>
      <c r="H27" s="64">
        <f t="shared" si="0"/>
        <v>0.99131902960937313</v>
      </c>
      <c r="I27" s="65">
        <v>61.72</v>
      </c>
    </row>
    <row r="28" spans="2:9" hidden="1" outlineLevel="1">
      <c r="B28" s="63">
        <v>21</v>
      </c>
      <c r="C28" s="64">
        <v>1.145E-3</v>
      </c>
      <c r="D28" s="64">
        <f t="shared" si="1"/>
        <v>0.98684806243612733</v>
      </c>
      <c r="E28" s="65">
        <v>56.2</v>
      </c>
      <c r="F28" s="65"/>
      <c r="G28" s="64">
        <v>4.1199999999999999E-4</v>
      </c>
      <c r="H28" s="64">
        <f t="shared" si="0"/>
        <v>0.99094926761132884</v>
      </c>
      <c r="I28" s="65">
        <v>60.75</v>
      </c>
    </row>
    <row r="29" spans="2:9" hidden="1" outlineLevel="1">
      <c r="B29" s="63">
        <v>22</v>
      </c>
      <c r="C29" s="64">
        <v>1.2459999999999999E-3</v>
      </c>
      <c r="D29" s="64">
        <f t="shared" si="1"/>
        <v>0.98571812140463799</v>
      </c>
      <c r="E29" s="65">
        <v>55.27</v>
      </c>
      <c r="F29" s="65"/>
      <c r="G29" s="64">
        <v>4.46E-4</v>
      </c>
      <c r="H29" s="64">
        <f t="shared" si="0"/>
        <v>0.99054099651307292</v>
      </c>
      <c r="I29" s="65">
        <v>59.77</v>
      </c>
    </row>
    <row r="30" spans="2:9" hidden="1" outlineLevel="1">
      <c r="B30" s="63">
        <v>23</v>
      </c>
      <c r="C30" s="64">
        <v>1.3010000000000001E-3</v>
      </c>
      <c r="D30" s="64">
        <f t="shared" si="1"/>
        <v>0.98448991662536778</v>
      </c>
      <c r="E30" s="65">
        <v>54.33</v>
      </c>
      <c r="F30" s="65"/>
      <c r="G30" s="64">
        <v>4.7199999999999998E-4</v>
      </c>
      <c r="H30" s="64">
        <f t="shared" si="0"/>
        <v>0.99009921522862809</v>
      </c>
      <c r="I30" s="65">
        <v>58.8</v>
      </c>
    </row>
    <row r="31" spans="2:9" hidden="1" outlineLevel="1">
      <c r="B31" s="63">
        <v>24</v>
      </c>
      <c r="C31" s="64">
        <v>1.3209999999999999E-3</v>
      </c>
      <c r="D31" s="64">
        <f t="shared" si="1"/>
        <v>0.98320909524383815</v>
      </c>
      <c r="E31" s="65">
        <v>53.4</v>
      </c>
      <c r="F31" s="65"/>
      <c r="G31" s="64">
        <v>4.9299999999999995E-4</v>
      </c>
      <c r="H31" s="64">
        <f t="shared" si="0"/>
        <v>0.98963188839904015</v>
      </c>
      <c r="I31" s="65">
        <v>57.82</v>
      </c>
    </row>
    <row r="32" spans="2:9" hidden="1" outlineLevel="1">
      <c r="B32" s="63">
        <v>25</v>
      </c>
      <c r="C32" s="64">
        <v>1.33E-3</v>
      </c>
      <c r="D32" s="64">
        <f t="shared" si="1"/>
        <v>0.98191027602902103</v>
      </c>
      <c r="E32" s="65">
        <v>52.47</v>
      </c>
      <c r="F32" s="65"/>
      <c r="G32" s="64">
        <v>5.13E-4</v>
      </c>
      <c r="H32" s="64">
        <f t="shared" si="0"/>
        <v>0.98914399987805945</v>
      </c>
      <c r="I32" s="65">
        <v>56.85</v>
      </c>
    </row>
    <row r="33" spans="2:9" hidden="1" outlineLevel="1">
      <c r="B33" s="63">
        <v>26</v>
      </c>
      <c r="C33" s="64">
        <v>1.3450000000000001E-3</v>
      </c>
      <c r="D33" s="64">
        <f t="shared" si="1"/>
        <v>0.98060433536190239</v>
      </c>
      <c r="E33" s="65">
        <v>51.54</v>
      </c>
      <c r="F33" s="65"/>
      <c r="G33" s="64">
        <v>5.3700000000000004E-4</v>
      </c>
      <c r="H33" s="64">
        <f t="shared" si="0"/>
        <v>0.98863656900612196</v>
      </c>
      <c r="I33" s="65">
        <v>55.88</v>
      </c>
    </row>
    <row r="34" spans="2:9" hidden="1" outlineLevel="1">
      <c r="B34" s="63">
        <v>27</v>
      </c>
      <c r="C34" s="64">
        <v>1.3630000000000001E-3</v>
      </c>
      <c r="D34" s="64">
        <f t="shared" si="1"/>
        <v>0.97928542253084061</v>
      </c>
      <c r="E34" s="65">
        <v>50.61</v>
      </c>
      <c r="F34" s="65"/>
      <c r="G34" s="64">
        <v>5.6300000000000002E-4</v>
      </c>
      <c r="H34" s="64">
        <f t="shared" si="0"/>
        <v>0.98810567116856562</v>
      </c>
      <c r="I34" s="65">
        <v>54.91</v>
      </c>
    </row>
    <row r="35" spans="2:9" hidden="1" outlineLevel="1">
      <c r="B35" s="63">
        <v>28</v>
      </c>
      <c r="C35" s="64">
        <v>1.3910000000000001E-3</v>
      </c>
      <c r="D35" s="64">
        <f t="shared" si="1"/>
        <v>0.97795065649993107</v>
      </c>
      <c r="E35" s="65">
        <v>49.68</v>
      </c>
      <c r="F35" s="65"/>
      <c r="G35" s="64">
        <v>5.9299999999999999E-4</v>
      </c>
      <c r="H35" s="64">
        <f t="shared" si="0"/>
        <v>0.98754936767569768</v>
      </c>
      <c r="I35" s="65">
        <v>53.94</v>
      </c>
    </row>
    <row r="36" spans="2:9" hidden="1" outlineLevel="1">
      <c r="B36" s="63">
        <v>29</v>
      </c>
      <c r="C36" s="64">
        <v>1.4270000000000001E-3</v>
      </c>
      <c r="D36" s="64">
        <f t="shared" si="1"/>
        <v>0.97659032713673966</v>
      </c>
      <c r="E36" s="65">
        <v>48.75</v>
      </c>
      <c r="F36" s="65"/>
      <c r="G36" s="64">
        <v>6.2699999999999995E-4</v>
      </c>
      <c r="H36" s="64">
        <f t="shared" si="0"/>
        <v>0.98696375090066601</v>
      </c>
      <c r="I36" s="65">
        <v>52.97</v>
      </c>
    </row>
    <row r="37" spans="2:9" hidden="1" outlineLevel="1">
      <c r="B37" s="63">
        <v>30</v>
      </c>
      <c r="C37" s="64">
        <v>1.467E-3</v>
      </c>
      <c r="D37" s="64">
        <f t="shared" si="1"/>
        <v>0.97519673273991547</v>
      </c>
      <c r="E37" s="65">
        <v>47.82</v>
      </c>
      <c r="F37" s="65"/>
      <c r="G37" s="64">
        <v>6.6399999999999999E-4</v>
      </c>
      <c r="H37" s="64">
        <f t="shared" si="0"/>
        <v>0.98634492462885126</v>
      </c>
      <c r="I37" s="65">
        <v>52.01</v>
      </c>
    </row>
    <row r="38" spans="2:9" hidden="1" outlineLevel="1">
      <c r="B38" s="63">
        <v>31</v>
      </c>
      <c r="C38" s="64">
        <v>1.505E-3</v>
      </c>
      <c r="D38" s="64">
        <f t="shared" si="1"/>
        <v>0.97376611913298605</v>
      </c>
      <c r="E38" s="65">
        <v>46.89</v>
      </c>
      <c r="F38" s="65"/>
      <c r="G38" s="64">
        <v>7.0500000000000001E-4</v>
      </c>
      <c r="H38" s="64">
        <f t="shared" si="0"/>
        <v>0.9856899915988977</v>
      </c>
      <c r="I38" s="65">
        <v>51.04</v>
      </c>
    </row>
    <row r="39" spans="2:9" hidden="1" outlineLevel="1">
      <c r="B39" s="63">
        <v>32</v>
      </c>
      <c r="C39" s="64">
        <v>1.5410000000000001E-3</v>
      </c>
      <c r="D39" s="64">
        <f t="shared" si="1"/>
        <v>0.97230060112369088</v>
      </c>
      <c r="E39" s="65">
        <v>45.96</v>
      </c>
      <c r="F39" s="65"/>
      <c r="G39" s="64">
        <v>7.4799999999999997E-4</v>
      </c>
      <c r="H39" s="64">
        <f t="shared" si="0"/>
        <v>0.98499508015482051</v>
      </c>
      <c r="I39" s="65">
        <v>50.08</v>
      </c>
    </row>
    <row r="40" spans="2:9" hidden="1" outlineLevel="1">
      <c r="B40" s="63">
        <v>33</v>
      </c>
      <c r="C40" s="64">
        <v>1.573E-3</v>
      </c>
      <c r="D40" s="64">
        <f t="shared" si="1"/>
        <v>0.97080228589735929</v>
      </c>
      <c r="E40" s="65">
        <v>45.03</v>
      </c>
      <c r="F40" s="65"/>
      <c r="G40" s="64">
        <v>7.94E-4</v>
      </c>
      <c r="H40" s="64">
        <f t="shared" si="0"/>
        <v>0.98425830383486468</v>
      </c>
      <c r="I40" s="65">
        <v>49.11</v>
      </c>
    </row>
    <row r="41" spans="2:9" hidden="1" outlineLevel="1">
      <c r="B41" s="63">
        <v>34</v>
      </c>
      <c r="C41" s="64">
        <v>1.606E-3</v>
      </c>
      <c r="D41" s="64">
        <f t="shared" si="1"/>
        <v>0.96927521390164273</v>
      </c>
      <c r="E41" s="65">
        <v>44.1</v>
      </c>
      <c r="F41" s="65"/>
      <c r="G41" s="64">
        <v>8.4500000000000005E-4</v>
      </c>
      <c r="H41" s="64">
        <f t="shared" si="0"/>
        <v>0.98347680274161975</v>
      </c>
      <c r="I41" s="65">
        <v>48.15</v>
      </c>
    </row>
    <row r="42" spans="2:9" hidden="1" outlineLevel="1">
      <c r="B42" s="63">
        <v>35</v>
      </c>
      <c r="C42" s="64">
        <v>1.6479999999999999E-3</v>
      </c>
      <c r="D42" s="64">
        <f t="shared" si="1"/>
        <v>0.96771855790811667</v>
      </c>
      <c r="E42" s="65">
        <v>43.17</v>
      </c>
      <c r="F42" s="65"/>
      <c r="G42" s="64">
        <v>9.0300000000000005E-4</v>
      </c>
      <c r="H42" s="64">
        <f t="shared" si="0"/>
        <v>0.98264576484330313</v>
      </c>
      <c r="I42" s="65">
        <v>47.19</v>
      </c>
    </row>
    <row r="43" spans="2:9" hidden="1" outlineLevel="1">
      <c r="B43" s="63">
        <v>36</v>
      </c>
      <c r="C43" s="64">
        <v>1.704E-3</v>
      </c>
      <c r="D43" s="64">
        <f t="shared" si="1"/>
        <v>0.96612375772468406</v>
      </c>
      <c r="E43" s="65">
        <v>42.24</v>
      </c>
      <c r="F43" s="65"/>
      <c r="G43" s="64">
        <v>9.68E-4</v>
      </c>
      <c r="H43" s="64">
        <f t="shared" si="0"/>
        <v>0.98175843571764965</v>
      </c>
      <c r="I43" s="65">
        <v>46.23</v>
      </c>
    </row>
    <row r="44" spans="2:9" hidden="1" outlineLevel="1">
      <c r="B44" s="63">
        <v>37</v>
      </c>
      <c r="C44" s="64">
        <v>1.774E-3</v>
      </c>
      <c r="D44" s="64">
        <f t="shared" si="1"/>
        <v>0.96447748284152124</v>
      </c>
      <c r="E44" s="65">
        <v>41.31</v>
      </c>
      <c r="F44" s="65"/>
      <c r="G44" s="64">
        <v>1.0380000000000001E-3</v>
      </c>
      <c r="H44" s="64">
        <f t="shared" si="0"/>
        <v>0.98080809355187493</v>
      </c>
      <c r="I44" s="65">
        <v>45.28</v>
      </c>
    </row>
    <row r="45" spans="2:9" hidden="1" outlineLevel="1">
      <c r="B45" s="63">
        <v>38</v>
      </c>
      <c r="C45" s="64">
        <v>1.861E-3</v>
      </c>
      <c r="D45" s="64">
        <f t="shared" si="1"/>
        <v>0.96276649978696038</v>
      </c>
      <c r="E45" s="65">
        <v>40.380000000000003</v>
      </c>
      <c r="F45" s="65"/>
      <c r="G45" s="64">
        <v>1.1130000000000001E-3</v>
      </c>
      <c r="H45" s="64">
        <f t="shared" si="0"/>
        <v>0.9797900147507681</v>
      </c>
      <c r="I45" s="65">
        <v>44.33</v>
      </c>
    </row>
    <row r="46" spans="2:9" hidden="1" outlineLevel="1">
      <c r="B46" s="63">
        <v>39</v>
      </c>
      <c r="C46" s="64">
        <v>1.967E-3</v>
      </c>
      <c r="D46" s="64">
        <f t="shared" si="1"/>
        <v>0.96097479133085684</v>
      </c>
      <c r="E46" s="65">
        <v>39.46</v>
      </c>
      <c r="F46" s="65"/>
      <c r="G46" s="64">
        <v>1.196E-3</v>
      </c>
      <c r="H46" s="64">
        <f t="shared" si="0"/>
        <v>0.9786995084643505</v>
      </c>
      <c r="I46" s="65">
        <v>43.37</v>
      </c>
    </row>
    <row r="47" spans="2:9" hidden="1" outlineLevel="1">
      <c r="B47" s="63">
        <v>40</v>
      </c>
      <c r="C47" s="64">
        <v>2.0920000000000001E-3</v>
      </c>
      <c r="D47" s="64">
        <f t="shared" si="1"/>
        <v>0.95908455391630909</v>
      </c>
      <c r="E47" s="65">
        <v>38.53</v>
      </c>
      <c r="F47" s="65"/>
      <c r="G47" s="64">
        <v>1.2869999999999999E-3</v>
      </c>
      <c r="H47" s="64">
        <f t="shared" si="0"/>
        <v>0.97752898385222708</v>
      </c>
      <c r="I47" s="65">
        <v>42.43</v>
      </c>
    </row>
    <row r="48" spans="2:9" hidden="1" outlineLevel="1">
      <c r="B48" s="63">
        <v>41</v>
      </c>
      <c r="C48" s="64">
        <v>2.2399999999999998E-3</v>
      </c>
      <c r="D48" s="64">
        <f t="shared" si="1"/>
        <v>0.95707814902951616</v>
      </c>
      <c r="E48" s="65">
        <v>37.61</v>
      </c>
      <c r="F48" s="65"/>
      <c r="G48" s="64">
        <v>1.3929999999999999E-3</v>
      </c>
      <c r="H48" s="64">
        <f t="shared" si="0"/>
        <v>0.97627090405000927</v>
      </c>
      <c r="I48" s="65">
        <v>41.48</v>
      </c>
    </row>
    <row r="49" spans="2:9" hidden="1" outlineLevel="1">
      <c r="B49" s="63">
        <v>42</v>
      </c>
      <c r="C49" s="64">
        <v>2.418E-3</v>
      </c>
      <c r="D49" s="64">
        <f t="shared" si="1"/>
        <v>0.95493429397569007</v>
      </c>
      <c r="E49" s="65">
        <v>36.700000000000003</v>
      </c>
      <c r="F49" s="65"/>
      <c r="G49" s="64">
        <v>1.5169999999999999E-3</v>
      </c>
      <c r="H49" s="64">
        <f t="shared" si="0"/>
        <v>0.97491095868066757</v>
      </c>
      <c r="I49" s="65">
        <v>40.54</v>
      </c>
    </row>
    <row r="50" spans="2:9" hidden="1" outlineLevel="1">
      <c r="B50" s="63">
        <v>43</v>
      </c>
      <c r="C50" s="64">
        <v>2.6289999999999998E-3</v>
      </c>
      <c r="D50" s="64">
        <f t="shared" si="1"/>
        <v>0.95262526285285687</v>
      </c>
      <c r="E50" s="65">
        <v>35.78</v>
      </c>
      <c r="F50" s="65"/>
      <c r="G50" s="64">
        <v>1.6620000000000001E-3</v>
      </c>
      <c r="H50" s="64">
        <f t="shared" si="0"/>
        <v>0.97343201875634899</v>
      </c>
      <c r="I50" s="65">
        <v>39.6</v>
      </c>
    </row>
    <row r="51" spans="2:9" hidden="1" outlineLevel="1">
      <c r="B51" s="63">
        <v>44</v>
      </c>
      <c r="C51" s="64">
        <v>2.8730000000000001E-3</v>
      </c>
      <c r="D51" s="64">
        <f t="shared" si="1"/>
        <v>0.95012081103681667</v>
      </c>
      <c r="E51" s="65">
        <v>34.880000000000003</v>
      </c>
      <c r="F51" s="65"/>
      <c r="G51" s="64">
        <v>1.8270000000000001E-3</v>
      </c>
      <c r="H51" s="64">
        <f t="shared" si="0"/>
        <v>0.97181417474117593</v>
      </c>
      <c r="I51" s="65">
        <v>38.659999999999997</v>
      </c>
    </row>
    <row r="52" spans="2:9" hidden="1" outlineLevel="1">
      <c r="B52" s="63">
        <v>45</v>
      </c>
      <c r="C52" s="64">
        <v>3.1459999999999999E-3</v>
      </c>
      <c r="D52" s="64">
        <f t="shared" si="1"/>
        <v>0.94739111394670794</v>
      </c>
      <c r="E52" s="65">
        <v>33.979999999999997</v>
      </c>
      <c r="F52" s="65"/>
      <c r="G52" s="64">
        <v>2.0049999999999998E-3</v>
      </c>
      <c r="H52" s="64">
        <f t="shared" si="0"/>
        <v>0.97003867024392376</v>
      </c>
      <c r="I52" s="65">
        <v>37.729999999999997</v>
      </c>
    </row>
    <row r="53" spans="2:9" hidden="1" outlineLevel="1">
      <c r="B53" s="63">
        <v>46</v>
      </c>
      <c r="C53" s="64">
        <v>3.447E-3</v>
      </c>
      <c r="D53" s="64">
        <f t="shared" si="1"/>
        <v>0.94441062150223165</v>
      </c>
      <c r="E53" s="65">
        <v>33.08</v>
      </c>
      <c r="F53" s="65"/>
      <c r="G53" s="64">
        <v>2.1979999999999999E-3</v>
      </c>
      <c r="H53" s="64">
        <f t="shared" si="0"/>
        <v>0.96809374271008475</v>
      </c>
      <c r="I53" s="65">
        <v>36.81</v>
      </c>
    </row>
    <row r="54" spans="2:9" hidden="1" outlineLevel="1">
      <c r="B54" s="63">
        <v>47</v>
      </c>
      <c r="C54" s="64">
        <v>3.787E-3</v>
      </c>
      <c r="D54" s="64">
        <f t="shared" si="1"/>
        <v>0.94115523808991342</v>
      </c>
      <c r="E54" s="65">
        <v>32.19</v>
      </c>
      <c r="F54" s="65"/>
      <c r="G54" s="64">
        <v>2.4120000000000001E-3</v>
      </c>
      <c r="H54" s="64">
        <f t="shared" si="0"/>
        <v>0.96596587266360801</v>
      </c>
      <c r="I54" s="65">
        <v>35.89</v>
      </c>
    </row>
    <row r="55" spans="2:9" hidden="1" outlineLevel="1">
      <c r="B55" s="63">
        <v>48</v>
      </c>
      <c r="C55" s="64">
        <v>4.1669999999999997E-3</v>
      </c>
      <c r="D55" s="64">
        <f t="shared" si="1"/>
        <v>0.9375910832032669</v>
      </c>
      <c r="E55" s="65">
        <v>31.32</v>
      </c>
      <c r="F55" s="65"/>
      <c r="G55" s="64">
        <v>2.6480000000000002E-3</v>
      </c>
      <c r="H55" s="64">
        <f t="shared" si="0"/>
        <v>0.96363596297874343</v>
      </c>
      <c r="I55" s="65">
        <v>34.97</v>
      </c>
    </row>
    <row r="56" spans="2:9" hidden="1" outlineLevel="1">
      <c r="B56" s="63">
        <v>49</v>
      </c>
      <c r="C56" s="64">
        <v>4.5859999999999998E-3</v>
      </c>
      <c r="D56" s="64">
        <f t="shared" si="1"/>
        <v>0.93368414115955889</v>
      </c>
      <c r="E56" s="65">
        <v>30.44</v>
      </c>
      <c r="F56" s="65"/>
      <c r="G56" s="64">
        <v>2.9039999999999999E-3</v>
      </c>
      <c r="H56" s="64">
        <f t="shared" si="0"/>
        <v>0.9610842549487757</v>
      </c>
      <c r="I56" s="65">
        <v>34.06</v>
      </c>
    </row>
    <row r="57" spans="2:9" hidden="1" outlineLevel="1">
      <c r="B57" s="63">
        <v>50</v>
      </c>
      <c r="C57" s="64">
        <v>5.0379999999999999E-3</v>
      </c>
      <c r="D57" s="64">
        <f t="shared" si="1"/>
        <v>0.92940226568820117</v>
      </c>
      <c r="E57" s="65">
        <v>29.58</v>
      </c>
      <c r="F57" s="65"/>
      <c r="G57" s="64">
        <v>3.1819999999999999E-3</v>
      </c>
      <c r="H57" s="64">
        <f t="shared" si="0"/>
        <v>0.95829326627240441</v>
      </c>
      <c r="I57" s="65">
        <v>33.159999999999997</v>
      </c>
    </row>
    <row r="58" spans="2:9" hidden="1" outlineLevel="1">
      <c r="B58" s="63">
        <v>51</v>
      </c>
      <c r="C58" s="64">
        <v>5.5199999999999997E-3</v>
      </c>
      <c r="D58" s="64">
        <f t="shared" si="1"/>
        <v>0.92471993707366396</v>
      </c>
      <c r="E58" s="65">
        <v>28.73</v>
      </c>
      <c r="F58" s="65"/>
      <c r="G58" s="64">
        <v>3.473E-3</v>
      </c>
      <c r="H58" s="64">
        <f t="shared" si="0"/>
        <v>0.95524397709912567</v>
      </c>
      <c r="I58" s="65">
        <v>32.270000000000003</v>
      </c>
    </row>
    <row r="59" spans="2:9" hidden="1" outlineLevel="1">
      <c r="B59" s="63">
        <v>52</v>
      </c>
      <c r="C59" s="64">
        <v>6.0359999999999997E-3</v>
      </c>
      <c r="D59" s="64">
        <f t="shared" si="1"/>
        <v>0.91961548302101737</v>
      </c>
      <c r="E59" s="65">
        <v>27.89</v>
      </c>
      <c r="F59" s="65"/>
      <c r="G59" s="64">
        <v>3.7669999999999999E-3</v>
      </c>
      <c r="H59" s="64">
        <f t="shared" si="0"/>
        <v>0.9519264147666604</v>
      </c>
      <c r="I59" s="65">
        <v>31.38</v>
      </c>
    </row>
    <row r="60" spans="2:9" hidden="1" outlineLevel="1">
      <c r="B60" s="63">
        <v>53</v>
      </c>
      <c r="C60" s="64">
        <v>6.587E-3</v>
      </c>
      <c r="D60" s="64">
        <f t="shared" si="1"/>
        <v>0.91406468396550256</v>
      </c>
      <c r="E60" s="65">
        <v>27.05</v>
      </c>
      <c r="F60" s="65"/>
      <c r="G60" s="64">
        <v>4.058E-3</v>
      </c>
      <c r="H60" s="64">
        <f t="shared" si="0"/>
        <v>0.94834050796223435</v>
      </c>
      <c r="I60" s="65">
        <v>30.49</v>
      </c>
    </row>
    <row r="61" spans="2:9" hidden="1" outlineLevel="1">
      <c r="B61" s="63">
        <v>54</v>
      </c>
      <c r="C61" s="64">
        <v>7.1700000000000002E-3</v>
      </c>
      <c r="D61" s="64">
        <f t="shared" si="1"/>
        <v>0.90804373989222176</v>
      </c>
      <c r="E61" s="65">
        <v>26.23</v>
      </c>
      <c r="F61" s="65"/>
      <c r="G61" s="64">
        <v>4.352E-3</v>
      </c>
      <c r="H61" s="64">
        <f t="shared" si="0"/>
        <v>0.94449214218092359</v>
      </c>
      <c r="I61" s="65">
        <v>29.62</v>
      </c>
    </row>
    <row r="62" spans="2:9" hidden="1" outlineLevel="1">
      <c r="B62" s="63">
        <v>55</v>
      </c>
      <c r="C62" s="64">
        <v>7.8009999999999998E-3</v>
      </c>
      <c r="D62" s="64">
        <f t="shared" si="1"/>
        <v>0.90153306627719454</v>
      </c>
      <c r="E62" s="65">
        <v>25.41</v>
      </c>
      <c r="F62" s="65"/>
      <c r="G62" s="64">
        <v>4.6810000000000003E-3</v>
      </c>
      <c r="H62" s="64">
        <f t="shared" si="0"/>
        <v>0.94038171237815216</v>
      </c>
      <c r="I62" s="65">
        <v>28.74</v>
      </c>
    </row>
    <row r="63" spans="2:9" hidden="1" outlineLevel="1">
      <c r="B63" s="63">
        <v>56</v>
      </c>
      <c r="C63" s="64">
        <v>8.4659999999999996E-3</v>
      </c>
      <c r="D63" s="64">
        <f t="shared" si="1"/>
        <v>0.89450020682716613</v>
      </c>
      <c r="E63" s="65">
        <v>24.61</v>
      </c>
      <c r="F63" s="65"/>
      <c r="G63" s="64">
        <v>5.0400000000000002E-3</v>
      </c>
      <c r="H63" s="64">
        <f t="shared" si="0"/>
        <v>0.93597978558251005</v>
      </c>
      <c r="I63" s="65">
        <v>27.88</v>
      </c>
    </row>
    <row r="64" spans="2:9" hidden="1" outlineLevel="1">
      <c r="B64" s="63">
        <v>57</v>
      </c>
      <c r="C64" s="64">
        <v>9.1330000000000005E-3</v>
      </c>
      <c r="D64" s="64">
        <f t="shared" si="1"/>
        <v>0.88692736807616734</v>
      </c>
      <c r="E64" s="65">
        <v>23.82</v>
      </c>
      <c r="F64" s="65"/>
      <c r="G64" s="64">
        <v>5.4000000000000003E-3</v>
      </c>
      <c r="H64" s="64">
        <f t="shared" si="0"/>
        <v>0.93126244746317421</v>
      </c>
      <c r="I64" s="65">
        <v>27.01</v>
      </c>
    </row>
    <row r="65" spans="2:9" hidden="1" outlineLevel="1">
      <c r="B65" s="63">
        <v>58</v>
      </c>
      <c r="C65" s="64">
        <v>9.7920000000000004E-3</v>
      </c>
      <c r="D65" s="64">
        <f t="shared" si="1"/>
        <v>0.87882706042352776</v>
      </c>
      <c r="E65" s="65">
        <v>23.03</v>
      </c>
      <c r="F65" s="65"/>
      <c r="G65" s="64">
        <v>5.7559999999999998E-3</v>
      </c>
      <c r="H65" s="64">
        <f t="shared" si="0"/>
        <v>0.92623363024687311</v>
      </c>
      <c r="I65" s="65">
        <v>26.16</v>
      </c>
    </row>
    <row r="66" spans="2:9" hidden="1" outlineLevel="1">
      <c r="B66" s="63">
        <v>59</v>
      </c>
      <c r="C66" s="64">
        <v>1.0462000000000001E-2</v>
      </c>
      <c r="D66" s="64">
        <f t="shared" si="1"/>
        <v>0.87022158584786058</v>
      </c>
      <c r="E66" s="65">
        <v>22.25</v>
      </c>
      <c r="F66" s="65"/>
      <c r="G66" s="64">
        <v>6.1279999999999998E-3</v>
      </c>
      <c r="H66" s="64">
        <f t="shared" si="0"/>
        <v>0.92090222947117206</v>
      </c>
      <c r="I66" s="65">
        <v>25.31</v>
      </c>
    </row>
    <row r="67" spans="2:9" hidden="1" outlineLevel="1">
      <c r="B67" s="63">
        <v>60</v>
      </c>
      <c r="C67" s="64">
        <v>1.1197E-2</v>
      </c>
      <c r="D67" s="64">
        <f t="shared" si="1"/>
        <v>0.86111732761672022</v>
      </c>
      <c r="E67" s="65">
        <v>21.48</v>
      </c>
      <c r="F67" s="65"/>
      <c r="G67" s="64">
        <v>6.5449999999999996E-3</v>
      </c>
      <c r="H67" s="64">
        <f t="shared" si="0"/>
        <v>0.91525894060897273</v>
      </c>
      <c r="I67" s="65">
        <v>24.46</v>
      </c>
    </row>
    <row r="68" spans="2:9" hidden="1" outlineLevel="1">
      <c r="B68" s="63">
        <v>61</v>
      </c>
      <c r="C68" s="64">
        <v>1.2009000000000001E-2</v>
      </c>
      <c r="D68" s="64">
        <f t="shared" si="1"/>
        <v>0.85147539689939578</v>
      </c>
      <c r="E68" s="65">
        <v>20.72</v>
      </c>
      <c r="F68" s="65"/>
      <c r="G68" s="64">
        <v>7.0340000000000003E-3</v>
      </c>
      <c r="H68" s="64">
        <f t="shared" si="0"/>
        <v>0.90926857084268697</v>
      </c>
      <c r="I68" s="65">
        <v>23.62</v>
      </c>
    </row>
    <row r="69" spans="2:9" hidden="1" outlineLevel="1">
      <c r="B69" s="63">
        <v>62</v>
      </c>
      <c r="C69" s="64">
        <v>1.2867E-2</v>
      </c>
      <c r="D69" s="64">
        <f t="shared" si="1"/>
        <v>0.84125002885803091</v>
      </c>
      <c r="E69" s="65">
        <v>19.97</v>
      </c>
      <c r="F69" s="65"/>
      <c r="G69" s="64">
        <v>7.607E-3</v>
      </c>
      <c r="H69" s="64">
        <f t="shared" si="0"/>
        <v>0.90287277571537949</v>
      </c>
      <c r="I69" s="65">
        <v>22.78</v>
      </c>
    </row>
    <row r="70" spans="2:9" hidden="1" outlineLevel="1">
      <c r="B70" s="63">
        <v>63</v>
      </c>
      <c r="C70" s="64">
        <v>1.3772E-2</v>
      </c>
      <c r="D70" s="64">
        <f t="shared" si="1"/>
        <v>0.83042566473671464</v>
      </c>
      <c r="E70" s="65">
        <v>19.22</v>
      </c>
      <c r="F70" s="65"/>
      <c r="G70" s="64">
        <v>8.2810000000000002E-3</v>
      </c>
      <c r="H70" s="64">
        <f t="shared" si="0"/>
        <v>0.8960046225105126</v>
      </c>
      <c r="I70" s="65">
        <v>21.95</v>
      </c>
    </row>
    <row r="71" spans="2:9" hidden="1" outlineLevel="1">
      <c r="B71" s="63">
        <v>64</v>
      </c>
      <c r="C71" s="64">
        <v>1.4749E-2</v>
      </c>
      <c r="D71" s="64">
        <f t="shared" si="1"/>
        <v>0.81898904248196058</v>
      </c>
      <c r="E71" s="65">
        <v>18.48</v>
      </c>
      <c r="F71" s="65"/>
      <c r="G71" s="64">
        <v>9.0570000000000008E-3</v>
      </c>
      <c r="H71" s="64">
        <f t="shared" si="0"/>
        <v>0.8885848082315031</v>
      </c>
      <c r="I71" s="65">
        <v>21.13</v>
      </c>
    </row>
    <row r="72" spans="2:9" hidden="1" outlineLevel="1">
      <c r="B72" s="63">
        <v>65</v>
      </c>
      <c r="C72" s="64">
        <v>1.5852000000000002E-2</v>
      </c>
      <c r="D72" s="64">
        <f t="shared" si="1"/>
        <v>0.80690977309439416</v>
      </c>
      <c r="E72" s="65">
        <v>17.75</v>
      </c>
      <c r="F72" s="65"/>
      <c r="G72" s="64">
        <v>9.953E-3</v>
      </c>
      <c r="H72" s="64">
        <f t="shared" si="0"/>
        <v>0.88053689562335036</v>
      </c>
      <c r="I72" s="65">
        <v>20.32</v>
      </c>
    </row>
    <row r="73" spans="2:9" hidden="1" outlineLevel="1">
      <c r="B73" s="63">
        <v>66</v>
      </c>
      <c r="C73" s="64">
        <v>1.7097000000000001E-2</v>
      </c>
      <c r="D73" s="64">
        <f t="shared" si="1"/>
        <v>0.79411863937130178</v>
      </c>
      <c r="E73" s="65">
        <v>17.03</v>
      </c>
      <c r="F73" s="65"/>
      <c r="G73" s="64">
        <v>1.095E-2</v>
      </c>
      <c r="H73" s="64">
        <f t="shared" ref="H73:H126" si="2">H72-(H72*G72)</f>
        <v>0.8717729119012112</v>
      </c>
      <c r="I73" s="65">
        <v>19.52</v>
      </c>
    </row>
    <row r="74" spans="2:9" hidden="1" outlineLevel="1">
      <c r="B74" s="63">
        <v>67</v>
      </c>
      <c r="C74" s="64">
        <v>1.8463E-2</v>
      </c>
      <c r="D74" s="64">
        <f t="shared" si="1"/>
        <v>0.78054159299397063</v>
      </c>
      <c r="E74" s="65">
        <v>16.32</v>
      </c>
      <c r="F74" s="65"/>
      <c r="G74" s="64">
        <v>1.201E-2</v>
      </c>
      <c r="H74" s="64">
        <f t="shared" si="2"/>
        <v>0.86222699851589291</v>
      </c>
      <c r="I74" s="65">
        <v>18.73</v>
      </c>
    </row>
    <row r="75" spans="2:9" hidden="1" outlineLevel="1">
      <c r="B75" s="63">
        <v>68</v>
      </c>
      <c r="C75" s="64">
        <v>1.9959000000000001E-2</v>
      </c>
      <c r="D75" s="64">
        <f t="shared" si="1"/>
        <v>0.76613045356252296</v>
      </c>
      <c r="E75" s="65">
        <v>15.61</v>
      </c>
      <c r="F75" s="65"/>
      <c r="G75" s="64">
        <v>1.3124E-2</v>
      </c>
      <c r="H75" s="64">
        <f t="shared" si="2"/>
        <v>0.85187165226371708</v>
      </c>
      <c r="I75" s="65">
        <v>17.95</v>
      </c>
    </row>
    <row r="76" spans="2:9" hidden="1" outlineLevel="1">
      <c r="B76" s="63">
        <v>69</v>
      </c>
      <c r="C76" s="64">
        <v>2.1616E-2</v>
      </c>
      <c r="D76" s="64">
        <f t="shared" ref="D76:D126" si="3">D75-(D75*C75)</f>
        <v>0.75083925583986855</v>
      </c>
      <c r="E76" s="65">
        <v>14.92</v>
      </c>
      <c r="F76" s="65"/>
      <c r="G76" s="64">
        <v>1.4330000000000001E-2</v>
      </c>
      <c r="H76" s="64">
        <f t="shared" si="2"/>
        <v>0.84069168869940802</v>
      </c>
      <c r="I76" s="65">
        <v>17.18</v>
      </c>
    </row>
    <row r="77" spans="2:9" hidden="1" outlineLevel="1">
      <c r="B77" s="63">
        <v>70</v>
      </c>
      <c r="C77" s="64">
        <v>2.3528E-2</v>
      </c>
      <c r="D77" s="64">
        <f t="shared" si="3"/>
        <v>0.73460911448563393</v>
      </c>
      <c r="E77" s="65">
        <v>14.24</v>
      </c>
      <c r="F77" s="65"/>
      <c r="G77" s="64">
        <v>1.5727999999999999E-2</v>
      </c>
      <c r="H77" s="64">
        <f t="shared" si="2"/>
        <v>0.82864457680034553</v>
      </c>
      <c r="I77" s="65">
        <v>16.43</v>
      </c>
    </row>
    <row r="78" spans="2:9" hidden="1" outlineLevel="1">
      <c r="B78" s="63">
        <v>71</v>
      </c>
      <c r="C78" s="64">
        <v>2.5693000000000001E-2</v>
      </c>
      <c r="D78" s="64">
        <f t="shared" si="3"/>
        <v>0.7173252312400159</v>
      </c>
      <c r="E78" s="65">
        <v>13.57</v>
      </c>
      <c r="F78" s="65"/>
      <c r="G78" s="64">
        <v>1.7337999999999999E-2</v>
      </c>
      <c r="H78" s="64">
        <f t="shared" si="2"/>
        <v>0.81561165489642973</v>
      </c>
      <c r="I78" s="65">
        <v>15.68</v>
      </c>
    </row>
    <row r="79" spans="2:9" hidden="1" outlineLevel="1">
      <c r="B79" s="63">
        <v>72</v>
      </c>
      <c r="C79" s="64">
        <v>2.8041E-2</v>
      </c>
      <c r="D79" s="64">
        <f t="shared" si="3"/>
        <v>0.69889499407376621</v>
      </c>
      <c r="E79" s="65">
        <v>12.92</v>
      </c>
      <c r="F79" s="65"/>
      <c r="G79" s="64">
        <v>1.9108E-2</v>
      </c>
      <c r="H79" s="64">
        <f t="shared" si="2"/>
        <v>0.80147058002383542</v>
      </c>
      <c r="I79" s="65">
        <v>14.95</v>
      </c>
    </row>
    <row r="80" spans="2:9" hidden="1" outlineLevel="1">
      <c r="B80" s="63">
        <v>73</v>
      </c>
      <c r="C80" s="64">
        <v>3.0567E-2</v>
      </c>
      <c r="D80" s="64">
        <f t="shared" si="3"/>
        <v>0.67929727954494368</v>
      </c>
      <c r="E80" s="65">
        <v>12.27</v>
      </c>
      <c r="F80" s="65"/>
      <c r="G80" s="64">
        <v>2.1041000000000001E-2</v>
      </c>
      <c r="H80" s="64">
        <f t="shared" si="2"/>
        <v>0.78615608018074001</v>
      </c>
      <c r="I80" s="65">
        <v>14.23</v>
      </c>
    </row>
    <row r="81" spans="2:9" hidden="1" outlineLevel="1">
      <c r="B81" s="63">
        <v>74</v>
      </c>
      <c r="C81" s="64">
        <v>3.3347000000000002E-2</v>
      </c>
      <c r="D81" s="64">
        <f t="shared" si="3"/>
        <v>0.65853319960109336</v>
      </c>
      <c r="E81" s="65">
        <v>11.65</v>
      </c>
      <c r="F81" s="65"/>
      <c r="G81" s="64">
        <v>2.3191E-2</v>
      </c>
      <c r="H81" s="64">
        <f t="shared" si="2"/>
        <v>0.7696145700976571</v>
      </c>
      <c r="I81" s="65">
        <v>13.53</v>
      </c>
    </row>
    <row r="82" spans="2:9" hidden="1" outlineLevel="1">
      <c r="B82" s="63">
        <v>75</v>
      </c>
      <c r="C82" s="64">
        <v>3.6572E-2</v>
      </c>
      <c r="D82" s="64">
        <f t="shared" si="3"/>
        <v>0.63657309299399567</v>
      </c>
      <c r="E82" s="65">
        <v>11.03</v>
      </c>
      <c r="F82" s="65"/>
      <c r="G82" s="64">
        <v>2.5713E-2</v>
      </c>
      <c r="H82" s="64">
        <f t="shared" si="2"/>
        <v>0.75176643860252235</v>
      </c>
      <c r="I82" s="65">
        <v>12.83</v>
      </c>
    </row>
    <row r="83" spans="2:9" hidden="1" outlineLevel="1">
      <c r="B83" s="63">
        <v>76</v>
      </c>
      <c r="C83" s="64">
        <v>4.0275999999999999E-2</v>
      </c>
      <c r="D83" s="64">
        <f t="shared" si="3"/>
        <v>0.61329234183701931</v>
      </c>
      <c r="E83" s="65">
        <v>10.43</v>
      </c>
      <c r="F83" s="65"/>
      <c r="G83" s="64">
        <v>2.8608999999999999E-2</v>
      </c>
      <c r="H83" s="64">
        <f t="shared" si="2"/>
        <v>0.73243626816673568</v>
      </c>
      <c r="I83" s="65">
        <v>12.16</v>
      </c>
    </row>
    <row r="84" spans="2:9" hidden="1" outlineLevel="1">
      <c r="B84" s="63">
        <v>77</v>
      </c>
      <c r="C84" s="64">
        <v>4.4347999999999999E-2</v>
      </c>
      <c r="D84" s="64">
        <f t="shared" si="3"/>
        <v>0.58859137947719153</v>
      </c>
      <c r="E84" s="65">
        <v>9.85</v>
      </c>
      <c r="F84" s="65"/>
      <c r="G84" s="64">
        <v>3.1759999999999997E-2</v>
      </c>
      <c r="H84" s="64">
        <f t="shared" si="2"/>
        <v>0.71148199897075359</v>
      </c>
      <c r="I84" s="65">
        <v>11.5</v>
      </c>
    </row>
    <row r="85" spans="2:9" hidden="1" outlineLevel="1">
      <c r="B85" s="63">
        <v>78</v>
      </c>
      <c r="C85" s="64">
        <v>4.8797E-2</v>
      </c>
      <c r="D85" s="64">
        <f t="shared" si="3"/>
        <v>0.56248852898013701</v>
      </c>
      <c r="E85" s="65">
        <v>9.2799999999999994</v>
      </c>
      <c r="F85" s="65"/>
      <c r="G85" s="64">
        <v>3.5157000000000001E-2</v>
      </c>
      <c r="H85" s="64">
        <f t="shared" si="2"/>
        <v>0.68888533068344249</v>
      </c>
      <c r="I85" s="65">
        <v>10.86</v>
      </c>
    </row>
    <row r="86" spans="2:9" hidden="1" outlineLevel="1">
      <c r="B86" s="63">
        <v>79</v>
      </c>
      <c r="C86" s="64">
        <v>5.3739000000000002E-2</v>
      </c>
      <c r="D86" s="64">
        <f t="shared" si="3"/>
        <v>0.53504077623149326</v>
      </c>
      <c r="E86" s="65">
        <v>8.73</v>
      </c>
      <c r="F86" s="65"/>
      <c r="G86" s="64">
        <v>3.8920000000000003E-2</v>
      </c>
      <c r="H86" s="64">
        <f t="shared" si="2"/>
        <v>0.66466618911260467</v>
      </c>
      <c r="I86" s="65">
        <v>10.24</v>
      </c>
    </row>
    <row r="87" spans="2:9" hidden="1" outlineLevel="1">
      <c r="B87" s="63">
        <v>80</v>
      </c>
      <c r="C87" s="64">
        <v>5.9402999999999997E-2</v>
      </c>
      <c r="D87" s="64">
        <f t="shared" si="3"/>
        <v>0.5062882199575891</v>
      </c>
      <c r="E87" s="65">
        <v>8.1999999999999993</v>
      </c>
      <c r="F87" s="65"/>
      <c r="G87" s="64">
        <v>4.3289000000000001E-2</v>
      </c>
      <c r="H87" s="64">
        <f t="shared" si="2"/>
        <v>0.63879738103234207</v>
      </c>
      <c r="I87" s="65">
        <v>9.64</v>
      </c>
    </row>
    <row r="88" spans="2:9" hidden="1" outlineLevel="1">
      <c r="B88" s="63">
        <v>81</v>
      </c>
      <c r="C88" s="64">
        <v>6.5873000000000001E-2</v>
      </c>
      <c r="D88" s="64">
        <f t="shared" si="3"/>
        <v>0.47621318082744846</v>
      </c>
      <c r="E88" s="65">
        <v>7.68</v>
      </c>
      <c r="F88" s="65"/>
      <c r="G88" s="64">
        <v>4.8356000000000003E-2</v>
      </c>
      <c r="H88" s="64">
        <f t="shared" si="2"/>
        <v>0.611144481204833</v>
      </c>
      <c r="I88" s="65">
        <v>9.0500000000000007</v>
      </c>
    </row>
    <row r="89" spans="2:9" hidden="1" outlineLevel="1">
      <c r="B89" s="63">
        <v>82</v>
      </c>
      <c r="C89" s="64">
        <v>7.3081999999999994E-2</v>
      </c>
      <c r="D89" s="64">
        <f t="shared" si="3"/>
        <v>0.44484358996680196</v>
      </c>
      <c r="E89" s="65">
        <v>7.19</v>
      </c>
      <c r="F89" s="65"/>
      <c r="G89" s="64">
        <v>5.4040999999999999E-2</v>
      </c>
      <c r="H89" s="64">
        <f t="shared" si="2"/>
        <v>0.5815919786716921</v>
      </c>
      <c r="I89" s="65">
        <v>8.48</v>
      </c>
    </row>
    <row r="90" spans="2:9" hidden="1" outlineLevel="1">
      <c r="B90" s="63">
        <v>83</v>
      </c>
      <c r="C90" s="64">
        <v>8.1070000000000003E-2</v>
      </c>
      <c r="D90" s="64">
        <f t="shared" si="3"/>
        <v>0.41233353072484813</v>
      </c>
      <c r="E90" s="65">
        <v>6.72</v>
      </c>
      <c r="F90" s="65"/>
      <c r="G90" s="64">
        <v>6.0384E-2</v>
      </c>
      <c r="H90" s="64">
        <f t="shared" si="2"/>
        <v>0.55016216655229522</v>
      </c>
      <c r="I90" s="65">
        <v>7.94</v>
      </c>
    </row>
    <row r="91" spans="2:9" hidden="1" outlineLevel="1">
      <c r="B91" s="63">
        <v>84</v>
      </c>
      <c r="C91" s="64">
        <v>8.9946999999999999E-2</v>
      </c>
      <c r="D91" s="64">
        <f t="shared" si="3"/>
        <v>0.37890565138898469</v>
      </c>
      <c r="E91" s="65">
        <v>6.27</v>
      </c>
      <c r="F91" s="65"/>
      <c r="G91" s="64">
        <v>6.7498000000000002E-2</v>
      </c>
      <c r="H91" s="64">
        <f t="shared" si="2"/>
        <v>0.51694117428720143</v>
      </c>
      <c r="I91" s="65">
        <v>7.42</v>
      </c>
    </row>
    <row r="92" spans="2:9" hidden="1" outlineLevel="1">
      <c r="B92" s="63">
        <v>85</v>
      </c>
      <c r="C92" s="64">
        <v>9.9842E-2</v>
      </c>
      <c r="D92" s="64">
        <f t="shared" si="3"/>
        <v>0.34482422476349966</v>
      </c>
      <c r="E92" s="65">
        <v>5.84</v>
      </c>
      <c r="F92" s="65"/>
      <c r="G92" s="64">
        <v>7.5516E-2</v>
      </c>
      <c r="H92" s="64">
        <f t="shared" si="2"/>
        <v>0.4820486789051639</v>
      </c>
      <c r="I92" s="65">
        <v>6.92</v>
      </c>
    </row>
    <row r="93" spans="2:9" hidden="1" outlineLevel="1">
      <c r="B93" s="63">
        <v>86</v>
      </c>
      <c r="C93" s="64">
        <v>0.110863</v>
      </c>
      <c r="D93" s="64">
        <f t="shared" si="3"/>
        <v>0.31039628451466234</v>
      </c>
      <c r="E93" s="65">
        <v>5.43</v>
      </c>
      <c r="F93" s="65"/>
      <c r="G93" s="64">
        <v>8.4556000000000006E-2</v>
      </c>
      <c r="H93" s="64">
        <f t="shared" si="2"/>
        <v>0.44564629086896157</v>
      </c>
      <c r="I93" s="65">
        <v>6.44</v>
      </c>
    </row>
    <row r="94" spans="2:9" hidden="1" outlineLevel="1">
      <c r="B94" s="63">
        <v>87</v>
      </c>
      <c r="C94" s="64">
        <v>0.123088</v>
      </c>
      <c r="D94" s="64">
        <f t="shared" si="3"/>
        <v>0.27598482122451334</v>
      </c>
      <c r="E94" s="65">
        <v>5.04</v>
      </c>
      <c r="F94" s="65"/>
      <c r="G94" s="64">
        <v>9.4702999999999996E-2</v>
      </c>
      <c r="H94" s="64">
        <f t="shared" si="2"/>
        <v>0.40796422309824565</v>
      </c>
      <c r="I94" s="65">
        <v>5.99</v>
      </c>
    </row>
    <row r="95" spans="2:9" hidden="1" outlineLevel="1">
      <c r="B95" s="63">
        <v>88</v>
      </c>
      <c r="C95" s="64">
        <v>0.13656299999999999</v>
      </c>
      <c r="D95" s="64">
        <f t="shared" si="3"/>
        <v>0.24201440154963044</v>
      </c>
      <c r="E95" s="65">
        <v>4.68</v>
      </c>
      <c r="F95" s="65"/>
      <c r="G95" s="64">
        <v>0.106014</v>
      </c>
      <c r="H95" s="64">
        <f t="shared" si="2"/>
        <v>0.36932878727817248</v>
      </c>
      <c r="I95" s="65">
        <v>5.57</v>
      </c>
    </row>
    <row r="96" spans="2:9" collapsed="1">
      <c r="B96" s="63">
        <v>89</v>
      </c>
      <c r="C96" s="64">
        <v>0.15129899999999999</v>
      </c>
      <c r="D96" s="64">
        <f>D95-(D95*C95)</f>
        <v>0.20896418883080825</v>
      </c>
      <c r="E96" s="65">
        <v>4.34</v>
      </c>
      <c r="F96" s="65"/>
      <c r="G96" s="64">
        <v>0.11851299999999999</v>
      </c>
      <c r="H96" s="64">
        <f>H95-(H95*G95)</f>
        <v>0.33017476522366429</v>
      </c>
      <c r="I96" s="65">
        <v>5.17</v>
      </c>
    </row>
    <row r="97" spans="2:11">
      <c r="B97" s="69">
        <v>90</v>
      </c>
      <c r="C97" s="70">
        <v>0.167291</v>
      </c>
      <c r="D97" s="70">
        <f t="shared" si="3"/>
        <v>0.17734811602489581</v>
      </c>
      <c r="E97" s="71">
        <v>4.03</v>
      </c>
      <c r="F97" s="71"/>
      <c r="G97" s="70">
        <v>0.13220599999999999</v>
      </c>
      <c r="H97" s="70">
        <f t="shared" si="2"/>
        <v>0.29104476327271217</v>
      </c>
      <c r="I97" s="71">
        <v>4.8</v>
      </c>
    </row>
    <row r="98" spans="2:11">
      <c r="B98" s="69">
        <v>91</v>
      </c>
      <c r="C98" s="70">
        <v>0.18451999999999999</v>
      </c>
      <c r="D98" s="70">
        <f t="shared" si="3"/>
        <v>0.14767937234697495</v>
      </c>
      <c r="E98" s="71">
        <v>3.74</v>
      </c>
      <c r="F98" s="71"/>
      <c r="G98" s="70">
        <v>0.147092</v>
      </c>
      <c r="H98" s="70">
        <f t="shared" si="2"/>
        <v>0.25256689929948001</v>
      </c>
      <c r="I98" s="71">
        <v>4.45</v>
      </c>
      <c r="K98" s="77"/>
    </row>
    <row r="99" spans="2:11">
      <c r="B99" s="63">
        <v>92</v>
      </c>
      <c r="C99" s="64">
        <v>0.202954</v>
      </c>
      <c r="D99" s="64">
        <f t="shared" si="3"/>
        <v>0.12042957456151113</v>
      </c>
      <c r="E99" s="65">
        <v>3.47</v>
      </c>
      <c r="F99" s="65"/>
      <c r="G99" s="64">
        <v>0.16315399999999999</v>
      </c>
      <c r="H99" s="64">
        <f t="shared" si="2"/>
        <v>0.21541632894772089</v>
      </c>
      <c r="I99" s="65">
        <v>4.13</v>
      </c>
    </row>
    <row r="100" spans="2:11">
      <c r="B100" s="63">
        <v>93</v>
      </c>
      <c r="C100" s="64">
        <v>0.222555</v>
      </c>
      <c r="D100" s="64">
        <f t="shared" si="3"/>
        <v>9.5987910685954192E-2</v>
      </c>
      <c r="E100" s="65">
        <v>3.23</v>
      </c>
      <c r="F100" s="65"/>
      <c r="G100" s="64">
        <v>0.180371</v>
      </c>
      <c r="H100" s="64">
        <f t="shared" si="2"/>
        <v>0.18027029321458443</v>
      </c>
      <c r="I100" s="65">
        <v>3.84</v>
      </c>
    </row>
    <row r="101" spans="2:11">
      <c r="B101" s="63">
        <v>94</v>
      </c>
      <c r="C101" s="64">
        <v>0.24327199999999999</v>
      </c>
      <c r="D101" s="64">
        <f t="shared" si="3"/>
        <v>7.4625321223241656E-2</v>
      </c>
      <c r="E101" s="65">
        <v>3.01</v>
      </c>
      <c r="F101" s="65"/>
      <c r="G101" s="64">
        <v>0.198714</v>
      </c>
      <c r="H101" s="64">
        <f t="shared" si="2"/>
        <v>0.14775476015717662</v>
      </c>
      <c r="I101" s="65">
        <v>3.57</v>
      </c>
    </row>
    <row r="102" spans="2:11">
      <c r="B102" s="63">
        <v>95</v>
      </c>
      <c r="C102" s="64">
        <v>0.26382100000000003</v>
      </c>
      <c r="D102" s="64">
        <f t="shared" si="3"/>
        <v>5.6471070078621212E-2</v>
      </c>
      <c r="E102" s="65">
        <v>2.82</v>
      </c>
      <c r="F102" s="65"/>
      <c r="G102" s="64">
        <v>0.21726400000000001</v>
      </c>
      <c r="H102" s="64">
        <f t="shared" si="2"/>
        <v>0.11839382074730342</v>
      </c>
      <c r="I102" s="65">
        <v>3.34</v>
      </c>
    </row>
    <row r="103" spans="2:11">
      <c r="B103" s="63">
        <v>96</v>
      </c>
      <c r="C103" s="64">
        <v>0.283833</v>
      </c>
      <c r="D103" s="64">
        <f t="shared" si="3"/>
        <v>4.1572815899409282E-2</v>
      </c>
      <c r="E103" s="65">
        <v>2.64</v>
      </c>
      <c r="F103" s="65"/>
      <c r="G103" s="64">
        <v>0.235735</v>
      </c>
      <c r="H103" s="64">
        <f t="shared" si="2"/>
        <v>9.2671105676461293E-2</v>
      </c>
      <c r="I103" s="65">
        <v>3.12</v>
      </c>
    </row>
    <row r="104" spans="2:11">
      <c r="B104" s="63">
        <v>97</v>
      </c>
      <c r="C104" s="64">
        <v>0.30291600000000002</v>
      </c>
      <c r="D104" s="64">
        <f t="shared" si="3"/>
        <v>2.9773078844232248E-2</v>
      </c>
      <c r="E104" s="65">
        <v>2.4900000000000002</v>
      </c>
      <c r="F104" s="65"/>
      <c r="G104" s="64">
        <v>0.25380999999999998</v>
      </c>
      <c r="H104" s="64">
        <f t="shared" si="2"/>
        <v>7.0825282579820695E-2</v>
      </c>
      <c r="I104" s="65">
        <v>2.93</v>
      </c>
    </row>
    <row r="105" spans="2:11">
      <c r="B105" s="63">
        <v>98</v>
      </c>
      <c r="C105" s="64">
        <v>0.32067200000000001</v>
      </c>
      <c r="D105" s="64">
        <f t="shared" si="3"/>
        <v>2.075433689305279E-2</v>
      </c>
      <c r="E105" s="65">
        <v>2.36</v>
      </c>
      <c r="F105" s="65"/>
      <c r="G105" s="64">
        <v>0.27115499999999998</v>
      </c>
      <c r="H105" s="64">
        <f t="shared" si="2"/>
        <v>5.2849117608236407E-2</v>
      </c>
      <c r="I105" s="65">
        <v>2.76</v>
      </c>
    </row>
    <row r="106" spans="2:11">
      <c r="B106" s="63">
        <v>99</v>
      </c>
      <c r="C106" s="64">
        <v>0.33670600000000001</v>
      </c>
      <c r="D106" s="64">
        <f t="shared" si="3"/>
        <v>1.4099002172883766E-2</v>
      </c>
      <c r="E106" s="65">
        <v>2.2400000000000002</v>
      </c>
      <c r="F106" s="65"/>
      <c r="G106" s="64">
        <v>0.28742400000000001</v>
      </c>
      <c r="H106" s="64">
        <f t="shared" si="2"/>
        <v>3.8518815123175065E-2</v>
      </c>
      <c r="I106" s="65">
        <v>2.6</v>
      </c>
    </row>
    <row r="107" spans="2:11">
      <c r="B107" s="69">
        <v>100</v>
      </c>
      <c r="C107" s="70">
        <v>0.35354099999999999</v>
      </c>
      <c r="D107" s="70">
        <f t="shared" si="3"/>
        <v>9.3517835472607634E-3</v>
      </c>
      <c r="E107" s="71">
        <v>2.12</v>
      </c>
      <c r="F107" s="71"/>
      <c r="G107" s="70">
        <v>0.30467</v>
      </c>
      <c r="H107" s="70">
        <f t="shared" si="2"/>
        <v>2.7447583205211595E-2</v>
      </c>
      <c r="I107" s="71">
        <v>2.4500000000000002</v>
      </c>
    </row>
    <row r="108" spans="2:11">
      <c r="B108" s="63">
        <v>101</v>
      </c>
      <c r="C108" s="64">
        <v>0.37121799999999999</v>
      </c>
      <c r="D108" s="64">
        <f t="shared" si="3"/>
        <v>6.0455446401786461E-3</v>
      </c>
      <c r="E108" s="65">
        <v>2.0099999999999998</v>
      </c>
      <c r="F108" s="65"/>
      <c r="G108" s="64">
        <v>0.32295000000000001</v>
      </c>
      <c r="H108" s="64">
        <f t="shared" si="2"/>
        <v>1.9085128030079779E-2</v>
      </c>
      <c r="I108" s="65">
        <v>2.2999999999999998</v>
      </c>
    </row>
    <row r="109" spans="2:11">
      <c r="B109" s="63">
        <v>102</v>
      </c>
      <c r="C109" s="64">
        <v>0.38977899999999999</v>
      </c>
      <c r="D109" s="64">
        <f t="shared" si="3"/>
        <v>3.8013296499408095E-3</v>
      </c>
      <c r="E109" s="65">
        <v>1.9</v>
      </c>
      <c r="F109" s="65"/>
      <c r="G109" s="64">
        <v>0.34232699999999999</v>
      </c>
      <c r="H109" s="64">
        <f t="shared" si="2"/>
        <v>1.2921585932765513E-2</v>
      </c>
      <c r="I109" s="65">
        <v>2.17</v>
      </c>
    </row>
    <row r="110" spans="2:11">
      <c r="B110" s="63">
        <v>103</v>
      </c>
      <c r="C110" s="64">
        <v>0.40926800000000002</v>
      </c>
      <c r="D110" s="64">
        <f t="shared" si="3"/>
        <v>2.3196511803165306E-3</v>
      </c>
      <c r="E110" s="65">
        <v>1.8</v>
      </c>
      <c r="F110" s="65"/>
      <c r="G110" s="64">
        <v>0.362867</v>
      </c>
      <c r="H110" s="64">
        <f t="shared" si="2"/>
        <v>8.4981781851596935E-3</v>
      </c>
      <c r="I110" s="65">
        <v>2.0299999999999998</v>
      </c>
    </row>
    <row r="111" spans="2:11">
      <c r="B111" s="63">
        <v>104</v>
      </c>
      <c r="C111" s="64">
        <v>0.429732</v>
      </c>
      <c r="D111" s="64">
        <f t="shared" si="3"/>
        <v>1.3702921810507447E-3</v>
      </c>
      <c r="E111" s="65">
        <v>1.7</v>
      </c>
      <c r="F111" s="65"/>
      <c r="G111" s="64">
        <v>0.38463900000000001</v>
      </c>
      <c r="H111" s="64">
        <f t="shared" si="2"/>
        <v>5.4144697616453508E-3</v>
      </c>
      <c r="I111" s="65">
        <v>1.91</v>
      </c>
    </row>
    <row r="112" spans="2:11">
      <c r="B112" s="63">
        <v>105</v>
      </c>
      <c r="C112" s="64">
        <v>0.45121800000000001</v>
      </c>
      <c r="D112" s="64">
        <f t="shared" si="3"/>
        <v>7.8143378150344605E-4</v>
      </c>
      <c r="E112" s="65">
        <v>1.6</v>
      </c>
      <c r="F112" s="65"/>
      <c r="G112" s="64">
        <v>0.407717</v>
      </c>
      <c r="H112" s="64">
        <f t="shared" si="2"/>
        <v>3.3318535269958446E-3</v>
      </c>
      <c r="I112" s="65">
        <v>1.78</v>
      </c>
    </row>
    <row r="113" spans="2:9">
      <c r="B113" s="63">
        <v>106</v>
      </c>
      <c r="C113" s="64">
        <v>0.47377900000000001</v>
      </c>
      <c r="D113" s="64">
        <f t="shared" si="3"/>
        <v>4.2883679348102414E-4</v>
      </c>
      <c r="E113" s="65">
        <v>1.51</v>
      </c>
      <c r="F113" s="65"/>
      <c r="G113" s="64">
        <v>0.43218000000000001</v>
      </c>
      <c r="H113" s="64">
        <f t="shared" si="2"/>
        <v>1.9734002025296798E-3</v>
      </c>
      <c r="I113" s="65">
        <v>1.67</v>
      </c>
    </row>
    <row r="114" spans="2:9">
      <c r="B114" s="63">
        <v>107</v>
      </c>
      <c r="C114" s="64">
        <v>0.49746800000000002</v>
      </c>
      <c r="D114" s="64">
        <f t="shared" si="3"/>
        <v>2.2566292630237799E-4</v>
      </c>
      <c r="E114" s="65">
        <v>1.42</v>
      </c>
      <c r="F114" s="65"/>
      <c r="G114" s="64">
        <v>0.45811099999999999</v>
      </c>
      <c r="H114" s="64">
        <f t="shared" si="2"/>
        <v>1.1205361030004028E-3</v>
      </c>
      <c r="I114" s="65">
        <v>1.56</v>
      </c>
    </row>
    <row r="115" spans="2:9">
      <c r="B115" s="63">
        <v>108</v>
      </c>
      <c r="C115" s="64">
        <v>0.52234100000000006</v>
      </c>
      <c r="D115" s="64">
        <f t="shared" si="3"/>
        <v>1.1340284168058661E-4</v>
      </c>
      <c r="E115" s="65">
        <v>1.34</v>
      </c>
      <c r="F115" s="65"/>
      <c r="G115" s="64">
        <v>0.485597</v>
      </c>
      <c r="H115" s="64">
        <f t="shared" si="2"/>
        <v>6.0720618831878526E-4</v>
      </c>
      <c r="I115" s="65">
        <v>1.45</v>
      </c>
    </row>
    <row r="116" spans="2:9">
      <c r="B116" s="63">
        <v>109</v>
      </c>
      <c r="C116" s="64">
        <v>0.548458</v>
      </c>
      <c r="D116" s="64">
        <f t="shared" si="3"/>
        <v>5.416788795430731E-5</v>
      </c>
      <c r="E116" s="65">
        <v>1.26</v>
      </c>
      <c r="F116" s="65"/>
      <c r="G116" s="64">
        <v>0.514733</v>
      </c>
      <c r="H116" s="64">
        <f t="shared" si="2"/>
        <v>3.123486848897481E-4</v>
      </c>
      <c r="I116" s="65">
        <v>1.35</v>
      </c>
    </row>
    <row r="117" spans="2:9">
      <c r="B117" s="69">
        <v>110</v>
      </c>
      <c r="C117" s="70">
        <v>0.57588099999999998</v>
      </c>
      <c r="D117" s="70">
        <f t="shared" si="3"/>
        <v>2.4459076462663831E-5</v>
      </c>
      <c r="E117" s="71">
        <v>1.18</v>
      </c>
      <c r="F117" s="71"/>
      <c r="G117" s="70">
        <v>0.54561700000000002</v>
      </c>
      <c r="H117" s="70">
        <f t="shared" si="2"/>
        <v>1.515725092703934E-4</v>
      </c>
      <c r="I117" s="71">
        <v>1.26</v>
      </c>
    </row>
    <row r="118" spans="2:9">
      <c r="B118" s="63">
        <v>111</v>
      </c>
      <c r="C118" s="64">
        <v>0.60467499999999996</v>
      </c>
      <c r="D118" s="64">
        <f t="shared" si="3"/>
        <v>1.0373559050268522E-5</v>
      </c>
      <c r="E118" s="65">
        <v>1.1100000000000001</v>
      </c>
      <c r="F118" s="65"/>
      <c r="G118" s="64">
        <v>0.57835400000000003</v>
      </c>
      <c r="H118" s="64">
        <f t="shared" si="2"/>
        <v>6.8871971479809167E-5</v>
      </c>
      <c r="I118" s="65">
        <v>1.17</v>
      </c>
    </row>
    <row r="119" spans="2:9" hidden="1" outlineLevel="1">
      <c r="B119" s="63">
        <v>112</v>
      </c>
      <c r="C119" s="64">
        <v>0.63490899999999995</v>
      </c>
      <c r="D119" s="64">
        <f t="shared" si="3"/>
        <v>4.1009272315474037E-6</v>
      </c>
      <c r="E119" s="65">
        <v>1.04</v>
      </c>
      <c r="F119" s="65"/>
      <c r="G119" s="64">
        <v>0.61305500000000002</v>
      </c>
      <c r="H119" s="64">
        <f t="shared" si="2"/>
        <v>2.9039591286575614E-5</v>
      </c>
      <c r="I119" s="65">
        <v>1.08</v>
      </c>
    </row>
    <row r="120" spans="2:9" hidden="1" outlineLevel="1">
      <c r="B120" s="63">
        <v>113</v>
      </c>
      <c r="C120" s="64">
        <v>0.666655</v>
      </c>
      <c r="D120" s="64">
        <f t="shared" si="3"/>
        <v>1.4972116238928733E-6</v>
      </c>
      <c r="E120" s="65">
        <v>0.97</v>
      </c>
      <c r="F120" s="65"/>
      <c r="G120" s="64">
        <v>0.64983900000000006</v>
      </c>
      <c r="H120" s="64">
        <f t="shared" si="2"/>
        <v>1.1236724650384002E-5</v>
      </c>
      <c r="I120" s="65">
        <v>1</v>
      </c>
    </row>
    <row r="121" spans="2:9" hidden="1" outlineLevel="1">
      <c r="B121" s="63">
        <v>114</v>
      </c>
      <c r="C121" s="64">
        <v>0.69998700000000003</v>
      </c>
      <c r="D121" s="64">
        <f t="shared" si="3"/>
        <v>4.9908800876656982E-7</v>
      </c>
      <c r="E121" s="65">
        <v>0.9</v>
      </c>
      <c r="F121" s="65"/>
      <c r="G121" s="64">
        <v>0.68882900000000002</v>
      </c>
      <c r="H121" s="64">
        <f t="shared" si="2"/>
        <v>3.9346627403031122E-6</v>
      </c>
      <c r="I121" s="65">
        <v>0.92</v>
      </c>
    </row>
    <row r="122" spans="2:9" hidden="1" outlineLevel="1">
      <c r="B122" s="63">
        <v>115</v>
      </c>
      <c r="C122" s="64">
        <v>0.73498699999999995</v>
      </c>
      <c r="D122" s="64">
        <f t="shared" si="3"/>
        <v>1.4973289077408489E-7</v>
      </c>
      <c r="E122" s="65">
        <v>0.84</v>
      </c>
      <c r="F122" s="65"/>
      <c r="G122" s="64">
        <v>0.730159</v>
      </c>
      <c r="H122" s="64">
        <f t="shared" si="2"/>
        <v>1.2243529395628595E-6</v>
      </c>
      <c r="I122" s="65">
        <v>0.85</v>
      </c>
    </row>
    <row r="123" spans="2:9" hidden="1" outlineLevel="1">
      <c r="B123" s="63">
        <v>116</v>
      </c>
      <c r="C123" s="64">
        <v>0.77173599999999998</v>
      </c>
      <c r="D123" s="64">
        <f t="shared" si="3"/>
        <v>3.9681162582712572E-8</v>
      </c>
      <c r="E123" s="65">
        <v>0.78</v>
      </c>
      <c r="F123" s="65"/>
      <c r="G123" s="64">
        <v>0.77173599999999998</v>
      </c>
      <c r="H123" s="64">
        <f t="shared" si="2"/>
        <v>3.3038062156458161E-7</v>
      </c>
      <c r="I123" s="65">
        <v>0.78</v>
      </c>
    </row>
    <row r="124" spans="2:9" hidden="1" outlineLevel="1">
      <c r="B124" s="63">
        <v>117</v>
      </c>
      <c r="C124" s="64">
        <v>0.81032300000000002</v>
      </c>
      <c r="D124" s="64">
        <f t="shared" si="3"/>
        <v>9.0577808957803056E-9</v>
      </c>
      <c r="E124" s="65">
        <v>0.72</v>
      </c>
      <c r="F124" s="65"/>
      <c r="G124" s="64">
        <v>0.81032300000000002</v>
      </c>
      <c r="H124" s="64">
        <f t="shared" si="2"/>
        <v>7.5414002200817665E-8</v>
      </c>
      <c r="I124" s="65">
        <v>0.72</v>
      </c>
    </row>
    <row r="125" spans="2:9" hidden="1" outlineLevel="1">
      <c r="B125" s="63">
        <v>118</v>
      </c>
      <c r="C125" s="64">
        <v>0.85083900000000001</v>
      </c>
      <c r="D125" s="64">
        <f t="shared" si="3"/>
        <v>1.7180527069689209E-9</v>
      </c>
      <c r="E125" s="65">
        <v>0.67</v>
      </c>
      <c r="F125" s="65"/>
      <c r="G125" s="64">
        <v>0.85083900000000001</v>
      </c>
      <c r="H125" s="64">
        <f t="shared" si="2"/>
        <v>1.430430169544449E-8</v>
      </c>
      <c r="I125" s="65">
        <v>0.67</v>
      </c>
    </row>
    <row r="126" spans="2:9" hidden="1" outlineLevel="1">
      <c r="B126" s="63">
        <v>119</v>
      </c>
      <c r="C126" s="64">
        <v>0.89338099999999998</v>
      </c>
      <c r="D126" s="64">
        <f t="shared" si="3"/>
        <v>2.5626645982419117E-10</v>
      </c>
      <c r="E126" s="65">
        <v>0.61</v>
      </c>
      <c r="F126" s="65"/>
      <c r="G126" s="64">
        <v>0.89338099999999998</v>
      </c>
      <c r="H126" s="64">
        <f t="shared" si="2"/>
        <v>2.1336439451941957E-9</v>
      </c>
      <c r="I126" s="65">
        <v>0.61</v>
      </c>
    </row>
    <row r="127" spans="2:9" ht="3" customHeight="1" collapsed="1">
      <c r="C127" s="72"/>
      <c r="D127" s="72"/>
      <c r="E127" s="72"/>
      <c r="F127" s="72"/>
      <c r="G127" s="72"/>
      <c r="H127" s="72"/>
      <c r="I127" s="72"/>
    </row>
    <row r="128" spans="2:9" ht="15.75">
      <c r="B128" s="73" t="s">
        <v>73</v>
      </c>
      <c r="C128" s="74"/>
      <c r="D128" s="74"/>
      <c r="E128" s="74"/>
      <c r="F128" s="75"/>
      <c r="G128" s="74"/>
      <c r="H128" s="74"/>
      <c r="I128" s="74"/>
    </row>
    <row r="129" spans="2:9" ht="15.75">
      <c r="B129" s="73" t="s">
        <v>74</v>
      </c>
      <c r="C129" s="74"/>
      <c r="D129" s="74"/>
      <c r="E129" s="74"/>
      <c r="F129" s="75"/>
      <c r="G129" s="74"/>
      <c r="H129" s="74"/>
      <c r="I129" s="74"/>
    </row>
    <row r="130" spans="2:9" ht="15.75">
      <c r="B130" s="73"/>
      <c r="C130" s="74"/>
      <c r="D130" s="74"/>
      <c r="E130" s="74"/>
      <c r="F130" s="75"/>
      <c r="G130" s="74"/>
      <c r="H130" s="74"/>
      <c r="I130" s="74"/>
    </row>
    <row r="131" spans="2:9" ht="15.75">
      <c r="B131" s="76" t="s">
        <v>28</v>
      </c>
      <c r="C131" s="76"/>
      <c r="D131" s="76"/>
      <c r="E131" s="76"/>
      <c r="F131" s="73"/>
      <c r="G131" s="76"/>
      <c r="H131" s="76"/>
      <c r="I131" s="76"/>
    </row>
    <row r="132" spans="2:9">
      <c r="B132" s="74"/>
      <c r="C132" s="74"/>
      <c r="D132" s="74"/>
      <c r="E132" s="74"/>
      <c r="F132" s="75"/>
      <c r="G132" s="74"/>
      <c r="H132" s="74"/>
      <c r="I132" s="74"/>
    </row>
    <row r="133" spans="2:9" ht="31.5" customHeight="1">
      <c r="B133" s="76" t="s">
        <v>29</v>
      </c>
      <c r="C133" s="76"/>
      <c r="D133" s="76"/>
      <c r="E133" s="76"/>
      <c r="F133" s="73"/>
      <c r="G133" s="76"/>
      <c r="H133" s="76"/>
      <c r="I133" s="7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8"/>
  <sheetViews>
    <sheetView showGridLines="0" workbookViewId="0">
      <selection activeCell="I32" sqref="I32"/>
    </sheetView>
  </sheetViews>
  <sheetFormatPr defaultColWidth="10.85546875" defaultRowHeight="14.25"/>
  <cols>
    <col min="1" max="1" width="10.85546875" style="1"/>
    <col min="2" max="2" width="25.42578125" style="1" customWidth="1"/>
    <col min="3" max="3" width="7.85546875" style="1" bestFit="1" customWidth="1"/>
    <col min="4" max="4" width="7.28515625" style="1" bestFit="1" customWidth="1"/>
    <col min="5" max="5" width="8.28515625" style="1" bestFit="1" customWidth="1"/>
    <col min="6" max="8" width="10.85546875" style="1"/>
    <col min="9" max="9" width="25.7109375" style="1" bestFit="1" customWidth="1"/>
    <col min="10" max="10" width="10.42578125" style="1" customWidth="1"/>
    <col min="11" max="11" width="7.28515625" style="1" customWidth="1"/>
    <col min="12" max="12" width="13.28515625" style="1" customWidth="1"/>
    <col min="13" max="16384" width="10.85546875" style="1"/>
  </cols>
  <sheetData>
    <row r="1" spans="2:12" ht="15" customHeight="1"/>
    <row r="2" spans="2:12" ht="42.95" customHeight="1">
      <c r="B2" s="3" t="s">
        <v>58</v>
      </c>
      <c r="D2" s="3"/>
      <c r="E2" s="3"/>
      <c r="F2" s="3"/>
      <c r="I2" s="81" t="s">
        <v>69</v>
      </c>
      <c r="J2" s="81"/>
      <c r="K2" s="81"/>
      <c r="L2" s="42"/>
    </row>
    <row r="3" spans="2:12" ht="15">
      <c r="I3" s="11"/>
    </row>
    <row r="4" spans="2:12" ht="15">
      <c r="C4" s="41" t="s">
        <v>56</v>
      </c>
      <c r="D4" s="41" t="s">
        <v>57</v>
      </c>
      <c r="E4" s="41" t="s">
        <v>60</v>
      </c>
      <c r="F4" s="41" t="s">
        <v>61</v>
      </c>
      <c r="I4" s="46" t="s">
        <v>68</v>
      </c>
      <c r="J4" s="46">
        <v>0.6</v>
      </c>
      <c r="K4" s="46">
        <v>-0.6</v>
      </c>
    </row>
    <row r="5" spans="2:12" ht="15">
      <c r="C5" s="40"/>
      <c r="D5" s="40"/>
      <c r="E5" s="40"/>
      <c r="F5" s="40"/>
      <c r="I5" s="43" t="s">
        <v>67</v>
      </c>
      <c r="J5" s="43">
        <v>0.4</v>
      </c>
      <c r="K5" s="43">
        <v>0.6</v>
      </c>
    </row>
    <row r="6" spans="2:12">
      <c r="B6" s="1" t="s">
        <v>62</v>
      </c>
      <c r="C6" s="38">
        <v>0.2</v>
      </c>
      <c r="D6" s="38">
        <v>-0.1</v>
      </c>
      <c r="E6" s="38">
        <f>+(C6+D6)/2</f>
        <v>0.05</v>
      </c>
      <c r="F6" s="38">
        <f>+(C6+D6)/2</f>
        <v>0.05</v>
      </c>
      <c r="I6" s="49" t="s">
        <v>64</v>
      </c>
      <c r="J6" s="50">
        <f>J5*(0.02+0.2*(J4-0.02)) + K5*(0.02)</f>
        <v>6.6400000000000001E-2</v>
      </c>
      <c r="K6" s="43"/>
    </row>
    <row r="7" spans="2:12" ht="16.5">
      <c r="B7" s="1" t="s">
        <v>59</v>
      </c>
      <c r="C7" s="38">
        <f>0.02+0.2*(IF(C6&lt;0, 0,C6-0.02))</f>
        <v>5.6000000000000008E-2</v>
      </c>
      <c r="D7" s="38">
        <f>0.02+0.2*(IF(D6&lt;0, 0,D6-0.02))</f>
        <v>0.02</v>
      </c>
      <c r="E7" s="38">
        <f>+(C7+D7)/2</f>
        <v>3.8000000000000006E-2</v>
      </c>
      <c r="F7" s="38">
        <f>0.02+0.2*(IF(F6&lt;0,0,F6-0.02))</f>
        <v>2.6000000000000002E-2</v>
      </c>
      <c r="I7" s="47" t="s">
        <v>65</v>
      </c>
      <c r="J7" s="48">
        <f>+J5*(J4-(0.2*(J4-0.02))-0.02)+K5*(K4-0.02)</f>
        <v>-0.18640000000000001</v>
      </c>
      <c r="K7" s="51"/>
    </row>
    <row r="8" spans="2:12">
      <c r="B8" s="1" t="s">
        <v>63</v>
      </c>
      <c r="E8" s="39">
        <f>+E6-E7</f>
        <v>1.1999999999999997E-2</v>
      </c>
      <c r="F8" s="39">
        <f>+F6-F7</f>
        <v>2.4E-2</v>
      </c>
      <c r="I8" s="44" t="s">
        <v>66</v>
      </c>
      <c r="J8" s="45">
        <f>+J5*K5+J4*K4</f>
        <v>-0.12</v>
      </c>
      <c r="K8" s="44"/>
    </row>
  </sheetData>
  <mergeCells count="1">
    <mergeCell ref="I2:K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0D06-AE7D-4A89-9E62-24CD3AD18816}">
  <dimension ref="B2:T29"/>
  <sheetViews>
    <sheetView showGridLines="0" workbookViewId="0">
      <selection activeCell="D12" sqref="D12"/>
    </sheetView>
  </sheetViews>
  <sheetFormatPr defaultRowHeight="15"/>
  <cols>
    <col min="3" max="3" width="12.5703125" customWidth="1"/>
    <col min="4" max="11" width="9.7109375" customWidth="1"/>
    <col min="12" max="12" width="12" customWidth="1"/>
    <col min="13" max="13" width="13.28515625" bestFit="1" customWidth="1"/>
    <col min="15" max="15" width="12.140625" bestFit="1" customWidth="1"/>
  </cols>
  <sheetData>
    <row r="2" spans="2:16">
      <c r="B2" s="130" t="s">
        <v>158</v>
      </c>
      <c r="C2" s="202">
        <v>1000000</v>
      </c>
      <c r="E2" s="190" t="s">
        <v>156</v>
      </c>
      <c r="F2" s="190"/>
      <c r="G2" s="190"/>
      <c r="H2" s="190"/>
    </row>
    <row r="3" spans="2:16">
      <c r="D3" s="187"/>
      <c r="E3" s="187" t="s">
        <v>154</v>
      </c>
      <c r="F3" s="189" t="s">
        <v>149</v>
      </c>
      <c r="G3" s="174" t="s">
        <v>153</v>
      </c>
      <c r="H3" s="174" t="s">
        <v>5</v>
      </c>
      <c r="I3" s="174" t="s">
        <v>152</v>
      </c>
      <c r="J3" s="174"/>
    </row>
    <row r="4" spans="2:16">
      <c r="D4" s="180" t="s">
        <v>68</v>
      </c>
      <c r="E4" s="180" t="s">
        <v>150</v>
      </c>
      <c r="F4" s="180" t="s">
        <v>151</v>
      </c>
      <c r="G4" s="180" t="s">
        <v>150</v>
      </c>
      <c r="H4" s="180" t="s">
        <v>150</v>
      </c>
      <c r="I4" s="180" t="s">
        <v>149</v>
      </c>
      <c r="J4" s="187"/>
    </row>
    <row r="5" spans="2:16">
      <c r="B5" s="201" t="s">
        <v>157</v>
      </c>
      <c r="D5" s="187" t="s">
        <v>148</v>
      </c>
      <c r="E5" s="187"/>
      <c r="F5" s="187"/>
      <c r="G5" s="188">
        <v>0.2</v>
      </c>
      <c r="H5" s="187" t="s">
        <v>147</v>
      </c>
      <c r="I5" s="187" t="s">
        <v>146</v>
      </c>
      <c r="J5" s="187"/>
    </row>
    <row r="6" spans="2:16" ht="6" customHeight="1">
      <c r="D6" s="187"/>
      <c r="E6" s="187"/>
      <c r="F6" s="187"/>
      <c r="H6" s="187"/>
      <c r="I6" s="187"/>
      <c r="J6" s="187"/>
    </row>
    <row r="7" spans="2:16">
      <c r="B7" s="86">
        <v>1</v>
      </c>
      <c r="C7" s="198">
        <f>$C$2/$B$16</f>
        <v>100000</v>
      </c>
      <c r="D7" s="83">
        <v>-0.4</v>
      </c>
      <c r="E7" s="83">
        <v>0.02</v>
      </c>
      <c r="F7" s="186">
        <f>D7-E7</f>
        <v>-0.42000000000000004</v>
      </c>
      <c r="G7" s="161">
        <f>MAX($G$5*F7,0)</f>
        <v>0</v>
      </c>
      <c r="H7" s="100">
        <f>E7+G7</f>
        <v>0.02</v>
      </c>
      <c r="I7" s="100">
        <f>D7-H7</f>
        <v>-0.42000000000000004</v>
      </c>
      <c r="J7" s="100"/>
      <c r="N7" s="197">
        <f>E7*C7</f>
        <v>2000</v>
      </c>
      <c r="P7" s="197">
        <f>N7+O7</f>
        <v>2000</v>
      </c>
    </row>
    <row r="8" spans="2:16">
      <c r="B8" s="86">
        <v>2</v>
      </c>
      <c r="C8" s="198">
        <f>$C$2/$B$16</f>
        <v>100000</v>
      </c>
      <c r="D8" s="83">
        <v>-0.4</v>
      </c>
      <c r="E8" s="83">
        <f>$E$7</f>
        <v>0.02</v>
      </c>
      <c r="F8" s="186">
        <f>D8-E8</f>
        <v>-0.42000000000000004</v>
      </c>
      <c r="G8" s="161">
        <f>MAX($G$5*F8,0)</f>
        <v>0</v>
      </c>
      <c r="H8" s="100">
        <f>E8+G8</f>
        <v>0.02</v>
      </c>
      <c r="I8" s="100">
        <f>D8-H8</f>
        <v>-0.42000000000000004</v>
      </c>
      <c r="J8" s="100"/>
      <c r="N8" s="197">
        <f>E8*C8</f>
        <v>2000</v>
      </c>
      <c r="P8" s="197">
        <f>N8+O8</f>
        <v>2000</v>
      </c>
    </row>
    <row r="9" spans="2:16">
      <c r="B9" s="86">
        <v>3</v>
      </c>
      <c r="C9" s="198">
        <f>$C$2/$B$16</f>
        <v>100000</v>
      </c>
      <c r="D9" s="83">
        <v>-0.4</v>
      </c>
      <c r="E9" s="83">
        <f>$E$7</f>
        <v>0.02</v>
      </c>
      <c r="F9" s="186">
        <f>D9-E9</f>
        <v>-0.42000000000000004</v>
      </c>
      <c r="G9" s="161">
        <f>MAX($G$5*F9,0)</f>
        <v>0</v>
      </c>
      <c r="H9" s="100">
        <f>E9+G9</f>
        <v>0.02</v>
      </c>
      <c r="I9" s="100">
        <f>D9-H9</f>
        <v>-0.42000000000000004</v>
      </c>
      <c r="J9" s="100"/>
      <c r="N9" s="197">
        <f>E9*C9</f>
        <v>2000</v>
      </c>
      <c r="P9" s="197">
        <f>N9+O9</f>
        <v>2000</v>
      </c>
    </row>
    <row r="10" spans="2:16">
      <c r="B10" s="86">
        <v>4</v>
      </c>
      <c r="C10" s="198">
        <f>$C$2/$B$16</f>
        <v>100000</v>
      </c>
      <c r="D10" s="83">
        <v>-0.4</v>
      </c>
      <c r="E10" s="83">
        <f>$E$7</f>
        <v>0.02</v>
      </c>
      <c r="F10" s="186">
        <f>D10-E10</f>
        <v>-0.42000000000000004</v>
      </c>
      <c r="G10" s="161">
        <f>MAX($G$5*F10,0)</f>
        <v>0</v>
      </c>
      <c r="H10" s="100">
        <f>E10+G10</f>
        <v>0.02</v>
      </c>
      <c r="I10" s="100">
        <f>D10-H10</f>
        <v>-0.42000000000000004</v>
      </c>
      <c r="J10" s="100"/>
      <c r="N10" s="197">
        <f>E10*C10</f>
        <v>2000</v>
      </c>
      <c r="P10" s="197">
        <f>N10+O10</f>
        <v>2000</v>
      </c>
    </row>
    <row r="11" spans="2:16">
      <c r="B11" s="200">
        <v>5</v>
      </c>
      <c r="C11" s="198">
        <f>$C$2/$B$16</f>
        <v>100000</v>
      </c>
      <c r="D11" s="83">
        <v>-0.4</v>
      </c>
      <c r="E11" s="196">
        <f>$E$7</f>
        <v>0.02</v>
      </c>
      <c r="F11" s="195">
        <f>D11-E11</f>
        <v>-0.42000000000000004</v>
      </c>
      <c r="G11" s="194">
        <f>MAX($G$5*F11,0)</f>
        <v>0</v>
      </c>
      <c r="H11" s="193">
        <f>E11+G11</f>
        <v>0.02</v>
      </c>
      <c r="I11" s="193">
        <f>D11-H11</f>
        <v>-0.42000000000000004</v>
      </c>
      <c r="J11" s="100"/>
      <c r="N11" s="197">
        <f>E11*C11</f>
        <v>2000</v>
      </c>
      <c r="P11" s="197">
        <f>N11+O11</f>
        <v>2000</v>
      </c>
    </row>
    <row r="12" spans="2:16">
      <c r="B12" s="199">
        <v>6</v>
      </c>
      <c r="C12" s="198">
        <f>$C$2/$B$16</f>
        <v>100000</v>
      </c>
      <c r="D12" s="83">
        <v>0.4</v>
      </c>
      <c r="E12" s="196">
        <f>$E$7</f>
        <v>0.02</v>
      </c>
      <c r="F12" s="195">
        <f>D12-E12</f>
        <v>0.38</v>
      </c>
      <c r="G12" s="194">
        <f>MAX($G$5*F12,0)</f>
        <v>7.6000000000000012E-2</v>
      </c>
      <c r="H12" s="193">
        <f>E12+G12</f>
        <v>9.6000000000000016E-2</v>
      </c>
      <c r="I12" s="193">
        <f>D12-H12</f>
        <v>0.30399999999999999</v>
      </c>
      <c r="J12" s="100"/>
      <c r="N12" s="197">
        <f>E12*C12</f>
        <v>2000</v>
      </c>
      <c r="O12" s="197">
        <f>C12*G12</f>
        <v>7600.0000000000009</v>
      </c>
      <c r="P12" s="197">
        <f>N12+O12</f>
        <v>9600</v>
      </c>
    </row>
    <row r="13" spans="2:16">
      <c r="B13" s="199">
        <v>7</v>
      </c>
      <c r="C13" s="198">
        <f>$C$2/$B$16</f>
        <v>100000</v>
      </c>
      <c r="D13" s="83">
        <v>0.4</v>
      </c>
      <c r="E13" s="196">
        <f>$E$7</f>
        <v>0.02</v>
      </c>
      <c r="F13" s="195">
        <f>D13-E13</f>
        <v>0.38</v>
      </c>
      <c r="G13" s="194">
        <f>MAX($G$5*F13,0)</f>
        <v>7.6000000000000012E-2</v>
      </c>
      <c r="H13" s="193">
        <f>E13+G13</f>
        <v>9.6000000000000016E-2</v>
      </c>
      <c r="I13" s="193">
        <f>D13-H13</f>
        <v>0.30399999999999999</v>
      </c>
      <c r="J13" s="100"/>
      <c r="N13" s="197">
        <f>E13*C13</f>
        <v>2000</v>
      </c>
      <c r="O13" s="197">
        <f>C13*G13</f>
        <v>7600.0000000000009</v>
      </c>
      <c r="P13" s="197">
        <f>N13+O13</f>
        <v>9600</v>
      </c>
    </row>
    <row r="14" spans="2:16">
      <c r="B14" s="199">
        <v>8</v>
      </c>
      <c r="C14" s="198">
        <f>$C$2/$B$16</f>
        <v>100000</v>
      </c>
      <c r="D14" s="83">
        <v>0.4</v>
      </c>
      <c r="E14" s="196">
        <f>$E$7</f>
        <v>0.02</v>
      </c>
      <c r="F14" s="195">
        <f>D14-E14</f>
        <v>0.38</v>
      </c>
      <c r="G14" s="194">
        <f>MAX($G$5*F14,0)</f>
        <v>7.6000000000000012E-2</v>
      </c>
      <c r="H14" s="193">
        <f>E14+G14</f>
        <v>9.6000000000000016E-2</v>
      </c>
      <c r="I14" s="193">
        <f>D14-H14</f>
        <v>0.30399999999999999</v>
      </c>
      <c r="J14" s="100"/>
      <c r="N14" s="197">
        <f>E14*C14</f>
        <v>2000</v>
      </c>
      <c r="O14" s="197">
        <f>C14*G14</f>
        <v>7600.0000000000009</v>
      </c>
      <c r="P14" s="197">
        <f>N14+O14</f>
        <v>9600</v>
      </c>
    </row>
    <row r="15" spans="2:16">
      <c r="B15" s="199">
        <v>9</v>
      </c>
      <c r="C15" s="198">
        <f>$C$2/$B$16</f>
        <v>100000</v>
      </c>
      <c r="D15" s="83">
        <v>0.4</v>
      </c>
      <c r="E15" s="196">
        <f>$E$7</f>
        <v>0.02</v>
      </c>
      <c r="F15" s="195">
        <f>D15-E15</f>
        <v>0.38</v>
      </c>
      <c r="G15" s="194">
        <f>MAX($G$5*F15,0)</f>
        <v>7.6000000000000012E-2</v>
      </c>
      <c r="H15" s="193">
        <f>E15+G15</f>
        <v>9.6000000000000016E-2</v>
      </c>
      <c r="I15" s="193">
        <f>D15-H15</f>
        <v>0.30399999999999999</v>
      </c>
      <c r="J15" s="100"/>
      <c r="N15" s="197">
        <f>E15*C15</f>
        <v>2000</v>
      </c>
      <c r="O15" s="197">
        <f>C15*G15</f>
        <v>7600.0000000000009</v>
      </c>
      <c r="P15" s="197">
        <f>N15+O15</f>
        <v>9600</v>
      </c>
    </row>
    <row r="16" spans="2:16">
      <c r="B16" s="199">
        <v>10</v>
      </c>
      <c r="C16" s="198">
        <f>$C$2/$B$16</f>
        <v>100000</v>
      </c>
      <c r="D16" s="83">
        <v>0.4</v>
      </c>
      <c r="E16" s="196">
        <f>$E$7</f>
        <v>0.02</v>
      </c>
      <c r="F16" s="195">
        <f>D16-E16</f>
        <v>0.38</v>
      </c>
      <c r="G16" s="194">
        <f>MAX($G$5*F16,0)</f>
        <v>7.6000000000000012E-2</v>
      </c>
      <c r="H16" s="193">
        <f>E16+G16</f>
        <v>9.6000000000000016E-2</v>
      </c>
      <c r="I16" s="193">
        <f>D16-H16</f>
        <v>0.30399999999999999</v>
      </c>
      <c r="J16" s="100"/>
      <c r="N16" s="197">
        <f>E16*C16</f>
        <v>2000</v>
      </c>
      <c r="O16" s="197">
        <f>C16*G16</f>
        <v>7600.0000000000009</v>
      </c>
      <c r="P16" s="197">
        <f>N16+O16</f>
        <v>9600</v>
      </c>
    </row>
    <row r="17" spans="2:20">
      <c r="D17" s="196"/>
      <c r="E17" s="196"/>
      <c r="F17" s="195"/>
      <c r="G17" s="194"/>
      <c r="H17" s="193"/>
      <c r="I17" s="193"/>
      <c r="J17" s="100"/>
      <c r="M17" s="103"/>
      <c r="T17">
        <f>7.6%*5</f>
        <v>0.38</v>
      </c>
    </row>
    <row r="18" spans="2:20">
      <c r="B18" s="174"/>
      <c r="C18" s="174" t="s">
        <v>145</v>
      </c>
      <c r="D18" s="181">
        <f>AVERAGE(D7:D16)</f>
        <v>0</v>
      </c>
      <c r="E18" s="169">
        <f>AVERAGE(E7:E16)</f>
        <v>1.9999999999999997E-2</v>
      </c>
      <c r="G18" s="169">
        <f>AVERAGE(G7:G16)</f>
        <v>3.8000000000000006E-2</v>
      </c>
      <c r="H18" s="169">
        <f>AVERAGE(H7:H16)</f>
        <v>5.800000000000001E-2</v>
      </c>
      <c r="I18" s="167">
        <f>AVERAGE(I7:I16)</f>
        <v>-5.7999999999999982E-2</v>
      </c>
      <c r="J18" s="100"/>
      <c r="M18" s="163"/>
      <c r="N18" s="107">
        <f>SUM(N7:N16)</f>
        <v>20000</v>
      </c>
      <c r="O18" s="107">
        <f>SUM(O7:O16)</f>
        <v>38000.000000000007</v>
      </c>
      <c r="P18" s="107">
        <f>SUM(P7:P16)</f>
        <v>58000</v>
      </c>
    </row>
    <row r="19" spans="2:20">
      <c r="B19" s="174"/>
      <c r="C19" s="174" t="s">
        <v>5</v>
      </c>
      <c r="D19" s="181"/>
      <c r="E19" s="192">
        <f>N18</f>
        <v>20000</v>
      </c>
      <c r="G19" s="192">
        <f>SUM(O12:O16)</f>
        <v>38000.000000000007</v>
      </c>
      <c r="H19" s="192">
        <f>P18</f>
        <v>58000</v>
      </c>
      <c r="I19" s="167"/>
      <c r="J19" s="100"/>
      <c r="L19" s="103"/>
      <c r="M19" s="163"/>
    </row>
    <row r="21" spans="2:20">
      <c r="G21" s="94"/>
      <c r="H21" s="180" t="s">
        <v>144</v>
      </c>
    </row>
    <row r="22" spans="2:20">
      <c r="F22" s="179"/>
      <c r="H22" s="174" t="s">
        <v>143</v>
      </c>
      <c r="I22" s="178">
        <v>0.01</v>
      </c>
      <c r="L22" s="101"/>
    </row>
    <row r="23" spans="2:20">
      <c r="E23" s="177"/>
      <c r="H23" s="176" t="s">
        <v>142</v>
      </c>
      <c r="I23" s="167">
        <f>MAX(0,10%*(I18-I22))</f>
        <v>0</v>
      </c>
      <c r="J23" s="125" t="str">
        <f>"= max[0, 10% * ("&amp;TEXT(I18,"0.00%")&amp;" - 1.00%)]"</f>
        <v>= max[0, 10% * (-5.80% - 1.00%)]</v>
      </c>
      <c r="L23" s="101"/>
    </row>
    <row r="24" spans="2:20">
      <c r="G24" s="174"/>
      <c r="H24" s="173" t="s">
        <v>141</v>
      </c>
      <c r="I24" s="191">
        <f>I22+I23</f>
        <v>0.01</v>
      </c>
      <c r="L24" s="171"/>
    </row>
    <row r="26" spans="2:20">
      <c r="H26" s="130" t="s">
        <v>140</v>
      </c>
      <c r="I26" s="170">
        <f>D18</f>
        <v>0</v>
      </c>
      <c r="L26" s="163"/>
    </row>
    <row r="27" spans="2:20">
      <c r="H27" s="130" t="s">
        <v>139</v>
      </c>
      <c r="I27" s="169">
        <f>H18</f>
        <v>5.800000000000001E-2</v>
      </c>
    </row>
    <row r="28" spans="2:20">
      <c r="H28" s="130" t="s">
        <v>138</v>
      </c>
      <c r="I28" s="168">
        <f>I24</f>
        <v>0.01</v>
      </c>
      <c r="L28" s="103"/>
    </row>
    <row r="29" spans="2:20">
      <c r="H29" s="130" t="s">
        <v>137</v>
      </c>
      <c r="I29" s="167">
        <f>I18-I24</f>
        <v>-6.7999999999999977E-2</v>
      </c>
      <c r="L29" s="10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EA19-F3E6-4159-B120-3F371A5B46F4}">
  <dimension ref="A1"/>
  <sheetViews>
    <sheetView workbookViewId="0"/>
  </sheetViews>
  <sheetFormatPr defaultRowHeight="15"/>
  <sheetData>
    <row r="1" spans="1:1" s="203" customFormat="1">
      <c r="A1" s="203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6A29-5C8D-4E19-9F8E-795CF44AADF1}">
  <dimension ref="B3:J17"/>
  <sheetViews>
    <sheetView showGridLines="0" workbookViewId="0"/>
  </sheetViews>
  <sheetFormatPr defaultRowHeight="15"/>
  <cols>
    <col min="2" max="2" width="3.7109375" customWidth="1"/>
    <col min="3" max="3" width="22.140625" customWidth="1"/>
  </cols>
  <sheetData>
    <row r="3" spans="2:10">
      <c r="C3" t="s">
        <v>0</v>
      </c>
      <c r="D3">
        <v>150</v>
      </c>
    </row>
    <row r="6" spans="2:10">
      <c r="B6" s="102" t="s">
        <v>90</v>
      </c>
      <c r="C6" s="102"/>
      <c r="D6" s="102"/>
    </row>
    <row r="7" spans="2:10">
      <c r="B7" s="96" t="s">
        <v>89</v>
      </c>
      <c r="C7" s="96"/>
      <c r="D7" s="96"/>
    </row>
    <row r="8" spans="2:10">
      <c r="D8" s="86" t="s">
        <v>83</v>
      </c>
    </row>
    <row r="9" spans="2:10" ht="3" customHeight="1">
      <c r="D9" s="86"/>
    </row>
    <row r="10" spans="2:10">
      <c r="B10" t="s">
        <v>82</v>
      </c>
      <c r="D10" s="84">
        <f>D3*3%</f>
        <v>4.5</v>
      </c>
    </row>
    <row r="11" spans="2:10">
      <c r="B11" t="s">
        <v>81</v>
      </c>
      <c r="D11" s="84">
        <f>-D3*0.8%</f>
        <v>-1.2</v>
      </c>
    </row>
    <row r="12" spans="2:10">
      <c r="B12" t="s">
        <v>80</v>
      </c>
      <c r="C12" s="101"/>
      <c r="D12" s="84">
        <f>0.9%*D3</f>
        <v>1.35</v>
      </c>
      <c r="J12" s="101"/>
    </row>
    <row r="13" spans="2:10" ht="15.75" thickBot="1">
      <c r="B13" t="s">
        <v>79</v>
      </c>
      <c r="D13" s="85">
        <f>-2.5%*D3</f>
        <v>-3.75</v>
      </c>
    </row>
    <row r="14" spans="2:10" ht="15.75" thickTop="1">
      <c r="B14" s="91" t="s">
        <v>88</v>
      </c>
      <c r="C14" s="100"/>
      <c r="D14" s="84">
        <f>SUM(D10:D13)</f>
        <v>0.90000000000000036</v>
      </c>
    </row>
    <row r="17" spans="3:3">
      <c r="C17" s="9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TOC</vt:lpstr>
      <vt:lpstr>Ch2-T2.3, 2.4, 3.3, 3.4</vt:lpstr>
      <vt:lpstr>Ch3-Mortality</vt:lpstr>
      <vt:lpstr>Ch3-Mortality_v2</vt:lpstr>
      <vt:lpstr>Ch3-Mortality_v3</vt:lpstr>
      <vt:lpstr>Ch4-Hedgefund_return</vt:lpstr>
      <vt:lpstr>Ch4-FoF-fees</vt:lpstr>
      <vt:lpstr>arch</vt:lpstr>
      <vt:lpstr>bt 700.1</vt:lpstr>
      <vt:lpstr>bt 700.2</vt:lpstr>
      <vt:lpstr>bt 700.2q</vt:lpstr>
      <vt:lpstr>701-1</vt:lpstr>
      <vt:lpstr>H Q2.15</vt:lpstr>
      <vt:lpstr>701-2</vt:lpstr>
      <vt:lpstr>702.1</vt:lpstr>
      <vt:lpstr>703.1</vt:lpstr>
      <vt:lpstr>704.3</vt:lpstr>
      <vt:lpstr>705.3</vt:lpstr>
      <vt:lpstr>706.1</vt:lpstr>
      <vt:lpstr>Hull 4.17</vt:lpstr>
      <vt:lpstr>Hull T 2.3</vt:lpstr>
      <vt:lpstr>Hull T 2.4</vt:lpstr>
      <vt:lpstr>___INDEX_SHEET___ASAP_Utilities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David's 5810</dc:creator>
  <cp:lastModifiedBy>David's 5810</cp:lastModifiedBy>
  <dcterms:created xsi:type="dcterms:W3CDTF">2016-12-06T16:37:37Z</dcterms:created>
  <dcterms:modified xsi:type="dcterms:W3CDTF">2018-03-01T02:33:35Z</dcterms:modified>
</cp:coreProperties>
</file>