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jpeg" ContentType="image/jpeg"/>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Ex2.xml" ContentType="application/vnd.ms-office.chartex+xml"/>
  <Override PartName="/xl/charts/style3.xml" ContentType="application/vnd.ms-office.chartstyle+xml"/>
  <Override PartName="/xl/charts/colors3.xml" ContentType="application/vnd.ms-office.chartcolorstyle+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2.xml" ContentType="application/vnd.openxmlformats-officedocument.spreadsheetml.pivotTable+xml"/>
  <Override PartName="/xl/pivotTables/pivotTable13.xml" ContentType="application/vnd.openxmlformats-officedocument.spreadsheetml.pivotTable+xml"/>
  <Override PartName="/xl/tables/table1.xml" ContentType="application/vnd.openxmlformats-officedocument.spreadsheetml.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drawings/drawing6.xml" ContentType="application/vnd.openxmlformats-officedocument.drawingml.chartshapes+xml"/>
  <Override PartName="/xl/charts/chartEx3.xml" ContentType="application/vnd.ms-office.chartex+xml"/>
  <Override PartName="/xl/charts/style9.xml" ContentType="application/vnd.ms-office.chartstyle+xml"/>
  <Override PartName="/xl/charts/colors9.xml" ContentType="application/vnd.ms-office.chartcolorstyle+xml"/>
  <Override PartName="/xl/charts/chart7.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7.xml" ContentType="application/vnd.openxmlformats-officedocument.drawing+xml"/>
  <Override PartName="/xl/charts/chart8.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mc:AlternateContent xmlns:mc="http://schemas.openxmlformats.org/markup-compatibility/2006">
    <mc:Choice Requires="x15">
      <x15ac:absPath xmlns:x15ac="http://schemas.microsoft.com/office/spreadsheetml/2010/11/ac" url="https://d.docs.live.net/bec8d2e98b097d86/Desktop/Excel/"/>
    </mc:Choice>
  </mc:AlternateContent>
  <xr:revisionPtr revIDLastSave="21" documentId="8_{ACF16B97-E5CC-42C4-9680-6BD7F0CAA3D0}" xr6:coauthVersionLast="47" xr6:coauthVersionMax="47" xr10:uidLastSave="{BA785779-32A2-48E8-8F67-DA6D6DCED3B3}"/>
  <bookViews>
    <workbookView xWindow="-108" yWindow="-108" windowWidth="23256" windowHeight="12456" activeTab="6" xr2:uid="{B5916147-61D7-4449-B521-B81A85D8ED61}"/>
  </bookViews>
  <sheets>
    <sheet name="Pivot 1 " sheetId="7" r:id="rId1"/>
    <sheet name="Sheet1" sheetId="12" r:id="rId2"/>
    <sheet name="Sheet3" sheetId="10" r:id="rId3"/>
    <sheet name="Top 5 selling and original pric" sheetId="6" r:id="rId4"/>
    <sheet name="Data" sheetId="1" r:id="rId5"/>
    <sheet name="Dashboard" sheetId="8" r:id="rId6"/>
    <sheet name="Leading sales" sheetId="11" r:id="rId7"/>
  </sheets>
  <definedNames>
    <definedName name="_xlchart.v1.0" hidden="1">'Pivot 1 '!$G$10:$G$20</definedName>
    <definedName name="_xlchart.v1.1" hidden="1">'Pivot 1 '!$H$10:$H$20</definedName>
    <definedName name="_xlchart.v1.2" hidden="1">Sheet1!$D$4:$D$61</definedName>
    <definedName name="_xlchart.v1.3" hidden="1">Sheet1!$D$4:$D$61</definedName>
    <definedName name="_xlchart.v1.4" hidden="1">Sheet1!$E$4:$E$61</definedName>
    <definedName name="_xlcn.WorksheetConnection_DataB860O9131" hidden="1">Data!$B$860:$O$913</definedName>
    <definedName name="_xlcn.WorksheetConnection_TV_Final2.xlsxTable41" hidden="1">Table4[]</definedName>
    <definedName name="Slicer_Discount_Rating">#N/A</definedName>
    <definedName name="Slicer_Ratings_Strings">#N/A</definedName>
    <definedName name="Sum_of_Selling_Price" localSheetId="5">'Pivot 1 '!$A$4</definedName>
  </definedNames>
  <calcPr calcId="191028"/>
  <pivotCaches>
    <pivotCache cacheId="0" r:id="rId8"/>
    <pivotCache cacheId="1" r:id="rId9"/>
    <pivotCache cacheId="2" r:id="rId10"/>
    <pivotCache cacheId="3" r:id="rId11"/>
    <pivotCache cacheId="107" r:id="rId12"/>
    <pivotCache cacheId="110" r:id="rId13"/>
    <pivotCache cacheId="113" r:id="rId14"/>
    <pivotCache cacheId="116" r:id="rId15"/>
  </pivotCaches>
  <extLst>
    <ext xmlns:x14="http://schemas.microsoft.com/office/spreadsheetml/2009/9/main" uri="{876F7934-8845-4945-9796-88D515C7AA90}">
      <x14:pivotCaches>
        <pivotCache cacheId="8" r:id="rId16"/>
      </x14:pivotCaches>
    </ext>
    <ext xmlns:x14="http://schemas.microsoft.com/office/spreadsheetml/2009/9/main" uri="{BBE1A952-AA13-448e-AADC-164F8A28A991}">
      <x14:slicerCaches>
        <x14:slicerCache r:id="rId17"/>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TV_Final 2.xlsx!Table4"/>
          <x15:modelTable id="Range" name="Range" connection="WorksheetConnection_Data!$B$860:$O$913"/>
        </x15:modelTables>
      </x15:dataModel>
    </ext>
  </extLst>
</workbook>
</file>

<file path=xl/calcChain.xml><?xml version="1.0" encoding="utf-8"?>
<calcChain xmlns="http://schemas.openxmlformats.org/spreadsheetml/2006/main">
  <c r="C18" i="11" l="1"/>
  <c r="I207" i="8"/>
  <c r="E68" i="7"/>
  <c r="I199" i="8" s="1"/>
  <c r="C23" i="11" a="1"/>
  <c r="C23" i="11"/>
  <c r="C7" i="11"/>
  <c r="I12" i="12"/>
  <c r="E7" i="11" s="1"/>
  <c r="J12" i="12"/>
  <c r="F7" i="11" s="1"/>
  <c r="K12" i="12"/>
  <c r="G7" i="11" s="1"/>
  <c r="L12" i="12"/>
  <c r="H7" i="11" s="1"/>
  <c r="M12" i="12"/>
  <c r="I7" i="11" s="1"/>
  <c r="N12" i="12"/>
  <c r="J7" i="11" s="1"/>
  <c r="O12" i="12"/>
  <c r="K7" i="11" s="1"/>
  <c r="H12" i="12"/>
  <c r="D7" i="11" s="1"/>
  <c r="G14" i="12"/>
  <c r="C9" i="11" s="1"/>
  <c r="H14" i="12"/>
  <c r="D9" i="11" s="1"/>
  <c r="I14" i="12"/>
  <c r="E9" i="11" s="1"/>
  <c r="J14" i="12"/>
  <c r="F9" i="11" s="1"/>
  <c r="K14" i="12"/>
  <c r="G9" i="11" s="1"/>
  <c r="L14" i="12"/>
  <c r="H9" i="11" s="1"/>
  <c r="M14" i="12"/>
  <c r="I9" i="11" s="1"/>
  <c r="N14" i="12"/>
  <c r="J9" i="11" s="1"/>
  <c r="O14" i="12"/>
  <c r="K9" i="11" s="1"/>
  <c r="G15" i="12"/>
  <c r="C10" i="11" s="1"/>
  <c r="H15" i="12"/>
  <c r="D10" i="11" s="1"/>
  <c r="I15" i="12"/>
  <c r="E10" i="11" s="1"/>
  <c r="J15" i="12"/>
  <c r="F10" i="11" s="1"/>
  <c r="K15" i="12"/>
  <c r="G10" i="11" s="1"/>
  <c r="L15" i="12"/>
  <c r="H10" i="11" s="1"/>
  <c r="M15" i="12"/>
  <c r="I10" i="11" s="1"/>
  <c r="N15" i="12"/>
  <c r="J10" i="11" s="1"/>
  <c r="O15" i="12"/>
  <c r="K10" i="11" s="1"/>
  <c r="G16" i="12"/>
  <c r="C11" i="11" s="1"/>
  <c r="H16" i="12"/>
  <c r="D11" i="11" s="1"/>
  <c r="I16" i="12"/>
  <c r="E11" i="11" s="1"/>
  <c r="J16" i="12"/>
  <c r="F11" i="11" s="1"/>
  <c r="K16" i="12"/>
  <c r="G11" i="11" s="1"/>
  <c r="L16" i="12"/>
  <c r="H11" i="11" s="1"/>
  <c r="M16" i="12"/>
  <c r="I11" i="11" s="1"/>
  <c r="N16" i="12"/>
  <c r="J11" i="11" s="1"/>
  <c r="O16" i="12"/>
  <c r="K11" i="11" s="1"/>
  <c r="G17" i="12"/>
  <c r="C12" i="11" s="1"/>
  <c r="H17" i="12"/>
  <c r="D12" i="11" s="1"/>
  <c r="I17" i="12"/>
  <c r="E12" i="11" s="1"/>
  <c r="J17" i="12"/>
  <c r="F12" i="11" s="1"/>
  <c r="K17" i="12"/>
  <c r="G12" i="11" s="1"/>
  <c r="L17" i="12"/>
  <c r="H12" i="11" s="1"/>
  <c r="M17" i="12"/>
  <c r="I12" i="11" s="1"/>
  <c r="N17" i="12"/>
  <c r="J12" i="11" s="1"/>
  <c r="O17" i="12"/>
  <c r="K12" i="11" s="1"/>
  <c r="G18" i="12"/>
  <c r="C13" i="11" s="1"/>
  <c r="H18" i="12"/>
  <c r="D13" i="11" s="1"/>
  <c r="I18" i="12"/>
  <c r="E13" i="11" s="1"/>
  <c r="J18" i="12"/>
  <c r="F13" i="11" s="1"/>
  <c r="K18" i="12"/>
  <c r="G13" i="11" s="1"/>
  <c r="L18" i="12"/>
  <c r="H13" i="11" s="1"/>
  <c r="M18" i="12"/>
  <c r="I13" i="11" s="1"/>
  <c r="N18" i="12"/>
  <c r="J13" i="11" s="1"/>
  <c r="O18" i="12"/>
  <c r="K13" i="11" s="1"/>
  <c r="H13" i="12"/>
  <c r="D8" i="11" s="1"/>
  <c r="I13" i="12"/>
  <c r="E8" i="11" s="1"/>
  <c r="J13" i="12"/>
  <c r="F8" i="11" s="1"/>
  <c r="K13" i="12"/>
  <c r="G8" i="11" s="1"/>
  <c r="L13" i="12"/>
  <c r="H8" i="11" s="1"/>
  <c r="M13" i="12"/>
  <c r="I8" i="11" s="1"/>
  <c r="N13" i="12"/>
  <c r="J8" i="11" s="1"/>
  <c r="O13" i="12"/>
  <c r="K8" i="11" s="1"/>
  <c r="G13" i="12"/>
  <c r="C8" i="11" s="1"/>
  <c r="K2" i="1"/>
  <c r="J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E66" i="7"/>
  <c r="K197" i="8"/>
  <c r="J197" i="8"/>
  <c r="I197" i="8"/>
  <c r="K196" i="8"/>
  <c r="J196" i="8"/>
  <c r="I196" i="8"/>
  <c r="K195" i="8"/>
  <c r="J195" i="8"/>
  <c r="I195" i="8"/>
  <c r="K194" i="8"/>
  <c r="J194" i="8"/>
  <c r="I194" i="8"/>
  <c r="K193" i="8"/>
  <c r="J193" i="8"/>
  <c r="I193" i="8"/>
  <c r="K192" i="8"/>
  <c r="J192" i="8"/>
  <c r="I192" i="8"/>
  <c r="K191" i="8"/>
  <c r="J191" i="8"/>
  <c r="I191" i="8"/>
  <c r="K190" i="8"/>
  <c r="J190" i="8"/>
  <c r="I190" i="8"/>
  <c r="K189" i="8"/>
  <c r="J189" i="8"/>
  <c r="I189" i="8"/>
  <c r="K188" i="8"/>
  <c r="J188" i="8"/>
  <c r="I188" i="8"/>
  <c r="K187" i="8"/>
  <c r="J187" i="8"/>
  <c r="I187" i="8"/>
  <c r="K186" i="8"/>
  <c r="J186" i="8"/>
  <c r="I186" i="8"/>
  <c r="K185" i="8"/>
  <c r="J185" i="8"/>
  <c r="I185" i="8"/>
  <c r="K184" i="8"/>
  <c r="J184" i="8"/>
  <c r="I184" i="8"/>
  <c r="K183" i="8"/>
  <c r="J183" i="8"/>
  <c r="I183" i="8"/>
  <c r="K182" i="8"/>
  <c r="J182" i="8"/>
  <c r="I182" i="8"/>
  <c r="K23" i="8"/>
  <c r="K22" i="8"/>
  <c r="K21" i="8"/>
  <c r="K20" i="8"/>
  <c r="K19" i="8"/>
  <c r="K18" i="8"/>
  <c r="K17" i="8"/>
  <c r="K16" i="8"/>
  <c r="K15" i="8"/>
  <c r="K14" i="8"/>
  <c r="K13" i="8"/>
  <c r="F11" i="6" a="1"/>
  <c r="F4" i="6" a="1"/>
  <c r="F27" i="10"/>
  <c r="E27" i="10"/>
  <c r="D27" i="10"/>
  <c r="C27" i="10"/>
  <c r="B27" i="10"/>
  <c r="A27" i="10"/>
  <c r="F26" i="10"/>
  <c r="E26" i="10"/>
  <c r="D26" i="10"/>
  <c r="C26" i="10"/>
  <c r="B26" i="10"/>
  <c r="A26" i="10"/>
  <c r="F25" i="10"/>
  <c r="E25" i="10"/>
  <c r="D25" i="10"/>
  <c r="C25" i="10"/>
  <c r="B25" i="10"/>
  <c r="A25" i="10"/>
  <c r="F24" i="10"/>
  <c r="E24" i="10"/>
  <c r="D24" i="10"/>
  <c r="C24" i="10"/>
  <c r="B24" i="10"/>
  <c r="A24" i="10"/>
  <c r="F23" i="10"/>
  <c r="E23" i="10"/>
  <c r="D23" i="10"/>
  <c r="C23" i="10"/>
  <c r="B23" i="10"/>
  <c r="A23" i="10"/>
  <c r="F22" i="10"/>
  <c r="E22" i="10"/>
  <c r="D22" i="10"/>
  <c r="C22" i="10"/>
  <c r="B22" i="10"/>
  <c r="A22" i="10"/>
  <c r="F21" i="10"/>
  <c r="E21" i="10"/>
  <c r="D21" i="10"/>
  <c r="C21" i="10"/>
  <c r="B21" i="10"/>
  <c r="A21" i="10"/>
  <c r="F20" i="10"/>
  <c r="E20" i="10"/>
  <c r="D20" i="10"/>
  <c r="C20" i="10"/>
  <c r="B20" i="10"/>
  <c r="A20" i="10"/>
  <c r="F19" i="10"/>
  <c r="E19" i="10"/>
  <c r="D19" i="10"/>
  <c r="C19" i="10"/>
  <c r="B19" i="10"/>
  <c r="A19" i="10"/>
  <c r="F18" i="10"/>
  <c r="E18" i="10"/>
  <c r="D18" i="10"/>
  <c r="C18" i="10"/>
  <c r="B18" i="10"/>
  <c r="A18" i="10"/>
  <c r="F17" i="10"/>
  <c r="E17" i="10"/>
  <c r="D17" i="10"/>
  <c r="C17" i="10"/>
  <c r="B17" i="10"/>
  <c r="A17" i="10"/>
  <c r="M913" i="1"/>
  <c r="L913" i="1"/>
  <c r="I913" i="1"/>
  <c r="B913" i="1"/>
  <c r="M912" i="1"/>
  <c r="L912" i="1"/>
  <c r="I912" i="1"/>
  <c r="B912" i="1"/>
  <c r="M911" i="1"/>
  <c r="L911" i="1"/>
  <c r="I911" i="1"/>
  <c r="B911" i="1"/>
  <c r="M910" i="1"/>
  <c r="L910" i="1"/>
  <c r="I910" i="1"/>
  <c r="B910" i="1"/>
  <c r="M909" i="1"/>
  <c r="L909" i="1"/>
  <c r="I909" i="1"/>
  <c r="B909" i="1"/>
  <c r="M908" i="1"/>
  <c r="L908" i="1"/>
  <c r="I908" i="1"/>
  <c r="B908" i="1"/>
  <c r="M907" i="1"/>
  <c r="L907" i="1"/>
  <c r="I907" i="1"/>
  <c r="B907" i="1"/>
  <c r="M906" i="1"/>
  <c r="L906" i="1"/>
  <c r="I906" i="1"/>
  <c r="B906" i="1"/>
  <c r="M905" i="1"/>
  <c r="L905" i="1"/>
  <c r="I905" i="1"/>
  <c r="B905" i="1"/>
  <c r="M904" i="1"/>
  <c r="L904" i="1"/>
  <c r="I904" i="1"/>
  <c r="B904" i="1"/>
  <c r="M903" i="1"/>
  <c r="L903" i="1"/>
  <c r="I903" i="1"/>
  <c r="B903" i="1"/>
  <c r="M902" i="1"/>
  <c r="L902" i="1"/>
  <c r="I902" i="1"/>
  <c r="B902" i="1"/>
  <c r="M901" i="1"/>
  <c r="L901" i="1"/>
  <c r="I901" i="1"/>
  <c r="B901" i="1"/>
  <c r="M900" i="1"/>
  <c r="L900" i="1"/>
  <c r="I900" i="1"/>
  <c r="B900" i="1"/>
  <c r="M899" i="1"/>
  <c r="L899" i="1"/>
  <c r="I899" i="1"/>
  <c r="B899" i="1"/>
  <c r="M898" i="1"/>
  <c r="L898" i="1"/>
  <c r="I898" i="1"/>
  <c r="B898" i="1"/>
  <c r="M897" i="1"/>
  <c r="L897" i="1"/>
  <c r="I897" i="1"/>
  <c r="B897" i="1"/>
  <c r="M896" i="1"/>
  <c r="L896" i="1"/>
  <c r="I896" i="1"/>
  <c r="B896" i="1"/>
  <c r="M895" i="1"/>
  <c r="L895" i="1"/>
  <c r="I895" i="1"/>
  <c r="B895" i="1"/>
  <c r="M894" i="1"/>
  <c r="L894" i="1"/>
  <c r="I894" i="1"/>
  <c r="B894" i="1"/>
  <c r="M893" i="1"/>
  <c r="L893" i="1"/>
  <c r="I893" i="1"/>
  <c r="B893" i="1"/>
  <c r="M892" i="1"/>
  <c r="L892" i="1"/>
  <c r="I892" i="1"/>
  <c r="B892" i="1"/>
  <c r="M891" i="1"/>
  <c r="L891" i="1"/>
  <c r="I891" i="1"/>
  <c r="B891" i="1"/>
  <c r="M890" i="1"/>
  <c r="L890" i="1"/>
  <c r="I890" i="1"/>
  <c r="B890" i="1"/>
  <c r="M889" i="1"/>
  <c r="L889" i="1"/>
  <c r="I889" i="1"/>
  <c r="B889" i="1"/>
  <c r="M888" i="1"/>
  <c r="L888" i="1"/>
  <c r="I888" i="1"/>
  <c r="B888" i="1"/>
  <c r="M887" i="1"/>
  <c r="L887" i="1"/>
  <c r="I887" i="1"/>
  <c r="B887" i="1"/>
  <c r="M886" i="1"/>
  <c r="L886" i="1"/>
  <c r="I886" i="1"/>
  <c r="B886" i="1"/>
  <c r="M885" i="1"/>
  <c r="L885" i="1"/>
  <c r="I885" i="1"/>
  <c r="B885" i="1"/>
  <c r="M884" i="1"/>
  <c r="L884" i="1"/>
  <c r="I884" i="1"/>
  <c r="B884" i="1"/>
  <c r="M883" i="1"/>
  <c r="L883" i="1"/>
  <c r="I883" i="1"/>
  <c r="B883" i="1"/>
  <c r="M882" i="1"/>
  <c r="L882" i="1"/>
  <c r="I882" i="1"/>
  <c r="B882" i="1"/>
  <c r="M881" i="1"/>
  <c r="L881" i="1"/>
  <c r="I881" i="1"/>
  <c r="B881" i="1"/>
  <c r="M880" i="1"/>
  <c r="L880" i="1"/>
  <c r="I880" i="1"/>
  <c r="B880" i="1"/>
  <c r="M879" i="1"/>
  <c r="L879" i="1"/>
  <c r="I879" i="1"/>
  <c r="B879" i="1"/>
  <c r="M878" i="1"/>
  <c r="L878" i="1"/>
  <c r="I878" i="1"/>
  <c r="B878" i="1"/>
  <c r="M877" i="1"/>
  <c r="L877" i="1"/>
  <c r="I877" i="1"/>
  <c r="B877" i="1"/>
  <c r="M876" i="1"/>
  <c r="L876" i="1"/>
  <c r="I876" i="1"/>
  <c r="B876" i="1"/>
  <c r="M875" i="1"/>
  <c r="L875" i="1"/>
  <c r="I875" i="1"/>
  <c r="B875" i="1"/>
  <c r="M874" i="1"/>
  <c r="L874" i="1"/>
  <c r="I874" i="1"/>
  <c r="B874" i="1"/>
  <c r="M873" i="1"/>
  <c r="L873" i="1"/>
  <c r="I873" i="1"/>
  <c r="B873" i="1"/>
  <c r="M872" i="1"/>
  <c r="L872" i="1"/>
  <c r="I872" i="1"/>
  <c r="B872" i="1"/>
  <c r="M871" i="1"/>
  <c r="L871" i="1"/>
  <c r="I871" i="1"/>
  <c r="B871" i="1"/>
  <c r="M870" i="1"/>
  <c r="L870" i="1"/>
  <c r="I870" i="1"/>
  <c r="B870" i="1"/>
  <c r="M869" i="1"/>
  <c r="L869" i="1"/>
  <c r="I869" i="1"/>
  <c r="B869" i="1"/>
  <c r="M868" i="1"/>
  <c r="L868" i="1"/>
  <c r="I868" i="1"/>
  <c r="B868" i="1"/>
  <c r="M867" i="1"/>
  <c r="L867" i="1"/>
  <c r="I867" i="1"/>
  <c r="B867" i="1"/>
  <c r="M866" i="1"/>
  <c r="L866" i="1"/>
  <c r="I866" i="1"/>
  <c r="B866" i="1"/>
  <c r="M865" i="1"/>
  <c r="L865" i="1"/>
  <c r="I865" i="1"/>
  <c r="B865" i="1"/>
  <c r="M864" i="1"/>
  <c r="L864" i="1"/>
  <c r="I864" i="1"/>
  <c r="B864" i="1"/>
  <c r="M863" i="1"/>
  <c r="L863" i="1"/>
  <c r="I863" i="1"/>
  <c r="B863" i="1"/>
  <c r="M862" i="1"/>
  <c r="L862" i="1"/>
  <c r="I862" i="1"/>
  <c r="B862" i="1"/>
  <c r="M861" i="1"/>
  <c r="L861" i="1"/>
  <c r="I861" i="1"/>
  <c r="B861" i="1"/>
  <c r="M860" i="1"/>
  <c r="L860" i="1"/>
  <c r="I860" i="1"/>
  <c r="B860" i="1"/>
  <c r="M859" i="1"/>
  <c r="L859" i="1"/>
  <c r="I859" i="1"/>
  <c r="B859" i="1"/>
  <c r="M858" i="1"/>
  <c r="L858" i="1"/>
  <c r="I858" i="1"/>
  <c r="B858" i="1"/>
  <c r="M857" i="1"/>
  <c r="L857" i="1"/>
  <c r="I857" i="1"/>
  <c r="B857" i="1"/>
  <c r="M856" i="1"/>
  <c r="L856" i="1"/>
  <c r="I856" i="1"/>
  <c r="B856" i="1"/>
  <c r="M855" i="1"/>
  <c r="L855" i="1"/>
  <c r="I855" i="1"/>
  <c r="B855" i="1"/>
  <c r="M854" i="1"/>
  <c r="L854" i="1"/>
  <c r="I854" i="1"/>
  <c r="B854" i="1"/>
  <c r="M853" i="1"/>
  <c r="L853" i="1"/>
  <c r="I853" i="1"/>
  <c r="B853" i="1"/>
  <c r="M852" i="1"/>
  <c r="L852" i="1"/>
  <c r="I852" i="1"/>
  <c r="B852" i="1"/>
  <c r="M851" i="1"/>
  <c r="L851" i="1"/>
  <c r="I851" i="1"/>
  <c r="B851" i="1"/>
  <c r="M850" i="1"/>
  <c r="L850" i="1"/>
  <c r="I850" i="1"/>
  <c r="B850" i="1"/>
  <c r="M849" i="1"/>
  <c r="L849" i="1"/>
  <c r="I849" i="1"/>
  <c r="B849" i="1"/>
  <c r="M848" i="1"/>
  <c r="L848" i="1"/>
  <c r="I848" i="1"/>
  <c r="B848" i="1"/>
  <c r="M847" i="1"/>
  <c r="L847" i="1"/>
  <c r="I847" i="1"/>
  <c r="B847" i="1"/>
  <c r="M846" i="1"/>
  <c r="L846" i="1"/>
  <c r="I846" i="1"/>
  <c r="B846" i="1"/>
  <c r="M845" i="1"/>
  <c r="L845" i="1"/>
  <c r="I845" i="1"/>
  <c r="B845" i="1"/>
  <c r="M844" i="1"/>
  <c r="L844" i="1"/>
  <c r="I844" i="1"/>
  <c r="B844" i="1"/>
  <c r="M843" i="1"/>
  <c r="L843" i="1"/>
  <c r="I843" i="1"/>
  <c r="B843" i="1"/>
  <c r="M842" i="1"/>
  <c r="L842" i="1"/>
  <c r="I842" i="1"/>
  <c r="B842" i="1"/>
  <c r="M841" i="1"/>
  <c r="L841" i="1"/>
  <c r="I841" i="1"/>
  <c r="B841" i="1"/>
  <c r="M840" i="1"/>
  <c r="L840" i="1"/>
  <c r="I840" i="1"/>
  <c r="B840" i="1"/>
  <c r="M839" i="1"/>
  <c r="L839" i="1"/>
  <c r="I839" i="1"/>
  <c r="B839" i="1"/>
  <c r="M838" i="1"/>
  <c r="L838" i="1"/>
  <c r="I838" i="1"/>
  <c r="B838" i="1"/>
  <c r="M837" i="1"/>
  <c r="L837" i="1"/>
  <c r="I837" i="1"/>
  <c r="B837" i="1"/>
  <c r="M836" i="1"/>
  <c r="L836" i="1"/>
  <c r="I836" i="1"/>
  <c r="B836" i="1"/>
  <c r="M835" i="1"/>
  <c r="L835" i="1"/>
  <c r="I835" i="1"/>
  <c r="B835" i="1"/>
  <c r="M834" i="1"/>
  <c r="L834" i="1"/>
  <c r="I834" i="1"/>
  <c r="B834" i="1"/>
  <c r="M833" i="1"/>
  <c r="L833" i="1"/>
  <c r="I833" i="1"/>
  <c r="B833" i="1"/>
  <c r="M832" i="1"/>
  <c r="L832" i="1"/>
  <c r="I832" i="1"/>
  <c r="B832" i="1"/>
  <c r="M831" i="1"/>
  <c r="L831" i="1"/>
  <c r="I831" i="1"/>
  <c r="B831" i="1"/>
  <c r="M830" i="1"/>
  <c r="L830" i="1"/>
  <c r="I830" i="1"/>
  <c r="B830" i="1"/>
  <c r="M829" i="1"/>
  <c r="L829" i="1"/>
  <c r="I829" i="1"/>
  <c r="B829" i="1"/>
  <c r="M828" i="1"/>
  <c r="L828" i="1"/>
  <c r="I828" i="1"/>
  <c r="B828" i="1"/>
  <c r="M827" i="1"/>
  <c r="L827" i="1"/>
  <c r="I827" i="1"/>
  <c r="B827" i="1"/>
  <c r="M826" i="1"/>
  <c r="L826" i="1"/>
  <c r="I826" i="1"/>
  <c r="B826" i="1"/>
  <c r="M825" i="1"/>
  <c r="L825" i="1"/>
  <c r="I825" i="1"/>
  <c r="B825" i="1"/>
  <c r="M824" i="1"/>
  <c r="L824" i="1"/>
  <c r="I824" i="1"/>
  <c r="B824" i="1"/>
  <c r="M823" i="1"/>
  <c r="L823" i="1"/>
  <c r="I823" i="1"/>
  <c r="B823" i="1"/>
  <c r="M822" i="1"/>
  <c r="L822" i="1"/>
  <c r="I822" i="1"/>
  <c r="B822" i="1"/>
  <c r="M821" i="1"/>
  <c r="L821" i="1"/>
  <c r="I821" i="1"/>
  <c r="B821" i="1"/>
  <c r="M820" i="1"/>
  <c r="L820" i="1"/>
  <c r="I820" i="1"/>
  <c r="B820" i="1"/>
  <c r="M819" i="1"/>
  <c r="L819" i="1"/>
  <c r="I819" i="1"/>
  <c r="B819" i="1"/>
  <c r="M818" i="1"/>
  <c r="L818" i="1"/>
  <c r="I818" i="1"/>
  <c r="B818" i="1"/>
  <c r="M817" i="1"/>
  <c r="L817" i="1"/>
  <c r="I817" i="1"/>
  <c r="B817" i="1"/>
  <c r="M816" i="1"/>
  <c r="L816" i="1"/>
  <c r="I816" i="1"/>
  <c r="B816" i="1"/>
  <c r="M815" i="1"/>
  <c r="L815" i="1"/>
  <c r="I815" i="1"/>
  <c r="B815" i="1"/>
  <c r="M814" i="1"/>
  <c r="L814" i="1"/>
  <c r="I814" i="1"/>
  <c r="B814" i="1"/>
  <c r="M813" i="1"/>
  <c r="L813" i="1"/>
  <c r="I813" i="1"/>
  <c r="B813" i="1"/>
  <c r="M812" i="1"/>
  <c r="L812" i="1"/>
  <c r="I812" i="1"/>
  <c r="B812" i="1"/>
  <c r="M811" i="1"/>
  <c r="L811" i="1"/>
  <c r="I811" i="1"/>
  <c r="B811" i="1"/>
  <c r="M810" i="1"/>
  <c r="L810" i="1"/>
  <c r="I810" i="1"/>
  <c r="B810" i="1"/>
  <c r="M809" i="1"/>
  <c r="L809" i="1"/>
  <c r="I809" i="1"/>
  <c r="B809" i="1"/>
  <c r="M808" i="1"/>
  <c r="L808" i="1"/>
  <c r="I808" i="1"/>
  <c r="B808" i="1"/>
  <c r="M807" i="1"/>
  <c r="L807" i="1"/>
  <c r="I807" i="1"/>
  <c r="B807" i="1"/>
  <c r="M806" i="1"/>
  <c r="L806" i="1"/>
  <c r="I806" i="1"/>
  <c r="B806" i="1"/>
  <c r="M805" i="1"/>
  <c r="L805" i="1"/>
  <c r="I805" i="1"/>
  <c r="B805" i="1"/>
  <c r="M804" i="1"/>
  <c r="L804" i="1"/>
  <c r="I804" i="1"/>
  <c r="B804" i="1"/>
  <c r="M803" i="1"/>
  <c r="L803" i="1"/>
  <c r="I803" i="1"/>
  <c r="B803" i="1"/>
  <c r="M802" i="1"/>
  <c r="L802" i="1"/>
  <c r="I802" i="1"/>
  <c r="B802" i="1"/>
  <c r="M801" i="1"/>
  <c r="L801" i="1"/>
  <c r="I801" i="1"/>
  <c r="B801" i="1"/>
  <c r="M800" i="1"/>
  <c r="L800" i="1"/>
  <c r="I800" i="1"/>
  <c r="B800" i="1"/>
  <c r="M799" i="1"/>
  <c r="L799" i="1"/>
  <c r="I799" i="1"/>
  <c r="B799" i="1"/>
  <c r="M798" i="1"/>
  <c r="L798" i="1"/>
  <c r="I798" i="1"/>
  <c r="B798" i="1"/>
  <c r="M797" i="1"/>
  <c r="L797" i="1"/>
  <c r="I797" i="1"/>
  <c r="B797" i="1"/>
  <c r="M796" i="1"/>
  <c r="L796" i="1"/>
  <c r="I796" i="1"/>
  <c r="B796" i="1"/>
  <c r="M795" i="1"/>
  <c r="L795" i="1"/>
  <c r="I795" i="1"/>
  <c r="B795" i="1"/>
  <c r="M794" i="1"/>
  <c r="L794" i="1"/>
  <c r="I794" i="1"/>
  <c r="B794" i="1"/>
  <c r="M793" i="1"/>
  <c r="L793" i="1"/>
  <c r="I793" i="1"/>
  <c r="B793" i="1"/>
  <c r="M792" i="1"/>
  <c r="L792" i="1"/>
  <c r="I792" i="1"/>
  <c r="B792" i="1"/>
  <c r="M791" i="1"/>
  <c r="L791" i="1"/>
  <c r="I791" i="1"/>
  <c r="B791" i="1"/>
  <c r="M790" i="1"/>
  <c r="L790" i="1"/>
  <c r="I790" i="1"/>
  <c r="B790" i="1"/>
  <c r="M789" i="1"/>
  <c r="L789" i="1"/>
  <c r="I789" i="1"/>
  <c r="B789" i="1"/>
  <c r="M788" i="1"/>
  <c r="L788" i="1"/>
  <c r="I788" i="1"/>
  <c r="B788" i="1"/>
  <c r="M787" i="1"/>
  <c r="L787" i="1"/>
  <c r="I787" i="1"/>
  <c r="B787" i="1"/>
  <c r="M786" i="1"/>
  <c r="L786" i="1"/>
  <c r="I786" i="1"/>
  <c r="B786" i="1"/>
  <c r="M785" i="1"/>
  <c r="L785" i="1"/>
  <c r="I785" i="1"/>
  <c r="B785" i="1"/>
  <c r="M784" i="1"/>
  <c r="L784" i="1"/>
  <c r="I784" i="1"/>
  <c r="B784" i="1"/>
  <c r="M783" i="1"/>
  <c r="L783" i="1"/>
  <c r="I783" i="1"/>
  <c r="B783" i="1"/>
  <c r="M782" i="1"/>
  <c r="L782" i="1"/>
  <c r="I782" i="1"/>
  <c r="B782" i="1"/>
  <c r="M781" i="1"/>
  <c r="L781" i="1"/>
  <c r="I781" i="1"/>
  <c r="B781" i="1"/>
  <c r="M780" i="1"/>
  <c r="L780" i="1"/>
  <c r="I780" i="1"/>
  <c r="B780" i="1"/>
  <c r="M779" i="1"/>
  <c r="L779" i="1"/>
  <c r="I779" i="1"/>
  <c r="B779" i="1"/>
  <c r="M778" i="1"/>
  <c r="L778" i="1"/>
  <c r="I778" i="1"/>
  <c r="B778" i="1"/>
  <c r="M777" i="1"/>
  <c r="L777" i="1"/>
  <c r="I777" i="1"/>
  <c r="B777" i="1"/>
  <c r="M776" i="1"/>
  <c r="L776" i="1"/>
  <c r="I776" i="1"/>
  <c r="B776" i="1"/>
  <c r="M775" i="1"/>
  <c r="L775" i="1"/>
  <c r="I775" i="1"/>
  <c r="B775" i="1"/>
  <c r="M774" i="1"/>
  <c r="L774" i="1"/>
  <c r="I774" i="1"/>
  <c r="B774" i="1"/>
  <c r="M773" i="1"/>
  <c r="L773" i="1"/>
  <c r="I773" i="1"/>
  <c r="B773" i="1"/>
  <c r="M772" i="1"/>
  <c r="L772" i="1"/>
  <c r="I772" i="1"/>
  <c r="B772" i="1"/>
  <c r="M771" i="1"/>
  <c r="L771" i="1"/>
  <c r="I771" i="1"/>
  <c r="B771" i="1"/>
  <c r="M770" i="1"/>
  <c r="L770" i="1"/>
  <c r="I770" i="1"/>
  <c r="B770" i="1"/>
  <c r="M769" i="1"/>
  <c r="L769" i="1"/>
  <c r="I769" i="1"/>
  <c r="B769" i="1"/>
  <c r="M768" i="1"/>
  <c r="L768" i="1"/>
  <c r="I768" i="1"/>
  <c r="B768" i="1"/>
  <c r="M767" i="1"/>
  <c r="L767" i="1"/>
  <c r="I767" i="1"/>
  <c r="B767" i="1"/>
  <c r="M766" i="1"/>
  <c r="L766" i="1"/>
  <c r="I766" i="1"/>
  <c r="B766" i="1"/>
  <c r="M765" i="1"/>
  <c r="L765" i="1"/>
  <c r="I765" i="1"/>
  <c r="B765" i="1"/>
  <c r="M764" i="1"/>
  <c r="L764" i="1"/>
  <c r="I764" i="1"/>
  <c r="B764" i="1"/>
  <c r="M763" i="1"/>
  <c r="L763" i="1"/>
  <c r="I763" i="1"/>
  <c r="B763" i="1"/>
  <c r="M762" i="1"/>
  <c r="L762" i="1"/>
  <c r="I762" i="1"/>
  <c r="B762" i="1"/>
  <c r="M761" i="1"/>
  <c r="L761" i="1"/>
  <c r="I761" i="1"/>
  <c r="B761" i="1"/>
  <c r="M760" i="1"/>
  <c r="L760" i="1"/>
  <c r="I760" i="1"/>
  <c r="B760" i="1"/>
  <c r="M759" i="1"/>
  <c r="L759" i="1"/>
  <c r="I759" i="1"/>
  <c r="B759" i="1"/>
  <c r="M758" i="1"/>
  <c r="L758" i="1"/>
  <c r="I758" i="1"/>
  <c r="B758" i="1"/>
  <c r="M757" i="1"/>
  <c r="L757" i="1"/>
  <c r="I757" i="1"/>
  <c r="B757" i="1"/>
  <c r="M756" i="1"/>
  <c r="L756" i="1"/>
  <c r="I756" i="1"/>
  <c r="B756" i="1"/>
  <c r="M755" i="1"/>
  <c r="L755" i="1"/>
  <c r="I755" i="1"/>
  <c r="B755" i="1"/>
  <c r="M754" i="1"/>
  <c r="L754" i="1"/>
  <c r="I754" i="1"/>
  <c r="B754" i="1"/>
  <c r="M753" i="1"/>
  <c r="L753" i="1"/>
  <c r="I753" i="1"/>
  <c r="B753" i="1"/>
  <c r="M752" i="1"/>
  <c r="L752" i="1"/>
  <c r="I752" i="1"/>
  <c r="B752" i="1"/>
  <c r="M751" i="1"/>
  <c r="L751" i="1"/>
  <c r="I751" i="1"/>
  <c r="B751" i="1"/>
  <c r="M750" i="1"/>
  <c r="L750" i="1"/>
  <c r="I750" i="1"/>
  <c r="B750" i="1"/>
  <c r="M749" i="1"/>
  <c r="L749" i="1"/>
  <c r="I749" i="1"/>
  <c r="B749" i="1"/>
  <c r="M748" i="1"/>
  <c r="L748" i="1"/>
  <c r="I748" i="1"/>
  <c r="B748" i="1"/>
  <c r="M747" i="1"/>
  <c r="L747" i="1"/>
  <c r="I747" i="1"/>
  <c r="B747" i="1"/>
  <c r="M746" i="1"/>
  <c r="L746" i="1"/>
  <c r="I746" i="1"/>
  <c r="B746" i="1"/>
  <c r="M745" i="1"/>
  <c r="L745" i="1"/>
  <c r="I745" i="1"/>
  <c r="B745" i="1"/>
  <c r="M744" i="1"/>
  <c r="L744" i="1"/>
  <c r="I744" i="1"/>
  <c r="B744" i="1"/>
  <c r="M743" i="1"/>
  <c r="L743" i="1"/>
  <c r="I743" i="1"/>
  <c r="B743" i="1"/>
  <c r="M742" i="1"/>
  <c r="L742" i="1"/>
  <c r="I742" i="1"/>
  <c r="B742" i="1"/>
  <c r="M741" i="1"/>
  <c r="L741" i="1"/>
  <c r="I741" i="1"/>
  <c r="B741" i="1"/>
  <c r="M740" i="1"/>
  <c r="L740" i="1"/>
  <c r="I740" i="1"/>
  <c r="B740" i="1"/>
  <c r="M739" i="1"/>
  <c r="L739" i="1"/>
  <c r="I739" i="1"/>
  <c r="B739" i="1"/>
  <c r="M738" i="1"/>
  <c r="L738" i="1"/>
  <c r="I738" i="1"/>
  <c r="B738" i="1"/>
  <c r="M737" i="1"/>
  <c r="L737" i="1"/>
  <c r="I737" i="1"/>
  <c r="B737" i="1"/>
  <c r="M736" i="1"/>
  <c r="L736" i="1"/>
  <c r="I736" i="1"/>
  <c r="B736" i="1"/>
  <c r="M735" i="1"/>
  <c r="L735" i="1"/>
  <c r="I735" i="1"/>
  <c r="B735" i="1"/>
  <c r="M734" i="1"/>
  <c r="L734" i="1"/>
  <c r="I734" i="1"/>
  <c r="B734" i="1"/>
  <c r="M733" i="1"/>
  <c r="L733" i="1"/>
  <c r="I733" i="1"/>
  <c r="B733" i="1"/>
  <c r="M732" i="1"/>
  <c r="L732" i="1"/>
  <c r="I732" i="1"/>
  <c r="B732" i="1"/>
  <c r="M731" i="1"/>
  <c r="L731" i="1"/>
  <c r="I731" i="1"/>
  <c r="B731" i="1"/>
  <c r="M730" i="1"/>
  <c r="L730" i="1"/>
  <c r="I730" i="1"/>
  <c r="B730" i="1"/>
  <c r="M729" i="1"/>
  <c r="L729" i="1"/>
  <c r="I729" i="1"/>
  <c r="B729" i="1"/>
  <c r="M728" i="1"/>
  <c r="L728" i="1"/>
  <c r="I728" i="1"/>
  <c r="B728" i="1"/>
  <c r="M727" i="1"/>
  <c r="L727" i="1"/>
  <c r="I727" i="1"/>
  <c r="B727" i="1"/>
  <c r="M726" i="1"/>
  <c r="L726" i="1"/>
  <c r="I726" i="1"/>
  <c r="B726" i="1"/>
  <c r="M725" i="1"/>
  <c r="L725" i="1"/>
  <c r="I725" i="1"/>
  <c r="B725" i="1"/>
  <c r="M724" i="1"/>
  <c r="L724" i="1"/>
  <c r="I724" i="1"/>
  <c r="B724" i="1"/>
  <c r="M723" i="1"/>
  <c r="L723" i="1"/>
  <c r="I723" i="1"/>
  <c r="B723" i="1"/>
  <c r="M722" i="1"/>
  <c r="L722" i="1"/>
  <c r="I722" i="1"/>
  <c r="B722" i="1"/>
  <c r="M721" i="1"/>
  <c r="L721" i="1"/>
  <c r="I721" i="1"/>
  <c r="B721" i="1"/>
  <c r="M720" i="1"/>
  <c r="L720" i="1"/>
  <c r="I720" i="1"/>
  <c r="B720" i="1"/>
  <c r="M719" i="1"/>
  <c r="L719" i="1"/>
  <c r="I719" i="1"/>
  <c r="B719" i="1"/>
  <c r="M718" i="1"/>
  <c r="L718" i="1"/>
  <c r="I718" i="1"/>
  <c r="B718" i="1"/>
  <c r="M717" i="1"/>
  <c r="L717" i="1"/>
  <c r="I717" i="1"/>
  <c r="B717" i="1"/>
  <c r="M716" i="1"/>
  <c r="L716" i="1"/>
  <c r="I716" i="1"/>
  <c r="B716" i="1"/>
  <c r="M715" i="1"/>
  <c r="L715" i="1"/>
  <c r="I715" i="1"/>
  <c r="B715" i="1"/>
  <c r="M714" i="1"/>
  <c r="L714" i="1"/>
  <c r="I714" i="1"/>
  <c r="B714" i="1"/>
  <c r="M713" i="1"/>
  <c r="L713" i="1"/>
  <c r="I713" i="1"/>
  <c r="B713" i="1"/>
  <c r="M712" i="1"/>
  <c r="L712" i="1"/>
  <c r="I712" i="1"/>
  <c r="B712" i="1"/>
  <c r="M711" i="1"/>
  <c r="L711" i="1"/>
  <c r="I711" i="1"/>
  <c r="B711" i="1"/>
  <c r="M710" i="1"/>
  <c r="L710" i="1"/>
  <c r="I710" i="1"/>
  <c r="B710" i="1"/>
  <c r="M709" i="1"/>
  <c r="L709" i="1"/>
  <c r="I709" i="1"/>
  <c r="B709" i="1"/>
  <c r="M708" i="1"/>
  <c r="L708" i="1"/>
  <c r="I708" i="1"/>
  <c r="B708" i="1"/>
  <c r="M707" i="1"/>
  <c r="L707" i="1"/>
  <c r="I707" i="1"/>
  <c r="B707" i="1"/>
  <c r="M706" i="1"/>
  <c r="L706" i="1"/>
  <c r="I706" i="1"/>
  <c r="B706" i="1"/>
  <c r="M705" i="1"/>
  <c r="L705" i="1"/>
  <c r="I705" i="1"/>
  <c r="B705" i="1"/>
  <c r="M704" i="1"/>
  <c r="L704" i="1"/>
  <c r="I704" i="1"/>
  <c r="B704" i="1"/>
  <c r="M703" i="1"/>
  <c r="L703" i="1"/>
  <c r="I703" i="1"/>
  <c r="B703" i="1"/>
  <c r="M702" i="1"/>
  <c r="L702" i="1"/>
  <c r="I702" i="1"/>
  <c r="B702" i="1"/>
  <c r="M701" i="1"/>
  <c r="L701" i="1"/>
  <c r="I701" i="1"/>
  <c r="B701" i="1"/>
  <c r="M700" i="1"/>
  <c r="L700" i="1"/>
  <c r="I700" i="1"/>
  <c r="B700" i="1"/>
  <c r="M699" i="1"/>
  <c r="L699" i="1"/>
  <c r="I699" i="1"/>
  <c r="B699" i="1"/>
  <c r="M698" i="1"/>
  <c r="L698" i="1"/>
  <c r="I698" i="1"/>
  <c r="B698" i="1"/>
  <c r="M697" i="1"/>
  <c r="L697" i="1"/>
  <c r="I697" i="1"/>
  <c r="B697" i="1"/>
  <c r="M696" i="1"/>
  <c r="L696" i="1"/>
  <c r="I696" i="1"/>
  <c r="B696" i="1"/>
  <c r="M695" i="1"/>
  <c r="L695" i="1"/>
  <c r="I695" i="1"/>
  <c r="B695" i="1"/>
  <c r="M694" i="1"/>
  <c r="L694" i="1"/>
  <c r="I694" i="1"/>
  <c r="B694" i="1"/>
  <c r="M693" i="1"/>
  <c r="L693" i="1"/>
  <c r="I693" i="1"/>
  <c r="B693" i="1"/>
  <c r="M692" i="1"/>
  <c r="L692" i="1"/>
  <c r="I692" i="1"/>
  <c r="B692" i="1"/>
  <c r="M691" i="1"/>
  <c r="L691" i="1"/>
  <c r="I691" i="1"/>
  <c r="B691" i="1"/>
  <c r="M690" i="1"/>
  <c r="L690" i="1"/>
  <c r="I690" i="1"/>
  <c r="B690" i="1"/>
  <c r="M689" i="1"/>
  <c r="L689" i="1"/>
  <c r="I689" i="1"/>
  <c r="B689" i="1"/>
  <c r="M688" i="1"/>
  <c r="L688" i="1"/>
  <c r="I688" i="1"/>
  <c r="B688" i="1"/>
  <c r="M687" i="1"/>
  <c r="L687" i="1"/>
  <c r="I687" i="1"/>
  <c r="B687" i="1"/>
  <c r="M686" i="1"/>
  <c r="L686" i="1"/>
  <c r="I686" i="1"/>
  <c r="B686" i="1"/>
  <c r="M685" i="1"/>
  <c r="L685" i="1"/>
  <c r="I685" i="1"/>
  <c r="B685" i="1"/>
  <c r="M684" i="1"/>
  <c r="L684" i="1"/>
  <c r="I684" i="1"/>
  <c r="B684" i="1"/>
  <c r="M683" i="1"/>
  <c r="L683" i="1"/>
  <c r="I683" i="1"/>
  <c r="B683" i="1"/>
  <c r="M682" i="1"/>
  <c r="L682" i="1"/>
  <c r="I682" i="1"/>
  <c r="B682" i="1"/>
  <c r="M681" i="1"/>
  <c r="L681" i="1"/>
  <c r="I681" i="1"/>
  <c r="B681" i="1"/>
  <c r="M680" i="1"/>
  <c r="L680" i="1"/>
  <c r="I680" i="1"/>
  <c r="B680" i="1"/>
  <c r="M679" i="1"/>
  <c r="L679" i="1"/>
  <c r="I679" i="1"/>
  <c r="B679" i="1"/>
  <c r="M678" i="1"/>
  <c r="L678" i="1"/>
  <c r="I678" i="1"/>
  <c r="B678" i="1"/>
  <c r="M677" i="1"/>
  <c r="L677" i="1"/>
  <c r="I677" i="1"/>
  <c r="B677" i="1"/>
  <c r="M676" i="1"/>
  <c r="L676" i="1"/>
  <c r="I676" i="1"/>
  <c r="B676" i="1"/>
  <c r="M675" i="1"/>
  <c r="L675" i="1"/>
  <c r="I675" i="1"/>
  <c r="B675" i="1"/>
  <c r="M674" i="1"/>
  <c r="L674" i="1"/>
  <c r="I674" i="1"/>
  <c r="B674" i="1"/>
  <c r="M673" i="1"/>
  <c r="L673" i="1"/>
  <c r="I673" i="1"/>
  <c r="B673" i="1"/>
  <c r="M672" i="1"/>
  <c r="L672" i="1"/>
  <c r="I672" i="1"/>
  <c r="B672" i="1"/>
  <c r="M671" i="1"/>
  <c r="L671" i="1"/>
  <c r="I671" i="1"/>
  <c r="B671" i="1"/>
  <c r="M670" i="1"/>
  <c r="L670" i="1"/>
  <c r="I670" i="1"/>
  <c r="B670" i="1"/>
  <c r="M669" i="1"/>
  <c r="L669" i="1"/>
  <c r="I669" i="1"/>
  <c r="B669" i="1"/>
  <c r="M668" i="1"/>
  <c r="L668" i="1"/>
  <c r="I668" i="1"/>
  <c r="B668" i="1"/>
  <c r="M667" i="1"/>
  <c r="L667" i="1"/>
  <c r="I667" i="1"/>
  <c r="B667" i="1"/>
  <c r="M666" i="1"/>
  <c r="L666" i="1"/>
  <c r="I666" i="1"/>
  <c r="B666" i="1"/>
  <c r="M665" i="1"/>
  <c r="L665" i="1"/>
  <c r="I665" i="1"/>
  <c r="B665" i="1"/>
  <c r="M664" i="1"/>
  <c r="L664" i="1"/>
  <c r="I664" i="1"/>
  <c r="B664" i="1"/>
  <c r="M663" i="1"/>
  <c r="L663" i="1"/>
  <c r="I663" i="1"/>
  <c r="B663" i="1"/>
  <c r="M662" i="1"/>
  <c r="L662" i="1"/>
  <c r="I662" i="1"/>
  <c r="B662" i="1"/>
  <c r="M661" i="1"/>
  <c r="L661" i="1"/>
  <c r="I661" i="1"/>
  <c r="B661" i="1"/>
  <c r="M660" i="1"/>
  <c r="L660" i="1"/>
  <c r="I660" i="1"/>
  <c r="B660" i="1"/>
  <c r="M659" i="1"/>
  <c r="L659" i="1"/>
  <c r="I659" i="1"/>
  <c r="B659" i="1"/>
  <c r="M658" i="1"/>
  <c r="L658" i="1"/>
  <c r="I658" i="1"/>
  <c r="B658" i="1"/>
  <c r="M657" i="1"/>
  <c r="L657" i="1"/>
  <c r="I657" i="1"/>
  <c r="B657" i="1"/>
  <c r="M656" i="1"/>
  <c r="L656" i="1"/>
  <c r="I656" i="1"/>
  <c r="B656" i="1"/>
  <c r="M655" i="1"/>
  <c r="L655" i="1"/>
  <c r="I655" i="1"/>
  <c r="B655" i="1"/>
  <c r="M654" i="1"/>
  <c r="L654" i="1"/>
  <c r="I654" i="1"/>
  <c r="B654" i="1"/>
  <c r="M653" i="1"/>
  <c r="L653" i="1"/>
  <c r="I653" i="1"/>
  <c r="B653" i="1"/>
  <c r="M652" i="1"/>
  <c r="L652" i="1"/>
  <c r="I652" i="1"/>
  <c r="B652" i="1"/>
  <c r="M651" i="1"/>
  <c r="L651" i="1"/>
  <c r="I651" i="1"/>
  <c r="B651" i="1"/>
  <c r="M650" i="1"/>
  <c r="L650" i="1"/>
  <c r="I650" i="1"/>
  <c r="B650" i="1"/>
  <c r="M649" i="1"/>
  <c r="L649" i="1"/>
  <c r="I649" i="1"/>
  <c r="B649" i="1"/>
  <c r="M648" i="1"/>
  <c r="L648" i="1"/>
  <c r="I648" i="1"/>
  <c r="B648" i="1"/>
  <c r="M647" i="1"/>
  <c r="L647" i="1"/>
  <c r="I647" i="1"/>
  <c r="B647" i="1"/>
  <c r="M646" i="1"/>
  <c r="L646" i="1"/>
  <c r="I646" i="1"/>
  <c r="B646" i="1"/>
  <c r="M645" i="1"/>
  <c r="L645" i="1"/>
  <c r="I645" i="1"/>
  <c r="B645" i="1"/>
  <c r="M644" i="1"/>
  <c r="L644" i="1"/>
  <c r="I644" i="1"/>
  <c r="B644" i="1"/>
  <c r="M643" i="1"/>
  <c r="L643" i="1"/>
  <c r="I643" i="1"/>
  <c r="B643" i="1"/>
  <c r="M642" i="1"/>
  <c r="L642" i="1"/>
  <c r="I642" i="1"/>
  <c r="B642" i="1"/>
  <c r="M641" i="1"/>
  <c r="L641" i="1"/>
  <c r="I641" i="1"/>
  <c r="B641" i="1"/>
  <c r="M640" i="1"/>
  <c r="L640" i="1"/>
  <c r="I640" i="1"/>
  <c r="B640" i="1"/>
  <c r="M639" i="1"/>
  <c r="L639" i="1"/>
  <c r="I639" i="1"/>
  <c r="B639" i="1"/>
  <c r="M638" i="1"/>
  <c r="L638" i="1"/>
  <c r="I638" i="1"/>
  <c r="B638" i="1"/>
  <c r="M637" i="1"/>
  <c r="L637" i="1"/>
  <c r="I637" i="1"/>
  <c r="B637" i="1"/>
  <c r="M636" i="1"/>
  <c r="L636" i="1"/>
  <c r="I636" i="1"/>
  <c r="B636" i="1"/>
  <c r="M635" i="1"/>
  <c r="L635" i="1"/>
  <c r="I635" i="1"/>
  <c r="B635" i="1"/>
  <c r="M634" i="1"/>
  <c r="L634" i="1"/>
  <c r="I634" i="1"/>
  <c r="B634" i="1"/>
  <c r="M633" i="1"/>
  <c r="L633" i="1"/>
  <c r="I633" i="1"/>
  <c r="B633" i="1"/>
  <c r="M632" i="1"/>
  <c r="L632" i="1"/>
  <c r="I632" i="1"/>
  <c r="B632" i="1"/>
  <c r="M631" i="1"/>
  <c r="L631" i="1"/>
  <c r="I631" i="1"/>
  <c r="B631" i="1"/>
  <c r="M630" i="1"/>
  <c r="L630" i="1"/>
  <c r="I630" i="1"/>
  <c r="B630" i="1"/>
  <c r="M629" i="1"/>
  <c r="L629" i="1"/>
  <c r="I629" i="1"/>
  <c r="B629" i="1"/>
  <c r="M628" i="1"/>
  <c r="L628" i="1"/>
  <c r="I628" i="1"/>
  <c r="B628" i="1"/>
  <c r="M627" i="1"/>
  <c r="L627" i="1"/>
  <c r="I627" i="1"/>
  <c r="B627" i="1"/>
  <c r="M626" i="1"/>
  <c r="L626" i="1"/>
  <c r="I626" i="1"/>
  <c r="B626" i="1"/>
  <c r="M625" i="1"/>
  <c r="L625" i="1"/>
  <c r="I625" i="1"/>
  <c r="B625" i="1"/>
  <c r="M624" i="1"/>
  <c r="L624" i="1"/>
  <c r="I624" i="1"/>
  <c r="B624" i="1"/>
  <c r="M623" i="1"/>
  <c r="L623" i="1"/>
  <c r="I623" i="1"/>
  <c r="B623" i="1"/>
  <c r="M622" i="1"/>
  <c r="L622" i="1"/>
  <c r="I622" i="1"/>
  <c r="B622" i="1"/>
  <c r="M621" i="1"/>
  <c r="L621" i="1"/>
  <c r="I621" i="1"/>
  <c r="B621" i="1"/>
  <c r="M620" i="1"/>
  <c r="L620" i="1"/>
  <c r="I620" i="1"/>
  <c r="B620" i="1"/>
  <c r="M619" i="1"/>
  <c r="L619" i="1"/>
  <c r="I619" i="1"/>
  <c r="B619" i="1"/>
  <c r="M618" i="1"/>
  <c r="L618" i="1"/>
  <c r="I618" i="1"/>
  <c r="B618" i="1"/>
  <c r="M617" i="1"/>
  <c r="L617" i="1"/>
  <c r="I617" i="1"/>
  <c r="B617" i="1"/>
  <c r="M616" i="1"/>
  <c r="L616" i="1"/>
  <c r="I616" i="1"/>
  <c r="B616" i="1"/>
  <c r="M615" i="1"/>
  <c r="L615" i="1"/>
  <c r="I615" i="1"/>
  <c r="B615" i="1"/>
  <c r="M614" i="1"/>
  <c r="L614" i="1"/>
  <c r="I614" i="1"/>
  <c r="B614" i="1"/>
  <c r="M613" i="1"/>
  <c r="L613" i="1"/>
  <c r="I613" i="1"/>
  <c r="B613" i="1"/>
  <c r="M612" i="1"/>
  <c r="L612" i="1"/>
  <c r="I612" i="1"/>
  <c r="B612" i="1"/>
  <c r="M611" i="1"/>
  <c r="L611" i="1"/>
  <c r="I611" i="1"/>
  <c r="B611" i="1"/>
  <c r="M610" i="1"/>
  <c r="L610" i="1"/>
  <c r="I610" i="1"/>
  <c r="B610" i="1"/>
  <c r="M609" i="1"/>
  <c r="L609" i="1"/>
  <c r="I609" i="1"/>
  <c r="B609" i="1"/>
  <c r="M608" i="1"/>
  <c r="L608" i="1"/>
  <c r="I608" i="1"/>
  <c r="B608" i="1"/>
  <c r="M607" i="1"/>
  <c r="L607" i="1"/>
  <c r="I607" i="1"/>
  <c r="B607" i="1"/>
  <c r="M606" i="1"/>
  <c r="L606" i="1"/>
  <c r="I606" i="1"/>
  <c r="B606" i="1"/>
  <c r="M605" i="1"/>
  <c r="L605" i="1"/>
  <c r="I605" i="1"/>
  <c r="B605" i="1"/>
  <c r="M604" i="1"/>
  <c r="L604" i="1"/>
  <c r="I604" i="1"/>
  <c r="B604" i="1"/>
  <c r="M603" i="1"/>
  <c r="L603" i="1"/>
  <c r="I603" i="1"/>
  <c r="B603" i="1"/>
  <c r="M602" i="1"/>
  <c r="L602" i="1"/>
  <c r="I602" i="1"/>
  <c r="B602" i="1"/>
  <c r="M601" i="1"/>
  <c r="L601" i="1"/>
  <c r="I601" i="1"/>
  <c r="B601" i="1"/>
  <c r="M600" i="1"/>
  <c r="L600" i="1"/>
  <c r="I600" i="1"/>
  <c r="B600" i="1"/>
  <c r="M599" i="1"/>
  <c r="L599" i="1"/>
  <c r="I599" i="1"/>
  <c r="B599" i="1"/>
  <c r="M598" i="1"/>
  <c r="L598" i="1"/>
  <c r="I598" i="1"/>
  <c r="B598" i="1"/>
  <c r="M597" i="1"/>
  <c r="L597" i="1"/>
  <c r="I597" i="1"/>
  <c r="B597" i="1"/>
  <c r="M596" i="1"/>
  <c r="L596" i="1"/>
  <c r="I596" i="1"/>
  <c r="B596" i="1"/>
  <c r="M595" i="1"/>
  <c r="L595" i="1"/>
  <c r="I595" i="1"/>
  <c r="B595" i="1"/>
  <c r="M594" i="1"/>
  <c r="L594" i="1"/>
  <c r="I594" i="1"/>
  <c r="B594" i="1"/>
  <c r="M593" i="1"/>
  <c r="L593" i="1"/>
  <c r="I593" i="1"/>
  <c r="B593" i="1"/>
  <c r="M592" i="1"/>
  <c r="L592" i="1"/>
  <c r="I592" i="1"/>
  <c r="B592" i="1"/>
  <c r="M591" i="1"/>
  <c r="L591" i="1"/>
  <c r="I591" i="1"/>
  <c r="B591" i="1"/>
  <c r="M590" i="1"/>
  <c r="L590" i="1"/>
  <c r="I590" i="1"/>
  <c r="B590" i="1"/>
  <c r="M589" i="1"/>
  <c r="L589" i="1"/>
  <c r="I589" i="1"/>
  <c r="B589" i="1"/>
  <c r="M588" i="1"/>
  <c r="L588" i="1"/>
  <c r="I588" i="1"/>
  <c r="B588" i="1"/>
  <c r="M587" i="1"/>
  <c r="L587" i="1"/>
  <c r="I587" i="1"/>
  <c r="B587" i="1"/>
  <c r="M586" i="1"/>
  <c r="L586" i="1"/>
  <c r="I586" i="1"/>
  <c r="B586" i="1"/>
  <c r="M585" i="1"/>
  <c r="L585" i="1"/>
  <c r="I585" i="1"/>
  <c r="B585" i="1"/>
  <c r="M584" i="1"/>
  <c r="L584" i="1"/>
  <c r="I584" i="1"/>
  <c r="B584" i="1"/>
  <c r="M583" i="1"/>
  <c r="L583" i="1"/>
  <c r="I583" i="1"/>
  <c r="B583" i="1"/>
  <c r="M582" i="1"/>
  <c r="L582" i="1"/>
  <c r="I582" i="1"/>
  <c r="B582" i="1"/>
  <c r="M581" i="1"/>
  <c r="L581" i="1"/>
  <c r="I581" i="1"/>
  <c r="B581" i="1"/>
  <c r="M580" i="1"/>
  <c r="L580" i="1"/>
  <c r="I580" i="1"/>
  <c r="B580" i="1"/>
  <c r="M579" i="1"/>
  <c r="L579" i="1"/>
  <c r="I579" i="1"/>
  <c r="B579" i="1"/>
  <c r="M578" i="1"/>
  <c r="L578" i="1"/>
  <c r="I578" i="1"/>
  <c r="B578" i="1"/>
  <c r="M577" i="1"/>
  <c r="L577" i="1"/>
  <c r="I577" i="1"/>
  <c r="B577" i="1"/>
  <c r="M576" i="1"/>
  <c r="L576" i="1"/>
  <c r="I576" i="1"/>
  <c r="B576" i="1"/>
  <c r="M575" i="1"/>
  <c r="L575" i="1"/>
  <c r="I575" i="1"/>
  <c r="B575" i="1"/>
  <c r="M574" i="1"/>
  <c r="L574" i="1"/>
  <c r="I574" i="1"/>
  <c r="B574" i="1"/>
  <c r="M573" i="1"/>
  <c r="L573" i="1"/>
  <c r="I573" i="1"/>
  <c r="B573" i="1"/>
  <c r="M572" i="1"/>
  <c r="L572" i="1"/>
  <c r="I572" i="1"/>
  <c r="B572" i="1"/>
  <c r="M571" i="1"/>
  <c r="L571" i="1"/>
  <c r="I571" i="1"/>
  <c r="B571" i="1"/>
  <c r="M570" i="1"/>
  <c r="L570" i="1"/>
  <c r="I570" i="1"/>
  <c r="B570" i="1"/>
  <c r="M569" i="1"/>
  <c r="L569" i="1"/>
  <c r="I569" i="1"/>
  <c r="B569" i="1"/>
  <c r="M568" i="1"/>
  <c r="L568" i="1"/>
  <c r="I568" i="1"/>
  <c r="B568" i="1"/>
  <c r="M567" i="1"/>
  <c r="L567" i="1"/>
  <c r="I567" i="1"/>
  <c r="B567" i="1"/>
  <c r="M566" i="1"/>
  <c r="L566" i="1"/>
  <c r="I566" i="1"/>
  <c r="B566" i="1"/>
  <c r="M565" i="1"/>
  <c r="L565" i="1"/>
  <c r="I565" i="1"/>
  <c r="B565" i="1"/>
  <c r="M564" i="1"/>
  <c r="L564" i="1"/>
  <c r="I564" i="1"/>
  <c r="B564" i="1"/>
  <c r="M563" i="1"/>
  <c r="L563" i="1"/>
  <c r="I563" i="1"/>
  <c r="B563" i="1"/>
  <c r="M562" i="1"/>
  <c r="L562" i="1"/>
  <c r="I562" i="1"/>
  <c r="B562" i="1"/>
  <c r="M561" i="1"/>
  <c r="L561" i="1"/>
  <c r="I561" i="1"/>
  <c r="B561" i="1"/>
  <c r="M560" i="1"/>
  <c r="L560" i="1"/>
  <c r="I560" i="1"/>
  <c r="B560" i="1"/>
  <c r="M559" i="1"/>
  <c r="L559" i="1"/>
  <c r="I559" i="1"/>
  <c r="B559" i="1"/>
  <c r="M558" i="1"/>
  <c r="L558" i="1"/>
  <c r="I558" i="1"/>
  <c r="B558" i="1"/>
  <c r="M557" i="1"/>
  <c r="L557" i="1"/>
  <c r="I557" i="1"/>
  <c r="B557" i="1"/>
  <c r="M556" i="1"/>
  <c r="L556" i="1"/>
  <c r="I556" i="1"/>
  <c r="B556" i="1"/>
  <c r="M555" i="1"/>
  <c r="L555" i="1"/>
  <c r="I555" i="1"/>
  <c r="B555" i="1"/>
  <c r="M554" i="1"/>
  <c r="L554" i="1"/>
  <c r="I554" i="1"/>
  <c r="B554" i="1"/>
  <c r="M553" i="1"/>
  <c r="L553" i="1"/>
  <c r="I553" i="1"/>
  <c r="B553" i="1"/>
  <c r="M552" i="1"/>
  <c r="L552" i="1"/>
  <c r="I552" i="1"/>
  <c r="B552" i="1"/>
  <c r="M551" i="1"/>
  <c r="L551" i="1"/>
  <c r="I551" i="1"/>
  <c r="B551" i="1"/>
  <c r="M550" i="1"/>
  <c r="L550" i="1"/>
  <c r="I550" i="1"/>
  <c r="B550" i="1"/>
  <c r="M549" i="1"/>
  <c r="L549" i="1"/>
  <c r="I549" i="1"/>
  <c r="B549" i="1"/>
  <c r="M548" i="1"/>
  <c r="L548" i="1"/>
  <c r="I548" i="1"/>
  <c r="B548" i="1"/>
  <c r="M547" i="1"/>
  <c r="L547" i="1"/>
  <c r="I547" i="1"/>
  <c r="B547" i="1"/>
  <c r="M546" i="1"/>
  <c r="L546" i="1"/>
  <c r="I546" i="1"/>
  <c r="B546" i="1"/>
  <c r="M545" i="1"/>
  <c r="L545" i="1"/>
  <c r="I545" i="1"/>
  <c r="B545" i="1"/>
  <c r="M544" i="1"/>
  <c r="L544" i="1"/>
  <c r="I544" i="1"/>
  <c r="B544" i="1"/>
  <c r="M543" i="1"/>
  <c r="L543" i="1"/>
  <c r="I543" i="1"/>
  <c r="B543" i="1"/>
  <c r="M542" i="1"/>
  <c r="L542" i="1"/>
  <c r="I542" i="1"/>
  <c r="B542" i="1"/>
  <c r="M541" i="1"/>
  <c r="L541" i="1"/>
  <c r="I541" i="1"/>
  <c r="B541" i="1"/>
  <c r="M540" i="1"/>
  <c r="L540" i="1"/>
  <c r="I540" i="1"/>
  <c r="B540" i="1"/>
  <c r="M539" i="1"/>
  <c r="L539" i="1"/>
  <c r="I539" i="1"/>
  <c r="B539" i="1"/>
  <c r="M538" i="1"/>
  <c r="L538" i="1"/>
  <c r="I538" i="1"/>
  <c r="B538" i="1"/>
  <c r="M537" i="1"/>
  <c r="L537" i="1"/>
  <c r="I537" i="1"/>
  <c r="B537" i="1"/>
  <c r="M536" i="1"/>
  <c r="L536" i="1"/>
  <c r="I536" i="1"/>
  <c r="B536" i="1"/>
  <c r="M535" i="1"/>
  <c r="L535" i="1"/>
  <c r="I535" i="1"/>
  <c r="B535" i="1"/>
  <c r="M534" i="1"/>
  <c r="L534" i="1"/>
  <c r="I534" i="1"/>
  <c r="B534" i="1"/>
  <c r="M533" i="1"/>
  <c r="L533" i="1"/>
  <c r="I533" i="1"/>
  <c r="B533" i="1"/>
  <c r="M532" i="1"/>
  <c r="L532" i="1"/>
  <c r="I532" i="1"/>
  <c r="B532" i="1"/>
  <c r="M531" i="1"/>
  <c r="L531" i="1"/>
  <c r="I531" i="1"/>
  <c r="B531" i="1"/>
  <c r="M530" i="1"/>
  <c r="L530" i="1"/>
  <c r="I530" i="1"/>
  <c r="B530" i="1"/>
  <c r="M529" i="1"/>
  <c r="L529" i="1"/>
  <c r="I529" i="1"/>
  <c r="B529" i="1"/>
  <c r="M528" i="1"/>
  <c r="L528" i="1"/>
  <c r="I528" i="1"/>
  <c r="B528" i="1"/>
  <c r="M527" i="1"/>
  <c r="L527" i="1"/>
  <c r="I527" i="1"/>
  <c r="B527" i="1"/>
  <c r="M526" i="1"/>
  <c r="L526" i="1"/>
  <c r="I526" i="1"/>
  <c r="B526" i="1"/>
  <c r="M525" i="1"/>
  <c r="L525" i="1"/>
  <c r="I525" i="1"/>
  <c r="B525" i="1"/>
  <c r="M524" i="1"/>
  <c r="L524" i="1"/>
  <c r="I524" i="1"/>
  <c r="B524" i="1"/>
  <c r="M523" i="1"/>
  <c r="L523" i="1"/>
  <c r="I523" i="1"/>
  <c r="B523" i="1"/>
  <c r="M522" i="1"/>
  <c r="L522" i="1"/>
  <c r="I522" i="1"/>
  <c r="B522" i="1"/>
  <c r="M521" i="1"/>
  <c r="L521" i="1"/>
  <c r="I521" i="1"/>
  <c r="B521" i="1"/>
  <c r="M520" i="1"/>
  <c r="L520" i="1"/>
  <c r="I520" i="1"/>
  <c r="B520" i="1"/>
  <c r="M519" i="1"/>
  <c r="L519" i="1"/>
  <c r="I519" i="1"/>
  <c r="B519" i="1"/>
  <c r="M518" i="1"/>
  <c r="L518" i="1"/>
  <c r="I518" i="1"/>
  <c r="B518" i="1"/>
  <c r="M517" i="1"/>
  <c r="L517" i="1"/>
  <c r="I517" i="1"/>
  <c r="B517" i="1"/>
  <c r="M516" i="1"/>
  <c r="L516" i="1"/>
  <c r="I516" i="1"/>
  <c r="B516" i="1"/>
  <c r="M515" i="1"/>
  <c r="L515" i="1"/>
  <c r="I515" i="1"/>
  <c r="B515" i="1"/>
  <c r="M514" i="1"/>
  <c r="L514" i="1"/>
  <c r="I514" i="1"/>
  <c r="B514" i="1"/>
  <c r="M513" i="1"/>
  <c r="L513" i="1"/>
  <c r="I513" i="1"/>
  <c r="B513" i="1"/>
  <c r="M512" i="1"/>
  <c r="L512" i="1"/>
  <c r="I512" i="1"/>
  <c r="B512" i="1"/>
  <c r="M511" i="1"/>
  <c r="L511" i="1"/>
  <c r="I511" i="1"/>
  <c r="B511" i="1"/>
  <c r="M510" i="1"/>
  <c r="L510" i="1"/>
  <c r="I510" i="1"/>
  <c r="B510" i="1"/>
  <c r="M509" i="1"/>
  <c r="L509" i="1"/>
  <c r="I509" i="1"/>
  <c r="B509" i="1"/>
  <c r="M508" i="1"/>
  <c r="L508" i="1"/>
  <c r="I508" i="1"/>
  <c r="B508" i="1"/>
  <c r="M507" i="1"/>
  <c r="L507" i="1"/>
  <c r="I507" i="1"/>
  <c r="B507" i="1"/>
  <c r="M506" i="1"/>
  <c r="L506" i="1"/>
  <c r="I506" i="1"/>
  <c r="B506" i="1"/>
  <c r="M505" i="1"/>
  <c r="L505" i="1"/>
  <c r="I505" i="1"/>
  <c r="B505" i="1"/>
  <c r="M504" i="1"/>
  <c r="L504" i="1"/>
  <c r="I504" i="1"/>
  <c r="B504" i="1"/>
  <c r="M503" i="1"/>
  <c r="L503" i="1"/>
  <c r="I503" i="1"/>
  <c r="B503" i="1"/>
  <c r="M502" i="1"/>
  <c r="L502" i="1"/>
  <c r="I502" i="1"/>
  <c r="B502" i="1"/>
  <c r="M501" i="1"/>
  <c r="L501" i="1"/>
  <c r="I501" i="1"/>
  <c r="B501" i="1"/>
  <c r="M500" i="1"/>
  <c r="L500" i="1"/>
  <c r="I500" i="1"/>
  <c r="B500" i="1"/>
  <c r="M499" i="1"/>
  <c r="L499" i="1"/>
  <c r="I499" i="1"/>
  <c r="B499" i="1"/>
  <c r="M498" i="1"/>
  <c r="L498" i="1"/>
  <c r="I498" i="1"/>
  <c r="B498" i="1"/>
  <c r="M497" i="1"/>
  <c r="L497" i="1"/>
  <c r="I497" i="1"/>
  <c r="B497" i="1"/>
  <c r="M496" i="1"/>
  <c r="L496" i="1"/>
  <c r="I496" i="1"/>
  <c r="B496" i="1"/>
  <c r="M495" i="1"/>
  <c r="L495" i="1"/>
  <c r="I495" i="1"/>
  <c r="B495" i="1"/>
  <c r="M494" i="1"/>
  <c r="L494" i="1"/>
  <c r="I494" i="1"/>
  <c r="B494" i="1"/>
  <c r="M493" i="1"/>
  <c r="L493" i="1"/>
  <c r="I493" i="1"/>
  <c r="B493" i="1"/>
  <c r="M492" i="1"/>
  <c r="L492" i="1"/>
  <c r="I492" i="1"/>
  <c r="B492" i="1"/>
  <c r="M491" i="1"/>
  <c r="L491" i="1"/>
  <c r="I491" i="1"/>
  <c r="B491" i="1"/>
  <c r="M490" i="1"/>
  <c r="L490" i="1"/>
  <c r="I490" i="1"/>
  <c r="B490" i="1"/>
  <c r="M489" i="1"/>
  <c r="L489" i="1"/>
  <c r="I489" i="1"/>
  <c r="B489" i="1"/>
  <c r="M488" i="1"/>
  <c r="L488" i="1"/>
  <c r="I488" i="1"/>
  <c r="B488" i="1"/>
  <c r="M487" i="1"/>
  <c r="L487" i="1"/>
  <c r="I487" i="1"/>
  <c r="B487" i="1"/>
  <c r="M486" i="1"/>
  <c r="L486" i="1"/>
  <c r="I486" i="1"/>
  <c r="B486" i="1"/>
  <c r="M485" i="1"/>
  <c r="L485" i="1"/>
  <c r="I485" i="1"/>
  <c r="B485" i="1"/>
  <c r="M484" i="1"/>
  <c r="L484" i="1"/>
  <c r="I484" i="1"/>
  <c r="B484" i="1"/>
  <c r="M483" i="1"/>
  <c r="L483" i="1"/>
  <c r="I483" i="1"/>
  <c r="B483" i="1"/>
  <c r="M482" i="1"/>
  <c r="L482" i="1"/>
  <c r="I482" i="1"/>
  <c r="B482" i="1"/>
  <c r="M481" i="1"/>
  <c r="L481" i="1"/>
  <c r="I481" i="1"/>
  <c r="B481" i="1"/>
  <c r="M480" i="1"/>
  <c r="L480" i="1"/>
  <c r="I480" i="1"/>
  <c r="B480" i="1"/>
  <c r="M479" i="1"/>
  <c r="L479" i="1"/>
  <c r="I479" i="1"/>
  <c r="B479" i="1"/>
  <c r="M478" i="1"/>
  <c r="L478" i="1"/>
  <c r="I478" i="1"/>
  <c r="B478" i="1"/>
  <c r="M477" i="1"/>
  <c r="L477" i="1"/>
  <c r="I477" i="1"/>
  <c r="B477" i="1"/>
  <c r="M476" i="1"/>
  <c r="L476" i="1"/>
  <c r="I476" i="1"/>
  <c r="B476" i="1"/>
  <c r="M475" i="1"/>
  <c r="L475" i="1"/>
  <c r="I475" i="1"/>
  <c r="B475" i="1"/>
  <c r="M474" i="1"/>
  <c r="L474" i="1"/>
  <c r="I474" i="1"/>
  <c r="B474" i="1"/>
  <c r="M473" i="1"/>
  <c r="L473" i="1"/>
  <c r="I473" i="1"/>
  <c r="B473" i="1"/>
  <c r="M472" i="1"/>
  <c r="L472" i="1"/>
  <c r="I472" i="1"/>
  <c r="B472" i="1"/>
  <c r="M471" i="1"/>
  <c r="L471" i="1"/>
  <c r="I471" i="1"/>
  <c r="B471" i="1"/>
  <c r="M470" i="1"/>
  <c r="L470" i="1"/>
  <c r="I470" i="1"/>
  <c r="B470" i="1"/>
  <c r="M469" i="1"/>
  <c r="L469" i="1"/>
  <c r="I469" i="1"/>
  <c r="B469" i="1"/>
  <c r="M468" i="1"/>
  <c r="L468" i="1"/>
  <c r="I468" i="1"/>
  <c r="B468" i="1"/>
  <c r="M467" i="1"/>
  <c r="L467" i="1"/>
  <c r="I467" i="1"/>
  <c r="B467" i="1"/>
  <c r="M466" i="1"/>
  <c r="L466" i="1"/>
  <c r="I466" i="1"/>
  <c r="B466" i="1"/>
  <c r="M465" i="1"/>
  <c r="L465" i="1"/>
  <c r="I465" i="1"/>
  <c r="B465" i="1"/>
  <c r="M464" i="1"/>
  <c r="L464" i="1"/>
  <c r="I464" i="1"/>
  <c r="B464" i="1"/>
  <c r="M463" i="1"/>
  <c r="L463" i="1"/>
  <c r="I463" i="1"/>
  <c r="B463" i="1"/>
  <c r="M462" i="1"/>
  <c r="L462" i="1"/>
  <c r="I462" i="1"/>
  <c r="B462" i="1"/>
  <c r="M461" i="1"/>
  <c r="L461" i="1"/>
  <c r="I461" i="1"/>
  <c r="B461" i="1"/>
  <c r="M460" i="1"/>
  <c r="L460" i="1"/>
  <c r="I460" i="1"/>
  <c r="B460" i="1"/>
  <c r="M459" i="1"/>
  <c r="L459" i="1"/>
  <c r="I459" i="1"/>
  <c r="B459" i="1"/>
  <c r="M458" i="1"/>
  <c r="L458" i="1"/>
  <c r="I458" i="1"/>
  <c r="B458" i="1"/>
  <c r="M457" i="1"/>
  <c r="L457" i="1"/>
  <c r="I457" i="1"/>
  <c r="B457" i="1"/>
  <c r="M456" i="1"/>
  <c r="L456" i="1"/>
  <c r="I456" i="1"/>
  <c r="B456" i="1"/>
  <c r="M455" i="1"/>
  <c r="L455" i="1"/>
  <c r="I455" i="1"/>
  <c r="B455" i="1"/>
  <c r="M454" i="1"/>
  <c r="L454" i="1"/>
  <c r="I454" i="1"/>
  <c r="B454" i="1"/>
  <c r="M453" i="1"/>
  <c r="L453" i="1"/>
  <c r="I453" i="1"/>
  <c r="B453" i="1"/>
  <c r="M452" i="1"/>
  <c r="L452" i="1"/>
  <c r="I452" i="1"/>
  <c r="B452" i="1"/>
  <c r="M451" i="1"/>
  <c r="L451" i="1"/>
  <c r="I451" i="1"/>
  <c r="B451" i="1"/>
  <c r="M450" i="1"/>
  <c r="L450" i="1"/>
  <c r="I450" i="1"/>
  <c r="B450" i="1"/>
  <c r="M449" i="1"/>
  <c r="L449" i="1"/>
  <c r="I449" i="1"/>
  <c r="B449" i="1"/>
  <c r="M448" i="1"/>
  <c r="L448" i="1"/>
  <c r="I448" i="1"/>
  <c r="B448" i="1"/>
  <c r="M447" i="1"/>
  <c r="L447" i="1"/>
  <c r="I447" i="1"/>
  <c r="B447" i="1"/>
  <c r="M446" i="1"/>
  <c r="L446" i="1"/>
  <c r="I446" i="1"/>
  <c r="B446" i="1"/>
  <c r="M445" i="1"/>
  <c r="L445" i="1"/>
  <c r="I445" i="1"/>
  <c r="B445" i="1"/>
  <c r="M444" i="1"/>
  <c r="L444" i="1"/>
  <c r="I444" i="1"/>
  <c r="B444" i="1"/>
  <c r="M443" i="1"/>
  <c r="L443" i="1"/>
  <c r="I443" i="1"/>
  <c r="B443" i="1"/>
  <c r="M442" i="1"/>
  <c r="L442" i="1"/>
  <c r="I442" i="1"/>
  <c r="B442" i="1"/>
  <c r="M441" i="1"/>
  <c r="L441" i="1"/>
  <c r="I441" i="1"/>
  <c r="B441" i="1"/>
  <c r="M440" i="1"/>
  <c r="L440" i="1"/>
  <c r="I440" i="1"/>
  <c r="B440" i="1"/>
  <c r="M439" i="1"/>
  <c r="L439" i="1"/>
  <c r="I439" i="1"/>
  <c r="B439" i="1"/>
  <c r="M438" i="1"/>
  <c r="L438" i="1"/>
  <c r="I438" i="1"/>
  <c r="B438" i="1"/>
  <c r="M437" i="1"/>
  <c r="L437" i="1"/>
  <c r="I437" i="1"/>
  <c r="B437" i="1"/>
  <c r="M436" i="1"/>
  <c r="L436" i="1"/>
  <c r="I436" i="1"/>
  <c r="B436" i="1"/>
  <c r="M435" i="1"/>
  <c r="L435" i="1"/>
  <c r="I435" i="1"/>
  <c r="B435" i="1"/>
  <c r="M434" i="1"/>
  <c r="L434" i="1"/>
  <c r="I434" i="1"/>
  <c r="B434" i="1"/>
  <c r="M433" i="1"/>
  <c r="L433" i="1"/>
  <c r="I433" i="1"/>
  <c r="B433" i="1"/>
  <c r="M432" i="1"/>
  <c r="L432" i="1"/>
  <c r="I432" i="1"/>
  <c r="B432" i="1"/>
  <c r="M431" i="1"/>
  <c r="L431" i="1"/>
  <c r="I431" i="1"/>
  <c r="B431" i="1"/>
  <c r="M430" i="1"/>
  <c r="L430" i="1"/>
  <c r="I430" i="1"/>
  <c r="B430" i="1"/>
  <c r="M429" i="1"/>
  <c r="L429" i="1"/>
  <c r="I429" i="1"/>
  <c r="B429" i="1"/>
  <c r="M428" i="1"/>
  <c r="L428" i="1"/>
  <c r="I428" i="1"/>
  <c r="B428" i="1"/>
  <c r="M427" i="1"/>
  <c r="L427" i="1"/>
  <c r="I427" i="1"/>
  <c r="B427" i="1"/>
  <c r="M426" i="1"/>
  <c r="L426" i="1"/>
  <c r="I426" i="1"/>
  <c r="B426" i="1"/>
  <c r="M425" i="1"/>
  <c r="L425" i="1"/>
  <c r="I425" i="1"/>
  <c r="B425" i="1"/>
  <c r="M424" i="1"/>
  <c r="L424" i="1"/>
  <c r="I424" i="1"/>
  <c r="B424" i="1"/>
  <c r="M423" i="1"/>
  <c r="L423" i="1"/>
  <c r="I423" i="1"/>
  <c r="B423" i="1"/>
  <c r="M422" i="1"/>
  <c r="L422" i="1"/>
  <c r="I422" i="1"/>
  <c r="B422" i="1"/>
  <c r="M421" i="1"/>
  <c r="L421" i="1"/>
  <c r="I421" i="1"/>
  <c r="B421" i="1"/>
  <c r="M420" i="1"/>
  <c r="L420" i="1"/>
  <c r="I420" i="1"/>
  <c r="B420" i="1"/>
  <c r="M419" i="1"/>
  <c r="L419" i="1"/>
  <c r="I419" i="1"/>
  <c r="B419" i="1"/>
  <c r="M418" i="1"/>
  <c r="L418" i="1"/>
  <c r="I418" i="1"/>
  <c r="B418" i="1"/>
  <c r="M417" i="1"/>
  <c r="L417" i="1"/>
  <c r="I417" i="1"/>
  <c r="B417" i="1"/>
  <c r="M416" i="1"/>
  <c r="L416" i="1"/>
  <c r="I416" i="1"/>
  <c r="B416" i="1"/>
  <c r="M415" i="1"/>
  <c r="L415" i="1"/>
  <c r="I415" i="1"/>
  <c r="B415" i="1"/>
  <c r="M414" i="1"/>
  <c r="L414" i="1"/>
  <c r="I414" i="1"/>
  <c r="B414" i="1"/>
  <c r="M413" i="1"/>
  <c r="L413" i="1"/>
  <c r="I413" i="1"/>
  <c r="B413" i="1"/>
  <c r="M412" i="1"/>
  <c r="L412" i="1"/>
  <c r="I412" i="1"/>
  <c r="B412" i="1"/>
  <c r="M411" i="1"/>
  <c r="L411" i="1"/>
  <c r="I411" i="1"/>
  <c r="B411" i="1"/>
  <c r="M410" i="1"/>
  <c r="L410" i="1"/>
  <c r="I410" i="1"/>
  <c r="B410" i="1"/>
  <c r="M409" i="1"/>
  <c r="L409" i="1"/>
  <c r="I409" i="1"/>
  <c r="B409" i="1"/>
  <c r="M408" i="1"/>
  <c r="L408" i="1"/>
  <c r="I408" i="1"/>
  <c r="B408" i="1"/>
  <c r="M407" i="1"/>
  <c r="L407" i="1"/>
  <c r="I407" i="1"/>
  <c r="B407" i="1"/>
  <c r="M406" i="1"/>
  <c r="L406" i="1"/>
  <c r="I406" i="1"/>
  <c r="B406" i="1"/>
  <c r="M405" i="1"/>
  <c r="L405" i="1"/>
  <c r="I405" i="1"/>
  <c r="B405" i="1"/>
  <c r="M404" i="1"/>
  <c r="L404" i="1"/>
  <c r="I404" i="1"/>
  <c r="B404" i="1"/>
  <c r="M403" i="1"/>
  <c r="L403" i="1"/>
  <c r="I403" i="1"/>
  <c r="B403" i="1"/>
  <c r="M402" i="1"/>
  <c r="L402" i="1"/>
  <c r="I402" i="1"/>
  <c r="B402" i="1"/>
  <c r="M401" i="1"/>
  <c r="L401" i="1"/>
  <c r="I401" i="1"/>
  <c r="B401" i="1"/>
  <c r="M400" i="1"/>
  <c r="L400" i="1"/>
  <c r="I400" i="1"/>
  <c r="B400" i="1"/>
  <c r="M399" i="1"/>
  <c r="L399" i="1"/>
  <c r="I399" i="1"/>
  <c r="B399" i="1"/>
  <c r="M398" i="1"/>
  <c r="L398" i="1"/>
  <c r="I398" i="1"/>
  <c r="B398" i="1"/>
  <c r="M397" i="1"/>
  <c r="L397" i="1"/>
  <c r="I397" i="1"/>
  <c r="B397" i="1"/>
  <c r="M396" i="1"/>
  <c r="L396" i="1"/>
  <c r="I396" i="1"/>
  <c r="B396" i="1"/>
  <c r="M395" i="1"/>
  <c r="L395" i="1"/>
  <c r="I395" i="1"/>
  <c r="B395" i="1"/>
  <c r="M394" i="1"/>
  <c r="L394" i="1"/>
  <c r="I394" i="1"/>
  <c r="B394" i="1"/>
  <c r="M393" i="1"/>
  <c r="L393" i="1"/>
  <c r="I393" i="1"/>
  <c r="B393" i="1"/>
  <c r="M392" i="1"/>
  <c r="L392" i="1"/>
  <c r="I392" i="1"/>
  <c r="B392" i="1"/>
  <c r="M391" i="1"/>
  <c r="L391" i="1"/>
  <c r="I391" i="1"/>
  <c r="B391" i="1"/>
  <c r="M390" i="1"/>
  <c r="L390" i="1"/>
  <c r="I390" i="1"/>
  <c r="B390" i="1"/>
  <c r="M389" i="1"/>
  <c r="L389" i="1"/>
  <c r="I389" i="1"/>
  <c r="B389" i="1"/>
  <c r="M388" i="1"/>
  <c r="L388" i="1"/>
  <c r="I388" i="1"/>
  <c r="B388" i="1"/>
  <c r="M387" i="1"/>
  <c r="L387" i="1"/>
  <c r="I387" i="1"/>
  <c r="B387" i="1"/>
  <c r="M386" i="1"/>
  <c r="L386" i="1"/>
  <c r="I386" i="1"/>
  <c r="B386" i="1"/>
  <c r="M385" i="1"/>
  <c r="L385" i="1"/>
  <c r="I385" i="1"/>
  <c r="B385" i="1"/>
  <c r="M384" i="1"/>
  <c r="L384" i="1"/>
  <c r="I384" i="1"/>
  <c r="B384" i="1"/>
  <c r="M383" i="1"/>
  <c r="L383" i="1"/>
  <c r="I383" i="1"/>
  <c r="B383" i="1"/>
  <c r="M382" i="1"/>
  <c r="L382" i="1"/>
  <c r="I382" i="1"/>
  <c r="B382" i="1"/>
  <c r="M381" i="1"/>
  <c r="L381" i="1"/>
  <c r="I381" i="1"/>
  <c r="B381" i="1"/>
  <c r="M380" i="1"/>
  <c r="L380" i="1"/>
  <c r="I380" i="1"/>
  <c r="B380" i="1"/>
  <c r="M379" i="1"/>
  <c r="L379" i="1"/>
  <c r="I379" i="1"/>
  <c r="B379" i="1"/>
  <c r="M378" i="1"/>
  <c r="L378" i="1"/>
  <c r="I378" i="1"/>
  <c r="B378" i="1"/>
  <c r="M377" i="1"/>
  <c r="L377" i="1"/>
  <c r="I377" i="1"/>
  <c r="B377" i="1"/>
  <c r="M376" i="1"/>
  <c r="L376" i="1"/>
  <c r="I376" i="1"/>
  <c r="B376" i="1"/>
  <c r="M375" i="1"/>
  <c r="L375" i="1"/>
  <c r="I375" i="1"/>
  <c r="B375" i="1"/>
  <c r="M374" i="1"/>
  <c r="L374" i="1"/>
  <c r="I374" i="1"/>
  <c r="B374" i="1"/>
  <c r="M373" i="1"/>
  <c r="L373" i="1"/>
  <c r="I373" i="1"/>
  <c r="B373" i="1"/>
  <c r="M372" i="1"/>
  <c r="L372" i="1"/>
  <c r="I372" i="1"/>
  <c r="B372" i="1"/>
  <c r="M371" i="1"/>
  <c r="L371" i="1"/>
  <c r="I371" i="1"/>
  <c r="B371" i="1"/>
  <c r="M370" i="1"/>
  <c r="L370" i="1"/>
  <c r="I370" i="1"/>
  <c r="B370" i="1"/>
  <c r="M369" i="1"/>
  <c r="L369" i="1"/>
  <c r="I369" i="1"/>
  <c r="B369" i="1"/>
  <c r="M368" i="1"/>
  <c r="L368" i="1"/>
  <c r="I368" i="1"/>
  <c r="B368" i="1"/>
  <c r="M367" i="1"/>
  <c r="L367" i="1"/>
  <c r="I367" i="1"/>
  <c r="B367" i="1"/>
  <c r="M366" i="1"/>
  <c r="L366" i="1"/>
  <c r="I366" i="1"/>
  <c r="B366" i="1"/>
  <c r="M365" i="1"/>
  <c r="L365" i="1"/>
  <c r="I365" i="1"/>
  <c r="B365" i="1"/>
  <c r="M364" i="1"/>
  <c r="L364" i="1"/>
  <c r="I364" i="1"/>
  <c r="B364" i="1"/>
  <c r="M363" i="1"/>
  <c r="L363" i="1"/>
  <c r="I363" i="1"/>
  <c r="B363" i="1"/>
  <c r="M362" i="1"/>
  <c r="L362" i="1"/>
  <c r="I362" i="1"/>
  <c r="B362" i="1"/>
  <c r="M361" i="1"/>
  <c r="L361" i="1"/>
  <c r="I361" i="1"/>
  <c r="B361" i="1"/>
  <c r="M360" i="1"/>
  <c r="L360" i="1"/>
  <c r="I360" i="1"/>
  <c r="B360" i="1"/>
  <c r="M359" i="1"/>
  <c r="L359" i="1"/>
  <c r="I359" i="1"/>
  <c r="B359" i="1"/>
  <c r="M358" i="1"/>
  <c r="L358" i="1"/>
  <c r="I358" i="1"/>
  <c r="B358" i="1"/>
  <c r="M357" i="1"/>
  <c r="L357" i="1"/>
  <c r="I357" i="1"/>
  <c r="B357" i="1"/>
  <c r="M356" i="1"/>
  <c r="L356" i="1"/>
  <c r="I356" i="1"/>
  <c r="B356" i="1"/>
  <c r="M355" i="1"/>
  <c r="L355" i="1"/>
  <c r="I355" i="1"/>
  <c r="B355" i="1"/>
  <c r="M354" i="1"/>
  <c r="L354" i="1"/>
  <c r="I354" i="1"/>
  <c r="B354" i="1"/>
  <c r="M353" i="1"/>
  <c r="L353" i="1"/>
  <c r="I353" i="1"/>
  <c r="B353" i="1"/>
  <c r="M352" i="1"/>
  <c r="L352" i="1"/>
  <c r="I352" i="1"/>
  <c r="B352" i="1"/>
  <c r="M351" i="1"/>
  <c r="L351" i="1"/>
  <c r="I351" i="1"/>
  <c r="B351" i="1"/>
  <c r="M350" i="1"/>
  <c r="L350" i="1"/>
  <c r="I350" i="1"/>
  <c r="B350" i="1"/>
  <c r="M349" i="1"/>
  <c r="L349" i="1"/>
  <c r="I349" i="1"/>
  <c r="B349" i="1"/>
  <c r="M348" i="1"/>
  <c r="L348" i="1"/>
  <c r="I348" i="1"/>
  <c r="B348" i="1"/>
  <c r="M347" i="1"/>
  <c r="L347" i="1"/>
  <c r="I347" i="1"/>
  <c r="B347" i="1"/>
  <c r="M346" i="1"/>
  <c r="L346" i="1"/>
  <c r="I346" i="1"/>
  <c r="B346" i="1"/>
  <c r="M345" i="1"/>
  <c r="L345" i="1"/>
  <c r="I345" i="1"/>
  <c r="B345" i="1"/>
  <c r="M344" i="1"/>
  <c r="L344" i="1"/>
  <c r="I344" i="1"/>
  <c r="B344" i="1"/>
  <c r="M343" i="1"/>
  <c r="L343" i="1"/>
  <c r="I343" i="1"/>
  <c r="B343" i="1"/>
  <c r="M342" i="1"/>
  <c r="L342" i="1"/>
  <c r="I342" i="1"/>
  <c r="B342" i="1"/>
  <c r="M341" i="1"/>
  <c r="L341" i="1"/>
  <c r="I341" i="1"/>
  <c r="B341" i="1"/>
  <c r="M340" i="1"/>
  <c r="L340" i="1"/>
  <c r="I340" i="1"/>
  <c r="B340" i="1"/>
  <c r="M339" i="1"/>
  <c r="L339" i="1"/>
  <c r="I339" i="1"/>
  <c r="B339" i="1"/>
  <c r="M338" i="1"/>
  <c r="L338" i="1"/>
  <c r="I338" i="1"/>
  <c r="B338" i="1"/>
  <c r="M337" i="1"/>
  <c r="L337" i="1"/>
  <c r="I337" i="1"/>
  <c r="B337" i="1"/>
  <c r="M336" i="1"/>
  <c r="L336" i="1"/>
  <c r="I336" i="1"/>
  <c r="B336" i="1"/>
  <c r="M335" i="1"/>
  <c r="L335" i="1"/>
  <c r="I335" i="1"/>
  <c r="B335" i="1"/>
  <c r="M334" i="1"/>
  <c r="L334" i="1"/>
  <c r="I334" i="1"/>
  <c r="B334" i="1"/>
  <c r="M333" i="1"/>
  <c r="L333" i="1"/>
  <c r="I333" i="1"/>
  <c r="B333" i="1"/>
  <c r="M332" i="1"/>
  <c r="L332" i="1"/>
  <c r="I332" i="1"/>
  <c r="B332" i="1"/>
  <c r="M331" i="1"/>
  <c r="L331" i="1"/>
  <c r="I331" i="1"/>
  <c r="B331" i="1"/>
  <c r="M330" i="1"/>
  <c r="L330" i="1"/>
  <c r="I330" i="1"/>
  <c r="B330" i="1"/>
  <c r="M329" i="1"/>
  <c r="L329" i="1"/>
  <c r="I329" i="1"/>
  <c r="B329" i="1"/>
  <c r="M328" i="1"/>
  <c r="L328" i="1"/>
  <c r="I328" i="1"/>
  <c r="B328" i="1"/>
  <c r="M327" i="1"/>
  <c r="L327" i="1"/>
  <c r="I327" i="1"/>
  <c r="B327" i="1"/>
  <c r="M326" i="1"/>
  <c r="L326" i="1"/>
  <c r="I326" i="1"/>
  <c r="B326" i="1"/>
  <c r="M325" i="1"/>
  <c r="L325" i="1"/>
  <c r="I325" i="1"/>
  <c r="B325" i="1"/>
  <c r="M324" i="1"/>
  <c r="L324" i="1"/>
  <c r="I324" i="1"/>
  <c r="B324" i="1"/>
  <c r="M323" i="1"/>
  <c r="L323" i="1"/>
  <c r="I323" i="1"/>
  <c r="B323" i="1"/>
  <c r="M322" i="1"/>
  <c r="L322" i="1"/>
  <c r="I322" i="1"/>
  <c r="B322" i="1"/>
  <c r="M321" i="1"/>
  <c r="L321" i="1"/>
  <c r="I321" i="1"/>
  <c r="B321" i="1"/>
  <c r="M320" i="1"/>
  <c r="L320" i="1"/>
  <c r="I320" i="1"/>
  <c r="B320" i="1"/>
  <c r="M319" i="1"/>
  <c r="L319" i="1"/>
  <c r="I319" i="1"/>
  <c r="B319" i="1"/>
  <c r="M318" i="1"/>
  <c r="L318" i="1"/>
  <c r="I318" i="1"/>
  <c r="B318" i="1"/>
  <c r="M317" i="1"/>
  <c r="L317" i="1"/>
  <c r="I317" i="1"/>
  <c r="B317" i="1"/>
  <c r="M316" i="1"/>
  <c r="L316" i="1"/>
  <c r="I316" i="1"/>
  <c r="B316" i="1"/>
  <c r="M315" i="1"/>
  <c r="L315" i="1"/>
  <c r="I315" i="1"/>
  <c r="B315" i="1"/>
  <c r="M314" i="1"/>
  <c r="L314" i="1"/>
  <c r="I314" i="1"/>
  <c r="B314" i="1"/>
  <c r="M313" i="1"/>
  <c r="L313" i="1"/>
  <c r="I313" i="1"/>
  <c r="B313" i="1"/>
  <c r="M312" i="1"/>
  <c r="L312" i="1"/>
  <c r="I312" i="1"/>
  <c r="B312" i="1"/>
  <c r="M311" i="1"/>
  <c r="L311" i="1"/>
  <c r="I311" i="1"/>
  <c r="B311" i="1"/>
  <c r="M310" i="1"/>
  <c r="L310" i="1"/>
  <c r="I310" i="1"/>
  <c r="B310" i="1"/>
  <c r="M309" i="1"/>
  <c r="L309" i="1"/>
  <c r="I309" i="1"/>
  <c r="B309" i="1"/>
  <c r="M308" i="1"/>
  <c r="L308" i="1"/>
  <c r="I308" i="1"/>
  <c r="B308" i="1"/>
  <c r="M307" i="1"/>
  <c r="L307" i="1"/>
  <c r="I307" i="1"/>
  <c r="B307" i="1"/>
  <c r="M306" i="1"/>
  <c r="L306" i="1"/>
  <c r="I306" i="1"/>
  <c r="B306" i="1"/>
  <c r="M305" i="1"/>
  <c r="L305" i="1"/>
  <c r="I305" i="1"/>
  <c r="B305" i="1"/>
  <c r="M304" i="1"/>
  <c r="L304" i="1"/>
  <c r="I304" i="1"/>
  <c r="B304" i="1"/>
  <c r="M303" i="1"/>
  <c r="L303" i="1"/>
  <c r="I303" i="1"/>
  <c r="B303" i="1"/>
  <c r="M302" i="1"/>
  <c r="L302" i="1"/>
  <c r="I302" i="1"/>
  <c r="B302" i="1"/>
  <c r="M301" i="1"/>
  <c r="L301" i="1"/>
  <c r="I301" i="1"/>
  <c r="B301" i="1"/>
  <c r="M300" i="1"/>
  <c r="L300" i="1"/>
  <c r="I300" i="1"/>
  <c r="B300" i="1"/>
  <c r="M299" i="1"/>
  <c r="L299" i="1"/>
  <c r="I299" i="1"/>
  <c r="B299" i="1"/>
  <c r="M298" i="1"/>
  <c r="L298" i="1"/>
  <c r="I298" i="1"/>
  <c r="B298" i="1"/>
  <c r="M297" i="1"/>
  <c r="L297" i="1"/>
  <c r="I297" i="1"/>
  <c r="B297" i="1"/>
  <c r="M296" i="1"/>
  <c r="L296" i="1"/>
  <c r="I296" i="1"/>
  <c r="B296" i="1"/>
  <c r="M295" i="1"/>
  <c r="L295" i="1"/>
  <c r="I295" i="1"/>
  <c r="B295" i="1"/>
  <c r="M294" i="1"/>
  <c r="L294" i="1"/>
  <c r="I294" i="1"/>
  <c r="B294" i="1"/>
  <c r="M293" i="1"/>
  <c r="L293" i="1"/>
  <c r="I293" i="1"/>
  <c r="B293" i="1"/>
  <c r="M292" i="1"/>
  <c r="L292" i="1"/>
  <c r="I292" i="1"/>
  <c r="B292" i="1"/>
  <c r="M291" i="1"/>
  <c r="L291" i="1"/>
  <c r="I291" i="1"/>
  <c r="B291" i="1"/>
  <c r="M290" i="1"/>
  <c r="L290" i="1"/>
  <c r="I290" i="1"/>
  <c r="B290" i="1"/>
  <c r="M289" i="1"/>
  <c r="L289" i="1"/>
  <c r="I289" i="1"/>
  <c r="B289" i="1"/>
  <c r="M288" i="1"/>
  <c r="L288" i="1"/>
  <c r="I288" i="1"/>
  <c r="B288" i="1"/>
  <c r="M287" i="1"/>
  <c r="L287" i="1"/>
  <c r="I287" i="1"/>
  <c r="B287" i="1"/>
  <c r="M286" i="1"/>
  <c r="L286" i="1"/>
  <c r="I286" i="1"/>
  <c r="B286" i="1"/>
  <c r="M285" i="1"/>
  <c r="L285" i="1"/>
  <c r="I285" i="1"/>
  <c r="B285" i="1"/>
  <c r="M284" i="1"/>
  <c r="L284" i="1"/>
  <c r="I284" i="1"/>
  <c r="B284" i="1"/>
  <c r="M283" i="1"/>
  <c r="L283" i="1"/>
  <c r="I283" i="1"/>
  <c r="B283" i="1"/>
  <c r="M282" i="1"/>
  <c r="L282" i="1"/>
  <c r="I282" i="1"/>
  <c r="B282" i="1"/>
  <c r="M281" i="1"/>
  <c r="L281" i="1"/>
  <c r="I281" i="1"/>
  <c r="B281" i="1"/>
  <c r="M280" i="1"/>
  <c r="L280" i="1"/>
  <c r="I280" i="1"/>
  <c r="B280" i="1"/>
  <c r="M279" i="1"/>
  <c r="L279" i="1"/>
  <c r="I279" i="1"/>
  <c r="B279" i="1"/>
  <c r="M278" i="1"/>
  <c r="L278" i="1"/>
  <c r="I278" i="1"/>
  <c r="B278" i="1"/>
  <c r="M277" i="1"/>
  <c r="L277" i="1"/>
  <c r="I277" i="1"/>
  <c r="B277" i="1"/>
  <c r="M276" i="1"/>
  <c r="L276" i="1"/>
  <c r="I276" i="1"/>
  <c r="B276" i="1"/>
  <c r="M275" i="1"/>
  <c r="L275" i="1"/>
  <c r="I275" i="1"/>
  <c r="B275" i="1"/>
  <c r="M274" i="1"/>
  <c r="L274" i="1"/>
  <c r="I274" i="1"/>
  <c r="B274" i="1"/>
  <c r="M273" i="1"/>
  <c r="L273" i="1"/>
  <c r="I273" i="1"/>
  <c r="B273" i="1"/>
  <c r="M272" i="1"/>
  <c r="L272" i="1"/>
  <c r="I272" i="1"/>
  <c r="B272" i="1"/>
  <c r="M271" i="1"/>
  <c r="L271" i="1"/>
  <c r="I271" i="1"/>
  <c r="B271" i="1"/>
  <c r="M270" i="1"/>
  <c r="L270" i="1"/>
  <c r="I270" i="1"/>
  <c r="B270" i="1"/>
  <c r="M269" i="1"/>
  <c r="L269" i="1"/>
  <c r="I269" i="1"/>
  <c r="B269" i="1"/>
  <c r="M268" i="1"/>
  <c r="L268" i="1"/>
  <c r="I268" i="1"/>
  <c r="B268" i="1"/>
  <c r="M267" i="1"/>
  <c r="L267" i="1"/>
  <c r="I267" i="1"/>
  <c r="B267" i="1"/>
  <c r="M266" i="1"/>
  <c r="L266" i="1"/>
  <c r="I266" i="1"/>
  <c r="B266" i="1"/>
  <c r="M265" i="1"/>
  <c r="L265" i="1"/>
  <c r="I265" i="1"/>
  <c r="B265" i="1"/>
  <c r="M264" i="1"/>
  <c r="L264" i="1"/>
  <c r="I264" i="1"/>
  <c r="B264" i="1"/>
  <c r="M263" i="1"/>
  <c r="L263" i="1"/>
  <c r="I263" i="1"/>
  <c r="B263" i="1"/>
  <c r="M262" i="1"/>
  <c r="L262" i="1"/>
  <c r="I262" i="1"/>
  <c r="B262" i="1"/>
  <c r="M261" i="1"/>
  <c r="L261" i="1"/>
  <c r="I261" i="1"/>
  <c r="B261" i="1"/>
  <c r="M260" i="1"/>
  <c r="L260" i="1"/>
  <c r="I260" i="1"/>
  <c r="B260" i="1"/>
  <c r="M259" i="1"/>
  <c r="L259" i="1"/>
  <c r="I259" i="1"/>
  <c r="B259" i="1"/>
  <c r="M258" i="1"/>
  <c r="L258" i="1"/>
  <c r="I258" i="1"/>
  <c r="B258" i="1"/>
  <c r="M257" i="1"/>
  <c r="L257" i="1"/>
  <c r="I257" i="1"/>
  <c r="B257" i="1"/>
  <c r="M256" i="1"/>
  <c r="L256" i="1"/>
  <c r="I256" i="1"/>
  <c r="B256" i="1"/>
  <c r="M255" i="1"/>
  <c r="L255" i="1"/>
  <c r="I255" i="1"/>
  <c r="B255" i="1"/>
  <c r="M254" i="1"/>
  <c r="L254" i="1"/>
  <c r="I254" i="1"/>
  <c r="B254" i="1"/>
  <c r="M253" i="1"/>
  <c r="L253" i="1"/>
  <c r="I253" i="1"/>
  <c r="B253" i="1"/>
  <c r="M252" i="1"/>
  <c r="L252" i="1"/>
  <c r="I252" i="1"/>
  <c r="B252" i="1"/>
  <c r="M251" i="1"/>
  <c r="L251" i="1"/>
  <c r="I251" i="1"/>
  <c r="B251" i="1"/>
  <c r="M250" i="1"/>
  <c r="L250" i="1"/>
  <c r="I250" i="1"/>
  <c r="B250" i="1"/>
  <c r="M249" i="1"/>
  <c r="L249" i="1"/>
  <c r="I249" i="1"/>
  <c r="B249" i="1"/>
  <c r="M248" i="1"/>
  <c r="L248" i="1"/>
  <c r="I248" i="1"/>
  <c r="B248" i="1"/>
  <c r="M247" i="1"/>
  <c r="L247" i="1"/>
  <c r="I247" i="1"/>
  <c r="B247" i="1"/>
  <c r="M246" i="1"/>
  <c r="L246" i="1"/>
  <c r="I246" i="1"/>
  <c r="B246" i="1"/>
  <c r="M245" i="1"/>
  <c r="L245" i="1"/>
  <c r="I245" i="1"/>
  <c r="B245" i="1"/>
  <c r="M244" i="1"/>
  <c r="L244" i="1"/>
  <c r="I244" i="1"/>
  <c r="B244" i="1"/>
  <c r="M243" i="1"/>
  <c r="L243" i="1"/>
  <c r="I243" i="1"/>
  <c r="B243" i="1"/>
  <c r="M242" i="1"/>
  <c r="L242" i="1"/>
  <c r="I242" i="1"/>
  <c r="B242" i="1"/>
  <c r="M241" i="1"/>
  <c r="L241" i="1"/>
  <c r="I241" i="1"/>
  <c r="B241" i="1"/>
  <c r="M240" i="1"/>
  <c r="L240" i="1"/>
  <c r="I240" i="1"/>
  <c r="B240" i="1"/>
  <c r="M239" i="1"/>
  <c r="L239" i="1"/>
  <c r="I239" i="1"/>
  <c r="B239" i="1"/>
  <c r="M238" i="1"/>
  <c r="L238" i="1"/>
  <c r="I238" i="1"/>
  <c r="B238" i="1"/>
  <c r="M237" i="1"/>
  <c r="L237" i="1"/>
  <c r="I237" i="1"/>
  <c r="B237" i="1"/>
  <c r="M236" i="1"/>
  <c r="L236" i="1"/>
  <c r="I236" i="1"/>
  <c r="B236" i="1"/>
  <c r="M235" i="1"/>
  <c r="L235" i="1"/>
  <c r="I235" i="1"/>
  <c r="B235" i="1"/>
  <c r="M234" i="1"/>
  <c r="L234" i="1"/>
  <c r="I234" i="1"/>
  <c r="B234" i="1"/>
  <c r="M233" i="1"/>
  <c r="L233" i="1"/>
  <c r="I233" i="1"/>
  <c r="B233" i="1"/>
  <c r="M232" i="1"/>
  <c r="L232" i="1"/>
  <c r="I232" i="1"/>
  <c r="B232" i="1"/>
  <c r="M231" i="1"/>
  <c r="L231" i="1"/>
  <c r="I231" i="1"/>
  <c r="B231" i="1"/>
  <c r="M230" i="1"/>
  <c r="L230" i="1"/>
  <c r="I230" i="1"/>
  <c r="B230" i="1"/>
  <c r="M229" i="1"/>
  <c r="L229" i="1"/>
  <c r="I229" i="1"/>
  <c r="B229" i="1"/>
  <c r="M228" i="1"/>
  <c r="L228" i="1"/>
  <c r="I228" i="1"/>
  <c r="B228" i="1"/>
  <c r="M227" i="1"/>
  <c r="L227" i="1"/>
  <c r="I227" i="1"/>
  <c r="B227" i="1"/>
  <c r="M226" i="1"/>
  <c r="L226" i="1"/>
  <c r="I226" i="1"/>
  <c r="B226" i="1"/>
  <c r="M225" i="1"/>
  <c r="L225" i="1"/>
  <c r="I225" i="1"/>
  <c r="B225" i="1"/>
  <c r="M224" i="1"/>
  <c r="L224" i="1"/>
  <c r="I224" i="1"/>
  <c r="B224" i="1"/>
  <c r="M223" i="1"/>
  <c r="L223" i="1"/>
  <c r="I223" i="1"/>
  <c r="B223" i="1"/>
  <c r="M222" i="1"/>
  <c r="L222" i="1"/>
  <c r="I222" i="1"/>
  <c r="B222" i="1"/>
  <c r="M221" i="1"/>
  <c r="L221" i="1"/>
  <c r="I221" i="1"/>
  <c r="B221" i="1"/>
  <c r="M220" i="1"/>
  <c r="L220" i="1"/>
  <c r="I220" i="1"/>
  <c r="B220" i="1"/>
  <c r="M219" i="1"/>
  <c r="L219" i="1"/>
  <c r="I219" i="1"/>
  <c r="B219" i="1"/>
  <c r="M218" i="1"/>
  <c r="L218" i="1"/>
  <c r="I218" i="1"/>
  <c r="B218" i="1"/>
  <c r="M217" i="1"/>
  <c r="L217" i="1"/>
  <c r="I217" i="1"/>
  <c r="B217" i="1"/>
  <c r="M216" i="1"/>
  <c r="L216" i="1"/>
  <c r="I216" i="1"/>
  <c r="B216" i="1"/>
  <c r="M215" i="1"/>
  <c r="L215" i="1"/>
  <c r="I215" i="1"/>
  <c r="B215" i="1"/>
  <c r="M214" i="1"/>
  <c r="L214" i="1"/>
  <c r="I214" i="1"/>
  <c r="B214" i="1"/>
  <c r="M213" i="1"/>
  <c r="L213" i="1"/>
  <c r="I213" i="1"/>
  <c r="B213" i="1"/>
  <c r="M212" i="1"/>
  <c r="L212" i="1"/>
  <c r="I212" i="1"/>
  <c r="B212" i="1"/>
  <c r="M211" i="1"/>
  <c r="L211" i="1"/>
  <c r="I211" i="1"/>
  <c r="B211" i="1"/>
  <c r="M210" i="1"/>
  <c r="L210" i="1"/>
  <c r="I210" i="1"/>
  <c r="B210" i="1"/>
  <c r="M209" i="1"/>
  <c r="L209" i="1"/>
  <c r="I209" i="1"/>
  <c r="B209" i="1"/>
  <c r="M208" i="1"/>
  <c r="L208" i="1"/>
  <c r="I208" i="1"/>
  <c r="B208" i="1"/>
  <c r="M207" i="1"/>
  <c r="L207" i="1"/>
  <c r="I207" i="1"/>
  <c r="B207" i="1"/>
  <c r="M206" i="1"/>
  <c r="L206" i="1"/>
  <c r="I206" i="1"/>
  <c r="B206" i="1"/>
  <c r="M205" i="1"/>
  <c r="L205" i="1"/>
  <c r="I205" i="1"/>
  <c r="B205" i="1"/>
  <c r="M204" i="1"/>
  <c r="L204" i="1"/>
  <c r="I204" i="1"/>
  <c r="B204" i="1"/>
  <c r="M203" i="1"/>
  <c r="L203" i="1"/>
  <c r="I203" i="1"/>
  <c r="B203" i="1"/>
  <c r="M202" i="1"/>
  <c r="L202" i="1"/>
  <c r="I202" i="1"/>
  <c r="B202" i="1"/>
  <c r="M201" i="1"/>
  <c r="L201" i="1"/>
  <c r="I201" i="1"/>
  <c r="B201" i="1"/>
  <c r="M200" i="1"/>
  <c r="L200" i="1"/>
  <c r="I200" i="1"/>
  <c r="B200" i="1"/>
  <c r="M199" i="1"/>
  <c r="L199" i="1"/>
  <c r="I199" i="1"/>
  <c r="B199" i="1"/>
  <c r="M198" i="1"/>
  <c r="L198" i="1"/>
  <c r="I198" i="1"/>
  <c r="B198" i="1"/>
  <c r="M197" i="1"/>
  <c r="L197" i="1"/>
  <c r="I197" i="1"/>
  <c r="B197" i="1"/>
  <c r="M196" i="1"/>
  <c r="L196" i="1"/>
  <c r="I196" i="1"/>
  <c r="B196" i="1"/>
  <c r="M195" i="1"/>
  <c r="L195" i="1"/>
  <c r="I195" i="1"/>
  <c r="B195" i="1"/>
  <c r="M194" i="1"/>
  <c r="L194" i="1"/>
  <c r="I194" i="1"/>
  <c r="B194" i="1"/>
  <c r="M193" i="1"/>
  <c r="L193" i="1"/>
  <c r="I193" i="1"/>
  <c r="B193" i="1"/>
  <c r="M192" i="1"/>
  <c r="L192" i="1"/>
  <c r="I192" i="1"/>
  <c r="B192" i="1"/>
  <c r="M191" i="1"/>
  <c r="L191" i="1"/>
  <c r="I191" i="1"/>
  <c r="B191" i="1"/>
  <c r="M190" i="1"/>
  <c r="L190" i="1"/>
  <c r="I190" i="1"/>
  <c r="B190" i="1"/>
  <c r="M189" i="1"/>
  <c r="L189" i="1"/>
  <c r="I189" i="1"/>
  <c r="B189" i="1"/>
  <c r="M188" i="1"/>
  <c r="L188" i="1"/>
  <c r="I188" i="1"/>
  <c r="B188" i="1"/>
  <c r="M187" i="1"/>
  <c r="L187" i="1"/>
  <c r="I187" i="1"/>
  <c r="B187" i="1"/>
  <c r="M186" i="1"/>
  <c r="L186" i="1"/>
  <c r="I186" i="1"/>
  <c r="B186" i="1"/>
  <c r="M185" i="1"/>
  <c r="L185" i="1"/>
  <c r="I185" i="1"/>
  <c r="B185" i="1"/>
  <c r="M184" i="1"/>
  <c r="L184" i="1"/>
  <c r="I184" i="1"/>
  <c r="B184" i="1"/>
  <c r="M183" i="1"/>
  <c r="L183" i="1"/>
  <c r="I183" i="1"/>
  <c r="B183" i="1"/>
  <c r="M182" i="1"/>
  <c r="L182" i="1"/>
  <c r="I182" i="1"/>
  <c r="B182" i="1"/>
  <c r="M181" i="1"/>
  <c r="L181" i="1"/>
  <c r="I181" i="1"/>
  <c r="B181" i="1"/>
  <c r="M180" i="1"/>
  <c r="L180" i="1"/>
  <c r="I180" i="1"/>
  <c r="B180" i="1"/>
  <c r="M179" i="1"/>
  <c r="L179" i="1"/>
  <c r="I179" i="1"/>
  <c r="B179" i="1"/>
  <c r="M178" i="1"/>
  <c r="L178" i="1"/>
  <c r="I178" i="1"/>
  <c r="B178" i="1"/>
  <c r="M177" i="1"/>
  <c r="L177" i="1"/>
  <c r="I177" i="1"/>
  <c r="B177" i="1"/>
  <c r="M176" i="1"/>
  <c r="L176" i="1"/>
  <c r="I176" i="1"/>
  <c r="B176" i="1"/>
  <c r="M175" i="1"/>
  <c r="L175" i="1"/>
  <c r="I175" i="1"/>
  <c r="B175" i="1"/>
  <c r="M174" i="1"/>
  <c r="L174" i="1"/>
  <c r="I174" i="1"/>
  <c r="B174" i="1"/>
  <c r="M173" i="1"/>
  <c r="L173" i="1"/>
  <c r="I173" i="1"/>
  <c r="B173" i="1"/>
  <c r="M172" i="1"/>
  <c r="L172" i="1"/>
  <c r="I172" i="1"/>
  <c r="B172" i="1"/>
  <c r="M171" i="1"/>
  <c r="L171" i="1"/>
  <c r="I171" i="1"/>
  <c r="B171" i="1"/>
  <c r="M170" i="1"/>
  <c r="L170" i="1"/>
  <c r="I170" i="1"/>
  <c r="B170" i="1"/>
  <c r="M169" i="1"/>
  <c r="L169" i="1"/>
  <c r="I169" i="1"/>
  <c r="B169" i="1"/>
  <c r="M168" i="1"/>
  <c r="L168" i="1"/>
  <c r="I168" i="1"/>
  <c r="B168" i="1"/>
  <c r="M167" i="1"/>
  <c r="L167" i="1"/>
  <c r="I167" i="1"/>
  <c r="B167" i="1"/>
  <c r="M166" i="1"/>
  <c r="L166" i="1"/>
  <c r="I166" i="1"/>
  <c r="B166" i="1"/>
  <c r="M165" i="1"/>
  <c r="L165" i="1"/>
  <c r="I165" i="1"/>
  <c r="B165" i="1"/>
  <c r="M164" i="1"/>
  <c r="L164" i="1"/>
  <c r="I164" i="1"/>
  <c r="B164" i="1"/>
  <c r="M163" i="1"/>
  <c r="L163" i="1"/>
  <c r="I163" i="1"/>
  <c r="B163" i="1"/>
  <c r="M162" i="1"/>
  <c r="L162" i="1"/>
  <c r="I162" i="1"/>
  <c r="B162" i="1"/>
  <c r="M161" i="1"/>
  <c r="L161" i="1"/>
  <c r="I161" i="1"/>
  <c r="B161" i="1"/>
  <c r="M160" i="1"/>
  <c r="L160" i="1"/>
  <c r="I160" i="1"/>
  <c r="B160" i="1"/>
  <c r="M159" i="1"/>
  <c r="L159" i="1"/>
  <c r="I159" i="1"/>
  <c r="B159" i="1"/>
  <c r="M158" i="1"/>
  <c r="L158" i="1"/>
  <c r="I158" i="1"/>
  <c r="B158" i="1"/>
  <c r="M157" i="1"/>
  <c r="L157" i="1"/>
  <c r="I157" i="1"/>
  <c r="B157" i="1"/>
  <c r="M156" i="1"/>
  <c r="L156" i="1"/>
  <c r="I156" i="1"/>
  <c r="B156" i="1"/>
  <c r="M155" i="1"/>
  <c r="L155" i="1"/>
  <c r="I155" i="1"/>
  <c r="B155" i="1"/>
  <c r="M154" i="1"/>
  <c r="L154" i="1"/>
  <c r="I154" i="1"/>
  <c r="B154" i="1"/>
  <c r="M153" i="1"/>
  <c r="L153" i="1"/>
  <c r="I153" i="1"/>
  <c r="B153" i="1"/>
  <c r="M152" i="1"/>
  <c r="L152" i="1"/>
  <c r="I152" i="1"/>
  <c r="B152" i="1"/>
  <c r="M151" i="1"/>
  <c r="L151" i="1"/>
  <c r="I151" i="1"/>
  <c r="B151" i="1"/>
  <c r="M150" i="1"/>
  <c r="L150" i="1"/>
  <c r="I150" i="1"/>
  <c r="B150" i="1"/>
  <c r="M149" i="1"/>
  <c r="L149" i="1"/>
  <c r="I149" i="1"/>
  <c r="B149" i="1"/>
  <c r="M148" i="1"/>
  <c r="L148" i="1"/>
  <c r="I148" i="1"/>
  <c r="B148" i="1"/>
  <c r="M147" i="1"/>
  <c r="L147" i="1"/>
  <c r="I147" i="1"/>
  <c r="B147" i="1"/>
  <c r="M146" i="1"/>
  <c r="L146" i="1"/>
  <c r="I146" i="1"/>
  <c r="B146" i="1"/>
  <c r="M145" i="1"/>
  <c r="L145" i="1"/>
  <c r="I145" i="1"/>
  <c r="B145" i="1"/>
  <c r="M144" i="1"/>
  <c r="L144" i="1"/>
  <c r="I144" i="1"/>
  <c r="B144" i="1"/>
  <c r="M143" i="1"/>
  <c r="L143" i="1"/>
  <c r="I143" i="1"/>
  <c r="B143" i="1"/>
  <c r="M142" i="1"/>
  <c r="L142" i="1"/>
  <c r="I142" i="1"/>
  <c r="B142" i="1"/>
  <c r="M141" i="1"/>
  <c r="L141" i="1"/>
  <c r="I141" i="1"/>
  <c r="B141" i="1"/>
  <c r="M140" i="1"/>
  <c r="L140" i="1"/>
  <c r="I140" i="1"/>
  <c r="B140" i="1"/>
  <c r="M139" i="1"/>
  <c r="L139" i="1"/>
  <c r="I139" i="1"/>
  <c r="B139" i="1"/>
  <c r="M138" i="1"/>
  <c r="L138" i="1"/>
  <c r="I138" i="1"/>
  <c r="B138" i="1"/>
  <c r="M137" i="1"/>
  <c r="L137" i="1"/>
  <c r="I137" i="1"/>
  <c r="B137" i="1"/>
  <c r="M136" i="1"/>
  <c r="L136" i="1"/>
  <c r="I136" i="1"/>
  <c r="B136" i="1"/>
  <c r="M135" i="1"/>
  <c r="L135" i="1"/>
  <c r="I135" i="1"/>
  <c r="B135" i="1"/>
  <c r="M134" i="1"/>
  <c r="L134" i="1"/>
  <c r="I134" i="1"/>
  <c r="B134" i="1"/>
  <c r="M133" i="1"/>
  <c r="L133" i="1"/>
  <c r="I133" i="1"/>
  <c r="B133" i="1"/>
  <c r="M132" i="1"/>
  <c r="L132" i="1"/>
  <c r="I132" i="1"/>
  <c r="B132" i="1"/>
  <c r="M131" i="1"/>
  <c r="L131" i="1"/>
  <c r="I131" i="1"/>
  <c r="B131" i="1"/>
  <c r="M130" i="1"/>
  <c r="L130" i="1"/>
  <c r="I130" i="1"/>
  <c r="B130" i="1"/>
  <c r="M129" i="1"/>
  <c r="L129" i="1"/>
  <c r="I129" i="1"/>
  <c r="B129" i="1"/>
  <c r="M128" i="1"/>
  <c r="L128" i="1"/>
  <c r="I128" i="1"/>
  <c r="B128" i="1"/>
  <c r="M127" i="1"/>
  <c r="L127" i="1"/>
  <c r="I127" i="1"/>
  <c r="B127" i="1"/>
  <c r="M126" i="1"/>
  <c r="L126" i="1"/>
  <c r="I126" i="1"/>
  <c r="B126" i="1"/>
  <c r="M125" i="1"/>
  <c r="L125" i="1"/>
  <c r="I125" i="1"/>
  <c r="B125" i="1"/>
  <c r="M124" i="1"/>
  <c r="L124" i="1"/>
  <c r="I124" i="1"/>
  <c r="B124" i="1"/>
  <c r="M123" i="1"/>
  <c r="L123" i="1"/>
  <c r="I123" i="1"/>
  <c r="B123" i="1"/>
  <c r="M122" i="1"/>
  <c r="L122" i="1"/>
  <c r="I122" i="1"/>
  <c r="B122" i="1"/>
  <c r="M121" i="1"/>
  <c r="L121" i="1"/>
  <c r="I121" i="1"/>
  <c r="B121" i="1"/>
  <c r="M120" i="1"/>
  <c r="L120" i="1"/>
  <c r="I120" i="1"/>
  <c r="B120" i="1"/>
  <c r="M119" i="1"/>
  <c r="L119" i="1"/>
  <c r="I119" i="1"/>
  <c r="B119" i="1"/>
  <c r="M118" i="1"/>
  <c r="L118" i="1"/>
  <c r="I118" i="1"/>
  <c r="B118" i="1"/>
  <c r="M117" i="1"/>
  <c r="L117" i="1"/>
  <c r="I117" i="1"/>
  <c r="B117" i="1"/>
  <c r="M116" i="1"/>
  <c r="L116" i="1"/>
  <c r="I116" i="1"/>
  <c r="B116" i="1"/>
  <c r="M115" i="1"/>
  <c r="L115" i="1"/>
  <c r="I115" i="1"/>
  <c r="B115" i="1"/>
  <c r="M114" i="1"/>
  <c r="L114" i="1"/>
  <c r="I114" i="1"/>
  <c r="B114" i="1"/>
  <c r="M113" i="1"/>
  <c r="L113" i="1"/>
  <c r="I113" i="1"/>
  <c r="B113" i="1"/>
  <c r="M112" i="1"/>
  <c r="L112" i="1"/>
  <c r="I112" i="1"/>
  <c r="B112" i="1"/>
  <c r="M111" i="1"/>
  <c r="L111" i="1"/>
  <c r="I111" i="1"/>
  <c r="B111" i="1"/>
  <c r="M110" i="1"/>
  <c r="L110" i="1"/>
  <c r="I110" i="1"/>
  <c r="B110" i="1"/>
  <c r="M109" i="1"/>
  <c r="L109" i="1"/>
  <c r="I109" i="1"/>
  <c r="B109" i="1"/>
  <c r="M108" i="1"/>
  <c r="L108" i="1"/>
  <c r="I108" i="1"/>
  <c r="B108" i="1"/>
  <c r="M107" i="1"/>
  <c r="L107" i="1"/>
  <c r="I107" i="1"/>
  <c r="B107" i="1"/>
  <c r="M106" i="1"/>
  <c r="L106" i="1"/>
  <c r="I106" i="1"/>
  <c r="B106" i="1"/>
  <c r="M105" i="1"/>
  <c r="L105" i="1"/>
  <c r="I105" i="1"/>
  <c r="B105" i="1"/>
  <c r="M104" i="1"/>
  <c r="L104" i="1"/>
  <c r="I104" i="1"/>
  <c r="B104" i="1"/>
  <c r="M103" i="1"/>
  <c r="L103" i="1"/>
  <c r="I103" i="1"/>
  <c r="B103" i="1"/>
  <c r="M102" i="1"/>
  <c r="L102" i="1"/>
  <c r="I102" i="1"/>
  <c r="B102" i="1"/>
  <c r="M101" i="1"/>
  <c r="L101" i="1"/>
  <c r="I101" i="1"/>
  <c r="B101" i="1"/>
  <c r="M100" i="1"/>
  <c r="L100" i="1"/>
  <c r="I100" i="1"/>
  <c r="B100" i="1"/>
  <c r="M99" i="1"/>
  <c r="L99" i="1"/>
  <c r="I99" i="1"/>
  <c r="B99" i="1"/>
  <c r="M98" i="1"/>
  <c r="L98" i="1"/>
  <c r="I98" i="1"/>
  <c r="B98" i="1"/>
  <c r="M97" i="1"/>
  <c r="L97" i="1"/>
  <c r="I97" i="1"/>
  <c r="B97" i="1"/>
  <c r="M96" i="1"/>
  <c r="L96" i="1"/>
  <c r="I96" i="1"/>
  <c r="B96" i="1"/>
  <c r="M95" i="1"/>
  <c r="L95" i="1"/>
  <c r="I95" i="1"/>
  <c r="B95" i="1"/>
  <c r="M94" i="1"/>
  <c r="L94" i="1"/>
  <c r="I94" i="1"/>
  <c r="B94" i="1"/>
  <c r="M93" i="1"/>
  <c r="L93" i="1"/>
  <c r="I93" i="1"/>
  <c r="B93" i="1"/>
  <c r="M92" i="1"/>
  <c r="L92" i="1"/>
  <c r="I92" i="1"/>
  <c r="B92" i="1"/>
  <c r="M91" i="1"/>
  <c r="L91" i="1"/>
  <c r="I91" i="1"/>
  <c r="B91" i="1"/>
  <c r="M90" i="1"/>
  <c r="L90" i="1"/>
  <c r="I90" i="1"/>
  <c r="B90" i="1"/>
  <c r="M89" i="1"/>
  <c r="L89" i="1"/>
  <c r="I89" i="1"/>
  <c r="B89" i="1"/>
  <c r="M88" i="1"/>
  <c r="L88" i="1"/>
  <c r="I88" i="1"/>
  <c r="B88" i="1"/>
  <c r="M87" i="1"/>
  <c r="L87" i="1"/>
  <c r="I87" i="1"/>
  <c r="B87" i="1"/>
  <c r="M86" i="1"/>
  <c r="L86" i="1"/>
  <c r="I86" i="1"/>
  <c r="B86" i="1"/>
  <c r="M85" i="1"/>
  <c r="L85" i="1"/>
  <c r="I85" i="1"/>
  <c r="B85" i="1"/>
  <c r="M84" i="1"/>
  <c r="L84" i="1"/>
  <c r="I84" i="1"/>
  <c r="B84" i="1"/>
  <c r="M83" i="1"/>
  <c r="L83" i="1"/>
  <c r="I83" i="1"/>
  <c r="B83" i="1"/>
  <c r="M82" i="1"/>
  <c r="L82" i="1"/>
  <c r="I82" i="1"/>
  <c r="B82" i="1"/>
  <c r="M81" i="1"/>
  <c r="L81" i="1"/>
  <c r="I81" i="1"/>
  <c r="B81" i="1"/>
  <c r="M80" i="1"/>
  <c r="L80" i="1"/>
  <c r="I80" i="1"/>
  <c r="B80" i="1"/>
  <c r="M79" i="1"/>
  <c r="L79" i="1"/>
  <c r="I79" i="1"/>
  <c r="B79" i="1"/>
  <c r="M78" i="1"/>
  <c r="L78" i="1"/>
  <c r="I78" i="1"/>
  <c r="B78" i="1"/>
  <c r="M77" i="1"/>
  <c r="L77" i="1"/>
  <c r="I77" i="1"/>
  <c r="B77" i="1"/>
  <c r="M76" i="1"/>
  <c r="L76" i="1"/>
  <c r="I76" i="1"/>
  <c r="B76" i="1"/>
  <c r="M75" i="1"/>
  <c r="L75" i="1"/>
  <c r="I75" i="1"/>
  <c r="B75" i="1"/>
  <c r="M74" i="1"/>
  <c r="L74" i="1"/>
  <c r="I74" i="1"/>
  <c r="B74" i="1"/>
  <c r="M73" i="1"/>
  <c r="L73" i="1"/>
  <c r="I73" i="1"/>
  <c r="B73" i="1"/>
  <c r="M72" i="1"/>
  <c r="L72" i="1"/>
  <c r="I72" i="1"/>
  <c r="B72" i="1"/>
  <c r="M71" i="1"/>
  <c r="L71" i="1"/>
  <c r="I71" i="1"/>
  <c r="B71" i="1"/>
  <c r="M70" i="1"/>
  <c r="L70" i="1"/>
  <c r="I70" i="1"/>
  <c r="B70" i="1"/>
  <c r="M69" i="1"/>
  <c r="L69" i="1"/>
  <c r="I69" i="1"/>
  <c r="B69" i="1"/>
  <c r="M68" i="1"/>
  <c r="L68" i="1"/>
  <c r="I68" i="1"/>
  <c r="B68" i="1"/>
  <c r="M67" i="1"/>
  <c r="L67" i="1"/>
  <c r="I67" i="1"/>
  <c r="B67" i="1"/>
  <c r="M66" i="1"/>
  <c r="L66" i="1"/>
  <c r="I66" i="1"/>
  <c r="B66" i="1"/>
  <c r="M65" i="1"/>
  <c r="L65" i="1"/>
  <c r="I65" i="1"/>
  <c r="B65" i="1"/>
  <c r="M64" i="1"/>
  <c r="L64" i="1"/>
  <c r="I64" i="1"/>
  <c r="B64" i="1"/>
  <c r="M63" i="1"/>
  <c r="L63" i="1"/>
  <c r="I63" i="1"/>
  <c r="B63" i="1"/>
  <c r="M62" i="1"/>
  <c r="L62" i="1"/>
  <c r="I62" i="1"/>
  <c r="B62" i="1"/>
  <c r="M61" i="1"/>
  <c r="L61" i="1"/>
  <c r="I61" i="1"/>
  <c r="B61" i="1"/>
  <c r="M60" i="1"/>
  <c r="L60" i="1"/>
  <c r="I60" i="1"/>
  <c r="B60" i="1"/>
  <c r="M59" i="1"/>
  <c r="L59" i="1"/>
  <c r="I59" i="1"/>
  <c r="B59" i="1"/>
  <c r="M58" i="1"/>
  <c r="L58" i="1"/>
  <c r="I58" i="1"/>
  <c r="B58" i="1"/>
  <c r="M57" i="1"/>
  <c r="L57" i="1"/>
  <c r="I57" i="1"/>
  <c r="B57" i="1"/>
  <c r="M56" i="1"/>
  <c r="L56" i="1"/>
  <c r="I56" i="1"/>
  <c r="B56" i="1"/>
  <c r="M55" i="1"/>
  <c r="L55" i="1"/>
  <c r="I55" i="1"/>
  <c r="B55" i="1"/>
  <c r="M54" i="1"/>
  <c r="L54" i="1"/>
  <c r="I54" i="1"/>
  <c r="B54" i="1"/>
  <c r="M53" i="1"/>
  <c r="L53" i="1"/>
  <c r="I53" i="1"/>
  <c r="B53" i="1"/>
  <c r="M52" i="1"/>
  <c r="L52" i="1"/>
  <c r="I52" i="1"/>
  <c r="B52" i="1"/>
  <c r="M51" i="1"/>
  <c r="L51" i="1"/>
  <c r="I51" i="1"/>
  <c r="B51" i="1"/>
  <c r="M50" i="1"/>
  <c r="L50" i="1"/>
  <c r="I50" i="1"/>
  <c r="B50" i="1"/>
  <c r="M49" i="1"/>
  <c r="L49" i="1"/>
  <c r="I49" i="1"/>
  <c r="B49" i="1"/>
  <c r="M48" i="1"/>
  <c r="L48" i="1"/>
  <c r="I48" i="1"/>
  <c r="B48" i="1"/>
  <c r="M47" i="1"/>
  <c r="L47" i="1"/>
  <c r="I47" i="1"/>
  <c r="B47" i="1"/>
  <c r="M46" i="1"/>
  <c r="L46" i="1"/>
  <c r="I46" i="1"/>
  <c r="B46" i="1"/>
  <c r="M45" i="1"/>
  <c r="L45" i="1"/>
  <c r="I45" i="1"/>
  <c r="B45" i="1"/>
  <c r="M44" i="1"/>
  <c r="L44" i="1"/>
  <c r="I44" i="1"/>
  <c r="B44" i="1"/>
  <c r="M43" i="1"/>
  <c r="L43" i="1"/>
  <c r="I43" i="1"/>
  <c r="B43" i="1"/>
  <c r="M42" i="1"/>
  <c r="L42" i="1"/>
  <c r="I42" i="1"/>
  <c r="B42" i="1"/>
  <c r="M41" i="1"/>
  <c r="L41" i="1"/>
  <c r="I41" i="1"/>
  <c r="B41" i="1"/>
  <c r="M40" i="1"/>
  <c r="L40" i="1"/>
  <c r="I40" i="1"/>
  <c r="B40" i="1"/>
  <c r="M39" i="1"/>
  <c r="L39" i="1"/>
  <c r="I39" i="1"/>
  <c r="B39" i="1"/>
  <c r="M38" i="1"/>
  <c r="L38" i="1"/>
  <c r="I38" i="1"/>
  <c r="B38" i="1"/>
  <c r="M37" i="1"/>
  <c r="L37" i="1"/>
  <c r="I37" i="1"/>
  <c r="B37" i="1"/>
  <c r="M36" i="1"/>
  <c r="L36" i="1"/>
  <c r="I36" i="1"/>
  <c r="B36" i="1"/>
  <c r="M35" i="1"/>
  <c r="L35" i="1"/>
  <c r="I35" i="1"/>
  <c r="B35" i="1"/>
  <c r="M34" i="1"/>
  <c r="L34" i="1"/>
  <c r="I34" i="1"/>
  <c r="B34" i="1"/>
  <c r="M33" i="1"/>
  <c r="L33" i="1"/>
  <c r="I33" i="1"/>
  <c r="B33" i="1"/>
  <c r="M32" i="1"/>
  <c r="L32" i="1"/>
  <c r="I32" i="1"/>
  <c r="B32" i="1"/>
  <c r="M31" i="1"/>
  <c r="L31" i="1"/>
  <c r="I31" i="1"/>
  <c r="B31" i="1"/>
  <c r="M30" i="1"/>
  <c r="L30" i="1"/>
  <c r="I30" i="1"/>
  <c r="B30" i="1"/>
  <c r="M29" i="1"/>
  <c r="L29" i="1"/>
  <c r="I29" i="1"/>
  <c r="B29" i="1"/>
  <c r="M28" i="1"/>
  <c r="L28" i="1"/>
  <c r="I28" i="1"/>
  <c r="B28" i="1"/>
  <c r="M27" i="1"/>
  <c r="L27" i="1"/>
  <c r="I27" i="1"/>
  <c r="B27" i="1"/>
  <c r="M26" i="1"/>
  <c r="L26" i="1"/>
  <c r="I26" i="1"/>
  <c r="B26" i="1"/>
  <c r="M25" i="1"/>
  <c r="L25" i="1"/>
  <c r="I25" i="1"/>
  <c r="B25" i="1"/>
  <c r="M24" i="1"/>
  <c r="L24" i="1"/>
  <c r="I24" i="1"/>
  <c r="B24" i="1"/>
  <c r="M23" i="1"/>
  <c r="L23" i="1"/>
  <c r="I23" i="1"/>
  <c r="B23" i="1"/>
  <c r="M22" i="1"/>
  <c r="L22" i="1"/>
  <c r="I22" i="1"/>
  <c r="B22" i="1"/>
  <c r="M21" i="1"/>
  <c r="L21" i="1"/>
  <c r="I21" i="1"/>
  <c r="B21" i="1"/>
  <c r="M20" i="1"/>
  <c r="L20" i="1"/>
  <c r="I20" i="1"/>
  <c r="B20" i="1"/>
  <c r="M19" i="1"/>
  <c r="L19" i="1"/>
  <c r="I19" i="1"/>
  <c r="B19" i="1"/>
  <c r="M18" i="1"/>
  <c r="L18" i="1"/>
  <c r="I18" i="1"/>
  <c r="B18" i="1"/>
  <c r="M17" i="1"/>
  <c r="L17" i="1"/>
  <c r="I17" i="1"/>
  <c r="B17" i="1"/>
  <c r="M16" i="1"/>
  <c r="L16" i="1"/>
  <c r="I16" i="1"/>
  <c r="B16" i="1"/>
  <c r="M15" i="1"/>
  <c r="L15" i="1"/>
  <c r="I15" i="1"/>
  <c r="B15" i="1"/>
  <c r="M14" i="1"/>
  <c r="L14" i="1"/>
  <c r="I14" i="1"/>
  <c r="B14" i="1"/>
  <c r="M13" i="1"/>
  <c r="L13" i="1"/>
  <c r="I13" i="1"/>
  <c r="B13" i="1"/>
  <c r="M12" i="1"/>
  <c r="L12" i="1"/>
  <c r="I12" i="1"/>
  <c r="B12" i="1"/>
  <c r="M11" i="1"/>
  <c r="L11" i="1"/>
  <c r="I11" i="1"/>
  <c r="B11" i="1"/>
  <c r="M10" i="1"/>
  <c r="L10" i="1"/>
  <c r="I10" i="1"/>
  <c r="B10" i="1"/>
  <c r="M9" i="1"/>
  <c r="L9" i="1"/>
  <c r="I9" i="1"/>
  <c r="B9" i="1"/>
  <c r="M8" i="1"/>
  <c r="L8" i="1"/>
  <c r="I8" i="1"/>
  <c r="B8" i="1"/>
  <c r="M7" i="1"/>
  <c r="L7" i="1"/>
  <c r="I7" i="1"/>
  <c r="B7" i="1"/>
  <c r="M6" i="1"/>
  <c r="L6" i="1"/>
  <c r="I6" i="1"/>
  <c r="B6" i="1"/>
  <c r="M5" i="1"/>
  <c r="L5" i="1"/>
  <c r="I5" i="1"/>
  <c r="B5" i="1"/>
  <c r="M4" i="1"/>
  <c r="L4" i="1"/>
  <c r="I4" i="1"/>
  <c r="B4" i="1"/>
  <c r="M3" i="1"/>
  <c r="L3" i="1"/>
  <c r="I3" i="1"/>
  <c r="B3" i="1"/>
  <c r="M2" i="1"/>
  <c r="L2" i="1"/>
  <c r="I2" i="1"/>
  <c r="B2" i="1"/>
  <c r="M55" i="7"/>
  <c r="L55" i="7"/>
  <c r="M54" i="7"/>
  <c r="L54" i="7"/>
  <c r="M53" i="7"/>
  <c r="L53" i="7"/>
  <c r="M52" i="7"/>
  <c r="L52" i="7"/>
  <c r="M51" i="7"/>
  <c r="L51" i="7"/>
  <c r="M50" i="7"/>
  <c r="L50" i="7"/>
  <c r="M49" i="7"/>
  <c r="L49" i="7"/>
  <c r="M48" i="7"/>
  <c r="L48" i="7"/>
  <c r="M47" i="7"/>
  <c r="L47" i="7"/>
  <c r="M46" i="7"/>
  <c r="L46" i="7"/>
  <c r="F34" i="7"/>
  <c r="E30" i="6" s="1"/>
  <c r="H20" i="7"/>
  <c r="G20" i="7"/>
  <c r="H19" i="7"/>
  <c r="G19" i="7"/>
  <c r="H18" i="7"/>
  <c r="G18" i="7"/>
  <c r="H17" i="7"/>
  <c r="G17" i="7"/>
  <c r="H16" i="7"/>
  <c r="G16" i="7"/>
  <c r="H15" i="7"/>
  <c r="G15" i="7"/>
  <c r="H14" i="7"/>
  <c r="G14" i="7"/>
  <c r="H13" i="7"/>
  <c r="G13" i="7"/>
  <c r="H12" i="7"/>
  <c r="G12" i="7"/>
  <c r="H11" i="7"/>
  <c r="G11" i="7"/>
  <c r="H10" i="7"/>
  <c r="G10" i="7"/>
  <c r="L18" i="8"/>
  <c r="N23" i="8"/>
  <c r="N15" i="8"/>
  <c r="L21" i="8"/>
  <c r="O21" i="8"/>
  <c r="M19" i="8"/>
  <c r="P20" i="8"/>
  <c r="P23" i="8"/>
  <c r="P17" i="8"/>
  <c r="L13" i="8"/>
  <c r="O20" i="8"/>
  <c r="O15" i="8"/>
  <c r="M13" i="8"/>
  <c r="O17" i="8"/>
  <c r="N18" i="8"/>
  <c r="M22" i="8"/>
  <c r="M16" i="8"/>
  <c r="P22" i="8"/>
  <c r="L20" i="8"/>
  <c r="N19" i="8"/>
  <c r="M17" i="8"/>
  <c r="N21" i="8"/>
  <c r="L19" i="8"/>
  <c r="P21" i="8"/>
  <c r="P13" i="8"/>
  <c r="O22" i="8"/>
  <c r="M21" i="8"/>
  <c r="N22" i="8"/>
  <c r="N14" i="8"/>
  <c r="M14" i="8"/>
  <c r="N17" i="8"/>
  <c r="L17" i="8"/>
  <c r="N13" i="8"/>
  <c r="P14" i="8"/>
  <c r="P19" i="8"/>
  <c r="O13" i="8"/>
  <c r="O16" i="8"/>
  <c r="L15" i="8"/>
  <c r="N20" i="8"/>
  <c r="M20" i="8"/>
  <c r="L16" i="8"/>
  <c r="L22" i="8"/>
  <c r="L14" i="8"/>
  <c r="M23" i="8"/>
  <c r="P18" i="8"/>
  <c r="M15" i="8"/>
  <c r="O19" i="8"/>
  <c r="P15" i="8"/>
  <c r="O23" i="8"/>
  <c r="O14" i="8"/>
  <c r="P16" i="8"/>
  <c r="N16" i="8"/>
  <c r="M18" i="8"/>
  <c r="O18" i="8"/>
  <c r="L23" i="8"/>
  <c r="Y106" i="8"/>
  <c r="Y105" i="8"/>
  <c r="Y100" i="8"/>
  <c r="Y97" i="8"/>
  <c r="Y103" i="8"/>
  <c r="E70" i="7" l="1"/>
  <c r="I202" i="8"/>
  <c r="K201" i="8"/>
  <c r="K204" i="8"/>
  <c r="O78" i="1" a="1"/>
  <c r="O78" i="1" s="1"/>
  <c r="O2" i="1" a="1"/>
  <c r="O2" i="1" s="1"/>
  <c r="N3" i="1" a="1"/>
  <c r="N3" i="1" s="1"/>
  <c r="O4" i="1" a="1"/>
  <c r="O4" i="1" s="1"/>
  <c r="O5" i="1" a="1"/>
  <c r="O5" i="1" s="1"/>
  <c r="O8" i="1" a="1"/>
  <c r="O8" i="1" s="1"/>
  <c r="O13" i="1" a="1"/>
  <c r="O13" i="1" s="1"/>
  <c r="O14" i="1" a="1"/>
  <c r="O14" i="1" s="1"/>
  <c r="O17" i="1" a="1"/>
  <c r="O17" i="1" s="1"/>
  <c r="O22" i="1" a="1"/>
  <c r="O22" i="1" s="1"/>
  <c r="O23" i="1" a="1"/>
  <c r="O23" i="1" s="1"/>
  <c r="O26" i="1" a="1"/>
  <c r="O26" i="1" s="1"/>
  <c r="O29" i="1" a="1"/>
  <c r="O29" i="1" s="1"/>
  <c r="O32" i="1" a="1"/>
  <c r="O32" i="1" s="1"/>
  <c r="O35" i="1" a="1"/>
  <c r="O35" i="1" s="1"/>
  <c r="O38" i="1" a="1"/>
  <c r="O38" i="1" s="1"/>
  <c r="O41" i="1" a="1"/>
  <c r="O41" i="1" s="1"/>
  <c r="O44" i="1" a="1"/>
  <c r="O44" i="1" s="1"/>
  <c r="O47" i="1" a="1"/>
  <c r="O47" i="1" s="1"/>
  <c r="O50" i="1" a="1"/>
  <c r="O50" i="1" s="1"/>
  <c r="O6" i="1" a="1"/>
  <c r="O6" i="1" s="1"/>
  <c r="N14" i="1" a="1"/>
  <c r="N14" i="1" s="1"/>
  <c r="N21" i="1" a="1"/>
  <c r="N21" i="1" s="1"/>
  <c r="O25" i="1" a="1"/>
  <c r="O25" i="1" s="1"/>
  <c r="O39" i="1" a="1"/>
  <c r="O39" i="1" s="1"/>
  <c r="O48" i="1" a="1"/>
  <c r="O48" i="1" s="1"/>
  <c r="N48" i="1" a="1"/>
  <c r="N48" i="1" s="1"/>
  <c r="O53" i="1" a="1"/>
  <c r="O53" i="1" s="1"/>
  <c r="O54" i="1" a="1"/>
  <c r="O54" i="1" s="1"/>
  <c r="N54" i="1" a="1"/>
  <c r="N54" i="1" s="1"/>
  <c r="O56" i="1" a="1"/>
  <c r="O56" i="1" s="1"/>
  <c r="N61" i="1" a="1"/>
  <c r="N61" i="1" s="1"/>
  <c r="O69" i="1" a="1"/>
  <c r="O69" i="1" s="1"/>
  <c r="O73" i="1" a="1"/>
  <c r="O73" i="1" s="1"/>
  <c r="O75" i="1" a="1"/>
  <c r="O75" i="1" s="1"/>
  <c r="O80" i="1" a="1"/>
  <c r="O80" i="1" s="1"/>
  <c r="O81" i="1" a="1"/>
  <c r="O81" i="1" s="1"/>
  <c r="N81" i="1" a="1"/>
  <c r="N81" i="1" s="1"/>
  <c r="O84" i="1" a="1"/>
  <c r="O84" i="1" s="1"/>
  <c r="O89" i="1" a="1"/>
  <c r="O89" i="1" s="1"/>
  <c r="O90" i="1" a="1"/>
  <c r="O90" i="1" s="1"/>
  <c r="O93" i="1" a="1"/>
  <c r="O93" i="1" s="1"/>
  <c r="O96" i="1" a="1"/>
  <c r="O96" i="1" s="1"/>
  <c r="O99" i="1" a="1"/>
  <c r="O99" i="1" s="1"/>
  <c r="O102" i="1" a="1"/>
  <c r="O102" i="1" s="1"/>
  <c r="O105" i="1" a="1"/>
  <c r="O105" i="1" s="1"/>
  <c r="O108" i="1" a="1"/>
  <c r="O108" i="1" s="1"/>
  <c r="N5" i="1" a="1"/>
  <c r="N5" i="1" s="1"/>
  <c r="O11" i="1" a="1"/>
  <c r="O11" i="1" s="1"/>
  <c r="O15" i="1" a="1"/>
  <c r="O15" i="1" s="1"/>
  <c r="O20" i="1" a="1"/>
  <c r="O20" i="1" s="1"/>
  <c r="O24" i="1" a="1"/>
  <c r="O24" i="1" s="1"/>
  <c r="N27" i="1" a="1"/>
  <c r="N27" i="1" s="1"/>
  <c r="O36" i="1" a="1"/>
  <c r="O36" i="1" s="1"/>
  <c r="N39" i="1" a="1"/>
  <c r="N39" i="1" s="1"/>
  <c r="N6" i="1" a="1"/>
  <c r="N6" i="1" s="1"/>
  <c r="N8" i="1" a="1"/>
  <c r="N8" i="1" s="1"/>
  <c r="O9" i="1" a="1"/>
  <c r="O9" i="1" s="1"/>
  <c r="O10" i="1" a="1"/>
  <c r="O10" i="1" s="1"/>
  <c r="N15" i="1" a="1"/>
  <c r="N15" i="1" s="1"/>
  <c r="N17" i="1" a="1"/>
  <c r="N17" i="1" s="1"/>
  <c r="O18" i="1" a="1"/>
  <c r="O18" i="1" s="1"/>
  <c r="O19" i="1" a="1"/>
  <c r="O19" i="1" s="1"/>
  <c r="N24" i="1" a="1"/>
  <c r="N24" i="1" s="1"/>
  <c r="N26" i="1" a="1"/>
  <c r="N26" i="1" s="1"/>
  <c r="O31" i="1" a="1"/>
  <c r="O31" i="1" s="1"/>
  <c r="O33" i="1" a="1"/>
  <c r="O33" i="1" s="1"/>
  <c r="N33" i="1" a="1"/>
  <c r="N33" i="1" s="1"/>
  <c r="N36" i="1" a="1"/>
  <c r="N36" i="1" s="1"/>
  <c r="O43" i="1" a="1"/>
  <c r="O43" i="1" s="1"/>
  <c r="O45" i="1" a="1"/>
  <c r="O45" i="1" s="1"/>
  <c r="N45" i="1" a="1"/>
  <c r="N45" i="1" s="1"/>
  <c r="O52" i="1" a="1"/>
  <c r="O52" i="1" s="1"/>
  <c r="O55" i="1" a="1"/>
  <c r="O55" i="1" s="1"/>
  <c r="O57" i="1" a="1"/>
  <c r="O57" i="1" s="1"/>
  <c r="O62" i="1" a="1"/>
  <c r="O62" i="1" s="1"/>
  <c r="O63" i="1" a="1"/>
  <c r="O63" i="1" s="1"/>
  <c r="N63" i="1" a="1"/>
  <c r="N63" i="1" s="1"/>
  <c r="O65" i="1" a="1"/>
  <c r="O65" i="1" s="1"/>
  <c r="N70" i="1" a="1"/>
  <c r="N70" i="1" s="1"/>
  <c r="O82" i="1" a="1"/>
  <c r="O82" i="1" s="1"/>
  <c r="O7" i="1" a="1"/>
  <c r="O7" i="1" s="1"/>
  <c r="N12" i="1" a="1"/>
  <c r="N12" i="1" s="1"/>
  <c r="O16" i="1" a="1"/>
  <c r="O16" i="1" s="1"/>
  <c r="N23" i="1" a="1"/>
  <c r="N23" i="1" s="1"/>
  <c r="O27" i="1" a="1"/>
  <c r="O27" i="1" s="1"/>
  <c r="O34" i="1" a="1"/>
  <c r="O34" i="1" s="1"/>
  <c r="O37" i="1" a="1"/>
  <c r="O37" i="1" s="1"/>
  <c r="O46" i="1" a="1"/>
  <c r="O46" i="1" s="1"/>
  <c r="N912" i="1" a="1"/>
  <c r="N912" i="1" s="1"/>
  <c r="N911" i="1" a="1"/>
  <c r="N911" i="1" s="1"/>
  <c r="N910" i="1" a="1"/>
  <c r="N910" i="1" s="1"/>
  <c r="N909" i="1" a="1"/>
  <c r="N909" i="1" s="1"/>
  <c r="N908" i="1" a="1"/>
  <c r="N908" i="1" s="1"/>
  <c r="N907" i="1" a="1"/>
  <c r="N907" i="1" s="1"/>
  <c r="N906" i="1" a="1"/>
  <c r="N906" i="1" s="1"/>
  <c r="N905" i="1" a="1"/>
  <c r="N905" i="1" s="1"/>
  <c r="N904" i="1" a="1"/>
  <c r="N904" i="1" s="1"/>
  <c r="N903" i="1" a="1"/>
  <c r="N903" i="1" s="1"/>
  <c r="N902" i="1" a="1"/>
  <c r="N902" i="1" s="1"/>
  <c r="N901" i="1" a="1"/>
  <c r="N901" i="1" s="1"/>
  <c r="N900" i="1" a="1"/>
  <c r="N900" i="1" s="1"/>
  <c r="N899" i="1" a="1"/>
  <c r="N899" i="1" s="1"/>
  <c r="N898" i="1" a="1"/>
  <c r="N898" i="1" s="1"/>
  <c r="N897" i="1" a="1"/>
  <c r="N897" i="1" s="1"/>
  <c r="N896" i="1" a="1"/>
  <c r="N896" i="1" s="1"/>
  <c r="N895" i="1" a="1"/>
  <c r="N895" i="1" s="1"/>
  <c r="N894" i="1" a="1"/>
  <c r="N894" i="1" s="1"/>
  <c r="N893" i="1" a="1"/>
  <c r="N893" i="1" s="1"/>
  <c r="N892" i="1" a="1"/>
  <c r="N892" i="1" s="1"/>
  <c r="N891" i="1" a="1"/>
  <c r="N891" i="1" s="1"/>
  <c r="N890" i="1" a="1"/>
  <c r="N890" i="1" s="1"/>
  <c r="N889" i="1" a="1"/>
  <c r="N889" i="1" s="1"/>
  <c r="N888" i="1" a="1"/>
  <c r="N888" i="1" s="1"/>
  <c r="N887" i="1" a="1"/>
  <c r="N887" i="1" s="1"/>
  <c r="N886" i="1" a="1"/>
  <c r="N886" i="1" s="1"/>
  <c r="N885" i="1" a="1"/>
  <c r="N885" i="1" s="1"/>
  <c r="N884" i="1" a="1"/>
  <c r="N884" i="1" s="1"/>
  <c r="N883" i="1" a="1"/>
  <c r="N883" i="1" s="1"/>
  <c r="N882" i="1" a="1"/>
  <c r="N882" i="1" s="1"/>
  <c r="N881" i="1" a="1"/>
  <c r="N881" i="1" s="1"/>
  <c r="N880" i="1" a="1"/>
  <c r="N880" i="1" s="1"/>
  <c r="N879" i="1" a="1"/>
  <c r="N879" i="1" s="1"/>
  <c r="N878" i="1" a="1"/>
  <c r="N878" i="1" s="1"/>
  <c r="N877" i="1" a="1"/>
  <c r="N877" i="1" s="1"/>
  <c r="N876" i="1" a="1"/>
  <c r="N876" i="1" s="1"/>
  <c r="N875" i="1" a="1"/>
  <c r="N875" i="1" s="1"/>
  <c r="N874" i="1" a="1"/>
  <c r="N874" i="1" s="1"/>
  <c r="N873" i="1" a="1"/>
  <c r="N873" i="1" s="1"/>
  <c r="N872" i="1" a="1"/>
  <c r="N872" i="1" s="1"/>
  <c r="N871" i="1" a="1"/>
  <c r="N871" i="1" s="1"/>
  <c r="N870" i="1" a="1"/>
  <c r="N870" i="1" s="1"/>
  <c r="N869" i="1" a="1"/>
  <c r="N869" i="1" s="1"/>
  <c r="N868" i="1" a="1"/>
  <c r="N868" i="1" s="1"/>
  <c r="N867" i="1" a="1"/>
  <c r="N867" i="1" s="1"/>
  <c r="N866" i="1" a="1"/>
  <c r="N866" i="1" s="1"/>
  <c r="N865" i="1" a="1"/>
  <c r="N865" i="1" s="1"/>
  <c r="N864" i="1" a="1"/>
  <c r="N864" i="1" s="1"/>
  <c r="N863" i="1" a="1"/>
  <c r="N863" i="1" s="1"/>
  <c r="N862" i="1" a="1"/>
  <c r="N862" i="1" s="1"/>
  <c r="N861" i="1" a="1"/>
  <c r="N861" i="1" s="1"/>
  <c r="N860" i="1" a="1"/>
  <c r="N860" i="1" s="1"/>
  <c r="N859" i="1" a="1"/>
  <c r="N859" i="1" s="1"/>
  <c r="N858" i="1" a="1"/>
  <c r="N858" i="1" s="1"/>
  <c r="N857" i="1" a="1"/>
  <c r="N857" i="1" s="1"/>
  <c r="N856" i="1" a="1"/>
  <c r="N856" i="1" s="1"/>
  <c r="N855" i="1" a="1"/>
  <c r="N855" i="1" s="1"/>
  <c r="N854" i="1" a="1"/>
  <c r="N854" i="1" s="1"/>
  <c r="N853" i="1" a="1"/>
  <c r="N853" i="1" s="1"/>
  <c r="N852" i="1" a="1"/>
  <c r="N852" i="1" s="1"/>
  <c r="N851" i="1" a="1"/>
  <c r="N851" i="1" s="1"/>
  <c r="N850" i="1" a="1"/>
  <c r="N850" i="1" s="1"/>
  <c r="N849" i="1" a="1"/>
  <c r="N849" i="1" s="1"/>
  <c r="N848" i="1" a="1"/>
  <c r="N848" i="1" s="1"/>
  <c r="N847" i="1" a="1"/>
  <c r="N847" i="1" s="1"/>
  <c r="N846" i="1" a="1"/>
  <c r="N846" i="1" s="1"/>
  <c r="N845" i="1" a="1"/>
  <c r="N845" i="1" s="1"/>
  <c r="N844" i="1" a="1"/>
  <c r="N844" i="1" s="1"/>
  <c r="N843" i="1" a="1"/>
  <c r="N843" i="1" s="1"/>
  <c r="N842" i="1" a="1"/>
  <c r="N842" i="1" s="1"/>
  <c r="N841" i="1" a="1"/>
  <c r="N841" i="1" s="1"/>
  <c r="N840" i="1" a="1"/>
  <c r="N840" i="1" s="1"/>
  <c r="N839" i="1" a="1"/>
  <c r="N839" i="1" s="1"/>
  <c r="N838" i="1" a="1"/>
  <c r="N838" i="1" s="1"/>
  <c r="N837" i="1" a="1"/>
  <c r="N837" i="1" s="1"/>
  <c r="N836" i="1" a="1"/>
  <c r="N836" i="1" s="1"/>
  <c r="N835" i="1" a="1"/>
  <c r="N835" i="1" s="1"/>
  <c r="N834" i="1" a="1"/>
  <c r="N834" i="1" s="1"/>
  <c r="N833" i="1" a="1"/>
  <c r="N833" i="1" s="1"/>
  <c r="N832" i="1" a="1"/>
  <c r="N832" i="1" s="1"/>
  <c r="N831" i="1" a="1"/>
  <c r="N831" i="1" s="1"/>
  <c r="N830" i="1" a="1"/>
  <c r="N830" i="1" s="1"/>
  <c r="N829" i="1" a="1"/>
  <c r="N829" i="1" s="1"/>
  <c r="N828" i="1" a="1"/>
  <c r="N828" i="1" s="1"/>
  <c r="N827" i="1" a="1"/>
  <c r="N827" i="1" s="1"/>
  <c r="N826" i="1" a="1"/>
  <c r="N826" i="1" s="1"/>
  <c r="N825" i="1" a="1"/>
  <c r="N825" i="1" s="1"/>
  <c r="N824" i="1" a="1"/>
  <c r="N824" i="1" s="1"/>
  <c r="N823" i="1" a="1"/>
  <c r="N823" i="1" s="1"/>
  <c r="N822" i="1" a="1"/>
  <c r="N822" i="1" s="1"/>
  <c r="N821" i="1" a="1"/>
  <c r="N821" i="1" s="1"/>
  <c r="N820" i="1" a="1"/>
  <c r="N820" i="1" s="1"/>
  <c r="N819" i="1" a="1"/>
  <c r="N819" i="1" s="1"/>
  <c r="N818" i="1" a="1"/>
  <c r="N818" i="1" s="1"/>
  <c r="N817" i="1" a="1"/>
  <c r="N817" i="1" s="1"/>
  <c r="N816" i="1" a="1"/>
  <c r="N816" i="1" s="1"/>
  <c r="N815" i="1" a="1"/>
  <c r="N815" i="1" s="1"/>
  <c r="N814" i="1" a="1"/>
  <c r="N814" i="1" s="1"/>
  <c r="N813" i="1" a="1"/>
  <c r="N813" i="1" s="1"/>
  <c r="N812" i="1" a="1"/>
  <c r="N812" i="1" s="1"/>
  <c r="N811" i="1" a="1"/>
  <c r="N811" i="1" s="1"/>
  <c r="N810" i="1" a="1"/>
  <c r="N810" i="1" s="1"/>
  <c r="N809" i="1" a="1"/>
  <c r="N809" i="1" s="1"/>
  <c r="N808" i="1" a="1"/>
  <c r="N808" i="1" s="1"/>
  <c r="N807" i="1" a="1"/>
  <c r="N807" i="1" s="1"/>
  <c r="N806" i="1" a="1"/>
  <c r="N806" i="1" s="1"/>
  <c r="N805" i="1" a="1"/>
  <c r="N805" i="1" s="1"/>
  <c r="N804" i="1" a="1"/>
  <c r="N804" i="1" s="1"/>
  <c r="N803" i="1" a="1"/>
  <c r="N803" i="1" s="1"/>
  <c r="N802" i="1" a="1"/>
  <c r="N802" i="1" s="1"/>
  <c r="N801" i="1" a="1"/>
  <c r="N801" i="1" s="1"/>
  <c r="N800" i="1" a="1"/>
  <c r="N800" i="1" s="1"/>
  <c r="N799" i="1" a="1"/>
  <c r="N799" i="1" s="1"/>
  <c r="N798" i="1" a="1"/>
  <c r="N798" i="1" s="1"/>
  <c r="N797" i="1" a="1"/>
  <c r="N797" i="1" s="1"/>
  <c r="N796" i="1" a="1"/>
  <c r="N796" i="1" s="1"/>
  <c r="N795" i="1" a="1"/>
  <c r="N795" i="1" s="1"/>
  <c r="N794" i="1" a="1"/>
  <c r="N794" i="1" s="1"/>
  <c r="N793" i="1" a="1"/>
  <c r="N793" i="1" s="1"/>
  <c r="N792" i="1" a="1"/>
  <c r="N792" i="1" s="1"/>
  <c r="N791" i="1" a="1"/>
  <c r="N791" i="1" s="1"/>
  <c r="N790" i="1" a="1"/>
  <c r="N790" i="1" s="1"/>
  <c r="N789" i="1" a="1"/>
  <c r="N789" i="1" s="1"/>
  <c r="N788" i="1" a="1"/>
  <c r="N788" i="1" s="1"/>
  <c r="N787" i="1" a="1"/>
  <c r="N787" i="1" s="1"/>
  <c r="N786" i="1" a="1"/>
  <c r="N786" i="1" s="1"/>
  <c r="N785" i="1" a="1"/>
  <c r="N785" i="1" s="1"/>
  <c r="N784" i="1" a="1"/>
  <c r="N784" i="1" s="1"/>
  <c r="N783" i="1" a="1"/>
  <c r="N783" i="1" s="1"/>
  <c r="N782" i="1" a="1"/>
  <c r="N782" i="1" s="1"/>
  <c r="N781" i="1" a="1"/>
  <c r="N781" i="1" s="1"/>
  <c r="N780" i="1" a="1"/>
  <c r="N780" i="1" s="1"/>
  <c r="N779" i="1" a="1"/>
  <c r="N779" i="1" s="1"/>
  <c r="N778" i="1" a="1"/>
  <c r="N778" i="1" s="1"/>
  <c r="N777" i="1" a="1"/>
  <c r="N777" i="1" s="1"/>
  <c r="N776" i="1" a="1"/>
  <c r="N776" i="1" s="1"/>
  <c r="N775" i="1" a="1"/>
  <c r="N775" i="1" s="1"/>
  <c r="N774" i="1" a="1"/>
  <c r="N774" i="1" s="1"/>
  <c r="N773" i="1" a="1"/>
  <c r="N773" i="1" s="1"/>
  <c r="N772" i="1" a="1"/>
  <c r="N772" i="1" s="1"/>
  <c r="N771" i="1" a="1"/>
  <c r="N771" i="1" s="1"/>
  <c r="N770" i="1" a="1"/>
  <c r="N770" i="1" s="1"/>
  <c r="N769" i="1" a="1"/>
  <c r="N769" i="1" s="1"/>
  <c r="N768" i="1" a="1"/>
  <c r="N768" i="1" s="1"/>
  <c r="N767" i="1" a="1"/>
  <c r="N767" i="1" s="1"/>
  <c r="N766" i="1" a="1"/>
  <c r="N766" i="1" s="1"/>
  <c r="N765" i="1" a="1"/>
  <c r="N765" i="1" s="1"/>
  <c r="N764" i="1" a="1"/>
  <c r="N764" i="1" s="1"/>
  <c r="N763" i="1" a="1"/>
  <c r="N763" i="1" s="1"/>
  <c r="N762" i="1" a="1"/>
  <c r="N762" i="1" s="1"/>
  <c r="N761" i="1" a="1"/>
  <c r="N761" i="1" s="1"/>
  <c r="N760" i="1" a="1"/>
  <c r="N760" i="1" s="1"/>
  <c r="N759" i="1" a="1"/>
  <c r="N759" i="1" s="1"/>
  <c r="N758" i="1" a="1"/>
  <c r="N758" i="1" s="1"/>
  <c r="N757" i="1" a="1"/>
  <c r="N757" i="1" s="1"/>
  <c r="N756" i="1" a="1"/>
  <c r="N756" i="1" s="1"/>
  <c r="N755" i="1" a="1"/>
  <c r="N755" i="1" s="1"/>
  <c r="N754" i="1" a="1"/>
  <c r="N754" i="1" s="1"/>
  <c r="N753" i="1" a="1"/>
  <c r="N753" i="1" s="1"/>
  <c r="N752" i="1" a="1"/>
  <c r="N752" i="1" s="1"/>
  <c r="N751" i="1" a="1"/>
  <c r="N751" i="1" s="1"/>
  <c r="N750" i="1" a="1"/>
  <c r="N750" i="1" s="1"/>
  <c r="N749" i="1" a="1"/>
  <c r="N749" i="1" s="1"/>
  <c r="N748" i="1" a="1"/>
  <c r="N748" i="1" s="1"/>
  <c r="N747" i="1" a="1"/>
  <c r="N747" i="1" s="1"/>
  <c r="N746" i="1" a="1"/>
  <c r="N746" i="1" s="1"/>
  <c r="N745" i="1" a="1"/>
  <c r="N745" i="1" s="1"/>
  <c r="N744" i="1" a="1"/>
  <c r="N744" i="1" s="1"/>
  <c r="N743" i="1" a="1"/>
  <c r="N743" i="1" s="1"/>
  <c r="N742" i="1" a="1"/>
  <c r="N742" i="1" s="1"/>
  <c r="N741" i="1" a="1"/>
  <c r="N741" i="1" s="1"/>
  <c r="N740" i="1" a="1"/>
  <c r="N740" i="1" s="1"/>
  <c r="N739" i="1" a="1"/>
  <c r="N739" i="1" s="1"/>
  <c r="N738" i="1" a="1"/>
  <c r="N738" i="1" s="1"/>
  <c r="N737" i="1" a="1"/>
  <c r="N737" i="1" s="1"/>
  <c r="N736" i="1" a="1"/>
  <c r="N736" i="1" s="1"/>
  <c r="N735" i="1" a="1"/>
  <c r="N735" i="1" s="1"/>
  <c r="N734" i="1" a="1"/>
  <c r="N734" i="1" s="1"/>
  <c r="N733" i="1" a="1"/>
  <c r="N733" i="1" s="1"/>
  <c r="N732" i="1" a="1"/>
  <c r="N732" i="1" s="1"/>
  <c r="N731" i="1" a="1"/>
  <c r="N731" i="1" s="1"/>
  <c r="N730" i="1" a="1"/>
  <c r="N730" i="1" s="1"/>
  <c r="N729" i="1" a="1"/>
  <c r="N729" i="1" s="1"/>
  <c r="N728" i="1" a="1"/>
  <c r="N728" i="1" s="1"/>
  <c r="N727" i="1" a="1"/>
  <c r="N727" i="1" s="1"/>
  <c r="N726" i="1" a="1"/>
  <c r="N726" i="1" s="1"/>
  <c r="N725" i="1" a="1"/>
  <c r="N725" i="1" s="1"/>
  <c r="N724" i="1" a="1"/>
  <c r="N724" i="1" s="1"/>
  <c r="N723" i="1" a="1"/>
  <c r="N723" i="1" s="1"/>
  <c r="N722" i="1" a="1"/>
  <c r="N722" i="1" s="1"/>
  <c r="N721" i="1" a="1"/>
  <c r="N721" i="1" s="1"/>
  <c r="N720" i="1" a="1"/>
  <c r="N720" i="1" s="1"/>
  <c r="N719" i="1" a="1"/>
  <c r="N719" i="1" s="1"/>
  <c r="N718" i="1" a="1"/>
  <c r="N718" i="1" s="1"/>
  <c r="N717" i="1" a="1"/>
  <c r="N717" i="1" s="1"/>
  <c r="N716" i="1" a="1"/>
  <c r="N716" i="1" s="1"/>
  <c r="N715" i="1" a="1"/>
  <c r="N715" i="1" s="1"/>
  <c r="N714" i="1" a="1"/>
  <c r="N714" i="1" s="1"/>
  <c r="N713" i="1" a="1"/>
  <c r="N713" i="1" s="1"/>
  <c r="N712" i="1" a="1"/>
  <c r="N712" i="1" s="1"/>
  <c r="N711" i="1" a="1"/>
  <c r="N711" i="1" s="1"/>
  <c r="N710" i="1" a="1"/>
  <c r="N710" i="1" s="1"/>
  <c r="N709" i="1" a="1"/>
  <c r="N709" i="1" s="1"/>
  <c r="N708" i="1" a="1"/>
  <c r="N708" i="1" s="1"/>
  <c r="N707" i="1" a="1"/>
  <c r="N707" i="1" s="1"/>
  <c r="N706" i="1" a="1"/>
  <c r="N706" i="1" s="1"/>
  <c r="N705" i="1" a="1"/>
  <c r="N705" i="1" s="1"/>
  <c r="N704" i="1" a="1"/>
  <c r="N704" i="1" s="1"/>
  <c r="N703" i="1" a="1"/>
  <c r="N703" i="1" s="1"/>
  <c r="N702" i="1" a="1"/>
  <c r="N702" i="1" s="1"/>
  <c r="N701" i="1" a="1"/>
  <c r="N701" i="1" s="1"/>
  <c r="N700" i="1" a="1"/>
  <c r="N700" i="1" s="1"/>
  <c r="N699" i="1" a="1"/>
  <c r="N699" i="1" s="1"/>
  <c r="N698" i="1" a="1"/>
  <c r="N698" i="1" s="1"/>
  <c r="N697" i="1" a="1"/>
  <c r="N697" i="1" s="1"/>
  <c r="N696" i="1" a="1"/>
  <c r="N696" i="1" s="1"/>
  <c r="N695" i="1" a="1"/>
  <c r="N695" i="1" s="1"/>
  <c r="N694" i="1" a="1"/>
  <c r="N694" i="1" s="1"/>
  <c r="N693" i="1" a="1"/>
  <c r="N693" i="1" s="1"/>
  <c r="N692" i="1" a="1"/>
  <c r="N692" i="1" s="1"/>
  <c r="N691" i="1" a="1"/>
  <c r="N691" i="1" s="1"/>
  <c r="N690" i="1" a="1"/>
  <c r="N690" i="1" s="1"/>
  <c r="N689" i="1" a="1"/>
  <c r="N689" i="1" s="1"/>
  <c r="N688" i="1" a="1"/>
  <c r="N688" i="1" s="1"/>
  <c r="N687" i="1" a="1"/>
  <c r="N687" i="1" s="1"/>
  <c r="N686" i="1" a="1"/>
  <c r="N686" i="1" s="1"/>
  <c r="N685" i="1" a="1"/>
  <c r="N685" i="1" s="1"/>
  <c r="N684" i="1" a="1"/>
  <c r="N684" i="1" s="1"/>
  <c r="N683" i="1" a="1"/>
  <c r="N683" i="1" s="1"/>
  <c r="N682" i="1" a="1"/>
  <c r="N682" i="1" s="1"/>
  <c r="N681" i="1" a="1"/>
  <c r="N681" i="1" s="1"/>
  <c r="N680" i="1" a="1"/>
  <c r="N680" i="1" s="1"/>
  <c r="N679" i="1" a="1"/>
  <c r="N679" i="1" s="1"/>
  <c r="N678" i="1" a="1"/>
  <c r="N678" i="1" s="1"/>
  <c r="N677" i="1" a="1"/>
  <c r="N677" i="1" s="1"/>
  <c r="N676" i="1" a="1"/>
  <c r="N676" i="1" s="1"/>
  <c r="N675" i="1" a="1"/>
  <c r="N675" i="1" s="1"/>
  <c r="N674" i="1" a="1"/>
  <c r="N674" i="1" s="1"/>
  <c r="N673" i="1" a="1"/>
  <c r="N673" i="1" s="1"/>
  <c r="N672" i="1" a="1"/>
  <c r="N672" i="1" s="1"/>
  <c r="N671" i="1" a="1"/>
  <c r="N671" i="1" s="1"/>
  <c r="N670" i="1" a="1"/>
  <c r="N670" i="1" s="1"/>
  <c r="N669" i="1" a="1"/>
  <c r="N669" i="1" s="1"/>
  <c r="N668" i="1" a="1"/>
  <c r="N668" i="1" s="1"/>
  <c r="N667" i="1" a="1"/>
  <c r="N667" i="1" s="1"/>
  <c r="N666" i="1" a="1"/>
  <c r="N666" i="1" s="1"/>
  <c r="N665" i="1" a="1"/>
  <c r="N665" i="1" s="1"/>
  <c r="N664" i="1" a="1"/>
  <c r="N664" i="1" s="1"/>
  <c r="N663" i="1" a="1"/>
  <c r="N663" i="1" s="1"/>
  <c r="N662" i="1" a="1"/>
  <c r="N662" i="1" s="1"/>
  <c r="N661" i="1" a="1"/>
  <c r="N661" i="1" s="1"/>
  <c r="N660" i="1" a="1"/>
  <c r="N660" i="1" s="1"/>
  <c r="N659" i="1" a="1"/>
  <c r="N659" i="1" s="1"/>
  <c r="N658" i="1" a="1"/>
  <c r="N658" i="1" s="1"/>
  <c r="N657" i="1" a="1"/>
  <c r="N657" i="1" s="1"/>
  <c r="N656" i="1" a="1"/>
  <c r="N656" i="1" s="1"/>
  <c r="N655" i="1" a="1"/>
  <c r="N655" i="1" s="1"/>
  <c r="N654" i="1" a="1"/>
  <c r="N654" i="1" s="1"/>
  <c r="N653" i="1" a="1"/>
  <c r="N653" i="1" s="1"/>
  <c r="N652" i="1" a="1"/>
  <c r="N652" i="1" s="1"/>
  <c r="N651" i="1" a="1"/>
  <c r="N651" i="1" s="1"/>
  <c r="N650" i="1" a="1"/>
  <c r="N650" i="1" s="1"/>
  <c r="N649" i="1" a="1"/>
  <c r="N649" i="1" s="1"/>
  <c r="N648" i="1" a="1"/>
  <c r="N648" i="1" s="1"/>
  <c r="N647" i="1" a="1"/>
  <c r="N647" i="1" s="1"/>
  <c r="N646" i="1" a="1"/>
  <c r="N646" i="1" s="1"/>
  <c r="N645" i="1" a="1"/>
  <c r="N645" i="1" s="1"/>
  <c r="N644" i="1" a="1"/>
  <c r="N644" i="1" s="1"/>
  <c r="N643" i="1" a="1"/>
  <c r="N643" i="1" s="1"/>
  <c r="N642" i="1" a="1"/>
  <c r="N642" i="1" s="1"/>
  <c r="N641" i="1" a="1"/>
  <c r="N641" i="1" s="1"/>
  <c r="N640" i="1" a="1"/>
  <c r="N640" i="1" s="1"/>
  <c r="N639" i="1" a="1"/>
  <c r="N639" i="1" s="1"/>
  <c r="N638" i="1" a="1"/>
  <c r="N638" i="1" s="1"/>
  <c r="N637" i="1" a="1"/>
  <c r="N637" i="1" s="1"/>
  <c r="N636" i="1" a="1"/>
  <c r="N636" i="1" s="1"/>
  <c r="N635" i="1" a="1"/>
  <c r="N635" i="1" s="1"/>
  <c r="N634" i="1" a="1"/>
  <c r="N634" i="1" s="1"/>
  <c r="N633" i="1" a="1"/>
  <c r="N633" i="1" s="1"/>
  <c r="N632" i="1" a="1"/>
  <c r="N632" i="1" s="1"/>
  <c r="N631" i="1" a="1"/>
  <c r="N631" i="1" s="1"/>
  <c r="N630" i="1" a="1"/>
  <c r="N630" i="1" s="1"/>
  <c r="N629" i="1" a="1"/>
  <c r="N629" i="1" s="1"/>
  <c r="N628" i="1" a="1"/>
  <c r="N628" i="1" s="1"/>
  <c r="N627" i="1" a="1"/>
  <c r="N627" i="1" s="1"/>
  <c r="N626" i="1" a="1"/>
  <c r="N626" i="1" s="1"/>
  <c r="N625" i="1" a="1"/>
  <c r="N625" i="1" s="1"/>
  <c r="N624" i="1" a="1"/>
  <c r="N624" i="1" s="1"/>
  <c r="N623" i="1" a="1"/>
  <c r="N623" i="1" s="1"/>
  <c r="N622" i="1" a="1"/>
  <c r="N622" i="1" s="1"/>
  <c r="N621" i="1" a="1"/>
  <c r="N621" i="1" s="1"/>
  <c r="N620" i="1" a="1"/>
  <c r="N620" i="1" s="1"/>
  <c r="N619" i="1" a="1"/>
  <c r="N619" i="1" s="1"/>
  <c r="N618" i="1" a="1"/>
  <c r="N618" i="1" s="1"/>
  <c r="N617" i="1" a="1"/>
  <c r="N617" i="1" s="1"/>
  <c r="N616" i="1" a="1"/>
  <c r="N616" i="1" s="1"/>
  <c r="N615" i="1" a="1"/>
  <c r="N615" i="1" s="1"/>
  <c r="N614" i="1" a="1"/>
  <c r="N614" i="1" s="1"/>
  <c r="N613" i="1" a="1"/>
  <c r="N613" i="1" s="1"/>
  <c r="N612" i="1" a="1"/>
  <c r="N612" i="1" s="1"/>
  <c r="N611" i="1" a="1"/>
  <c r="N611" i="1" s="1"/>
  <c r="N610" i="1" a="1"/>
  <c r="N610" i="1" s="1"/>
  <c r="N609" i="1" a="1"/>
  <c r="N609" i="1" s="1"/>
  <c r="N608" i="1" a="1"/>
  <c r="N608" i="1" s="1"/>
  <c r="N607" i="1" a="1"/>
  <c r="N607" i="1" s="1"/>
  <c r="N606" i="1" a="1"/>
  <c r="N606" i="1" s="1"/>
  <c r="N605" i="1" a="1"/>
  <c r="N605" i="1" s="1"/>
  <c r="N604" i="1" a="1"/>
  <c r="N604" i="1" s="1"/>
  <c r="N603" i="1" a="1"/>
  <c r="N603" i="1" s="1"/>
  <c r="N602" i="1" a="1"/>
  <c r="N602" i="1" s="1"/>
  <c r="N601" i="1" a="1"/>
  <c r="N601" i="1" s="1"/>
  <c r="N600" i="1" a="1"/>
  <c r="N600" i="1" s="1"/>
  <c r="N599" i="1" a="1"/>
  <c r="N599" i="1" s="1"/>
  <c r="N598" i="1" a="1"/>
  <c r="N598" i="1" s="1"/>
  <c r="N597" i="1" a="1"/>
  <c r="N597" i="1" s="1"/>
  <c r="N596" i="1" a="1"/>
  <c r="N596" i="1" s="1"/>
  <c r="N595" i="1" a="1"/>
  <c r="N595" i="1" s="1"/>
  <c r="N594" i="1" a="1"/>
  <c r="N594" i="1" s="1"/>
  <c r="N593" i="1" a="1"/>
  <c r="N593" i="1" s="1"/>
  <c r="N592" i="1" a="1"/>
  <c r="N592" i="1" s="1"/>
  <c r="N591" i="1" a="1"/>
  <c r="N591" i="1" s="1"/>
  <c r="N590" i="1" a="1"/>
  <c r="N590" i="1" s="1"/>
  <c r="N589" i="1" a="1"/>
  <c r="N589" i="1" s="1"/>
  <c r="N588" i="1" a="1"/>
  <c r="N588" i="1" s="1"/>
  <c r="N587" i="1" a="1"/>
  <c r="N587" i="1" s="1"/>
  <c r="N586" i="1" a="1"/>
  <c r="N586" i="1" s="1"/>
  <c r="N585" i="1" a="1"/>
  <c r="N585" i="1" s="1"/>
  <c r="N584" i="1" a="1"/>
  <c r="N584" i="1" s="1"/>
  <c r="N583" i="1" a="1"/>
  <c r="N583" i="1" s="1"/>
  <c r="N582" i="1" a="1"/>
  <c r="N582" i="1" s="1"/>
  <c r="N581" i="1" a="1"/>
  <c r="N581" i="1" s="1"/>
  <c r="N580" i="1" a="1"/>
  <c r="N580" i="1" s="1"/>
  <c r="N579" i="1" a="1"/>
  <c r="N579" i="1" s="1"/>
  <c r="N578" i="1" a="1"/>
  <c r="N578" i="1" s="1"/>
  <c r="N577" i="1" a="1"/>
  <c r="N577" i="1" s="1"/>
  <c r="N576" i="1" a="1"/>
  <c r="N576" i="1" s="1"/>
  <c r="N575" i="1" a="1"/>
  <c r="N575" i="1" s="1"/>
  <c r="N574" i="1" a="1"/>
  <c r="N574" i="1" s="1"/>
  <c r="N573" i="1" a="1"/>
  <c r="N573" i="1" s="1"/>
  <c r="N572" i="1" a="1"/>
  <c r="N572" i="1" s="1"/>
  <c r="N571" i="1" a="1"/>
  <c r="N571" i="1" s="1"/>
  <c r="N570" i="1" a="1"/>
  <c r="N570" i="1" s="1"/>
  <c r="N569" i="1" a="1"/>
  <c r="N569" i="1" s="1"/>
  <c r="N568" i="1" a="1"/>
  <c r="N568" i="1" s="1"/>
  <c r="N567" i="1" a="1"/>
  <c r="N567" i="1" s="1"/>
  <c r="N566" i="1" a="1"/>
  <c r="N566" i="1" s="1"/>
  <c r="N565" i="1" a="1"/>
  <c r="N565" i="1" s="1"/>
  <c r="N564" i="1" a="1"/>
  <c r="N564" i="1" s="1"/>
  <c r="N563" i="1" a="1"/>
  <c r="N563" i="1" s="1"/>
  <c r="N562" i="1" a="1"/>
  <c r="N562" i="1" s="1"/>
  <c r="N561" i="1" a="1"/>
  <c r="N561" i="1" s="1"/>
  <c r="N560" i="1" a="1"/>
  <c r="N560" i="1" s="1"/>
  <c r="N559" i="1" a="1"/>
  <c r="N559" i="1" s="1"/>
  <c r="N558" i="1" a="1"/>
  <c r="N558" i="1" s="1"/>
  <c r="N557" i="1" a="1"/>
  <c r="N557" i="1" s="1"/>
  <c r="N556" i="1" a="1"/>
  <c r="N556" i="1" s="1"/>
  <c r="N555" i="1" a="1"/>
  <c r="N555" i="1" s="1"/>
  <c r="N554" i="1" a="1"/>
  <c r="N554" i="1" s="1"/>
  <c r="N553" i="1" a="1"/>
  <c r="N553" i="1" s="1"/>
  <c r="N552" i="1" a="1"/>
  <c r="N552" i="1" s="1"/>
  <c r="N551" i="1" a="1"/>
  <c r="N551" i="1" s="1"/>
  <c r="N550" i="1" a="1"/>
  <c r="N550" i="1" s="1"/>
  <c r="N549" i="1" a="1"/>
  <c r="N549" i="1" s="1"/>
  <c r="N548" i="1" a="1"/>
  <c r="N548" i="1" s="1"/>
  <c r="N547" i="1" a="1"/>
  <c r="N547" i="1" s="1"/>
  <c r="N546" i="1" a="1"/>
  <c r="N546" i="1" s="1"/>
  <c r="N545" i="1" a="1"/>
  <c r="N545" i="1" s="1"/>
  <c r="N544" i="1" a="1"/>
  <c r="N544" i="1" s="1"/>
  <c r="N543" i="1" a="1"/>
  <c r="N543" i="1" s="1"/>
  <c r="N542" i="1" a="1"/>
  <c r="N542" i="1" s="1"/>
  <c r="N541" i="1" a="1"/>
  <c r="N541" i="1" s="1"/>
  <c r="N540" i="1" a="1"/>
  <c r="N540" i="1" s="1"/>
  <c r="N539" i="1" a="1"/>
  <c r="N539" i="1" s="1"/>
  <c r="N538" i="1" a="1"/>
  <c r="N538" i="1" s="1"/>
  <c r="N537" i="1" a="1"/>
  <c r="N537" i="1" s="1"/>
  <c r="N536" i="1" a="1"/>
  <c r="N536" i="1" s="1"/>
  <c r="N535" i="1" a="1"/>
  <c r="N535" i="1" s="1"/>
  <c r="N534" i="1" a="1"/>
  <c r="N534" i="1" s="1"/>
  <c r="N533" i="1" a="1"/>
  <c r="N533" i="1" s="1"/>
  <c r="N532" i="1" a="1"/>
  <c r="N532" i="1" s="1"/>
  <c r="N531" i="1" a="1"/>
  <c r="N531" i="1" s="1"/>
  <c r="N530" i="1" a="1"/>
  <c r="N530" i="1" s="1"/>
  <c r="N529" i="1" a="1"/>
  <c r="N529" i="1" s="1"/>
  <c r="N528" i="1" a="1"/>
  <c r="N528" i="1" s="1"/>
  <c r="N527" i="1" a="1"/>
  <c r="N527" i="1" s="1"/>
  <c r="N526" i="1" a="1"/>
  <c r="N526" i="1" s="1"/>
  <c r="N525" i="1" a="1"/>
  <c r="N525" i="1" s="1"/>
  <c r="N524" i="1" a="1"/>
  <c r="N524" i="1" s="1"/>
  <c r="N523" i="1" a="1"/>
  <c r="N523" i="1" s="1"/>
  <c r="N522" i="1" a="1"/>
  <c r="N522" i="1" s="1"/>
  <c r="N521" i="1" a="1"/>
  <c r="N521" i="1" s="1"/>
  <c r="N520" i="1" a="1"/>
  <c r="N520" i="1" s="1"/>
  <c r="N519" i="1" a="1"/>
  <c r="N519" i="1" s="1"/>
  <c r="N518" i="1" a="1"/>
  <c r="N518" i="1" s="1"/>
  <c r="N517" i="1" a="1"/>
  <c r="N517" i="1" s="1"/>
  <c r="N516" i="1" a="1"/>
  <c r="N516" i="1" s="1"/>
  <c r="N515" i="1" a="1"/>
  <c r="N515" i="1" s="1"/>
  <c r="N514" i="1" a="1"/>
  <c r="N514" i="1" s="1"/>
  <c r="N513" i="1" a="1"/>
  <c r="N513" i="1" s="1"/>
  <c r="N512" i="1" a="1"/>
  <c r="N512" i="1" s="1"/>
  <c r="N511" i="1" a="1"/>
  <c r="N511" i="1" s="1"/>
  <c r="N510" i="1" a="1"/>
  <c r="N510" i="1" s="1"/>
  <c r="N509" i="1" a="1"/>
  <c r="N509" i="1" s="1"/>
  <c r="N508" i="1" a="1"/>
  <c r="N508" i="1" s="1"/>
  <c r="N507" i="1" a="1"/>
  <c r="N507" i="1" s="1"/>
  <c r="N506" i="1" a="1"/>
  <c r="N506" i="1" s="1"/>
  <c r="N505" i="1" a="1"/>
  <c r="N505" i="1" s="1"/>
  <c r="N504" i="1" a="1"/>
  <c r="N504" i="1" s="1"/>
  <c r="N503" i="1" a="1"/>
  <c r="N503" i="1" s="1"/>
  <c r="N502" i="1" a="1"/>
  <c r="N502" i="1" s="1"/>
  <c r="N501" i="1" a="1"/>
  <c r="N501" i="1" s="1"/>
  <c r="N500" i="1" a="1"/>
  <c r="N500" i="1" s="1"/>
  <c r="N499" i="1" a="1"/>
  <c r="N499" i="1" s="1"/>
  <c r="N498" i="1" a="1"/>
  <c r="N498" i="1" s="1"/>
  <c r="N497" i="1" a="1"/>
  <c r="N497" i="1" s="1"/>
  <c r="N496" i="1" a="1"/>
  <c r="N496" i="1" s="1"/>
  <c r="N495" i="1" a="1"/>
  <c r="N495" i="1" s="1"/>
  <c r="N494" i="1" a="1"/>
  <c r="N494" i="1" s="1"/>
  <c r="N493" i="1" a="1"/>
  <c r="N493" i="1" s="1"/>
  <c r="N492" i="1" a="1"/>
  <c r="N492" i="1" s="1"/>
  <c r="N491" i="1" a="1"/>
  <c r="N491" i="1" s="1"/>
  <c r="N490" i="1" a="1"/>
  <c r="N490" i="1" s="1"/>
  <c r="N489" i="1" a="1"/>
  <c r="N489" i="1" s="1"/>
  <c r="N488" i="1" a="1"/>
  <c r="N488" i="1" s="1"/>
  <c r="N487" i="1" a="1"/>
  <c r="N487" i="1" s="1"/>
  <c r="N486" i="1" a="1"/>
  <c r="N486" i="1" s="1"/>
  <c r="N485" i="1" a="1"/>
  <c r="N485" i="1" s="1"/>
  <c r="N484" i="1" a="1"/>
  <c r="N484" i="1" s="1"/>
  <c r="N483" i="1" a="1"/>
  <c r="N483" i="1" s="1"/>
  <c r="N482" i="1" a="1"/>
  <c r="N482" i="1" s="1"/>
  <c r="N481" i="1" a="1"/>
  <c r="N481" i="1" s="1"/>
  <c r="N480" i="1" a="1"/>
  <c r="N480" i="1" s="1"/>
  <c r="N479" i="1" a="1"/>
  <c r="N479" i="1" s="1"/>
  <c r="N478" i="1" a="1"/>
  <c r="N478" i="1" s="1"/>
  <c r="N477" i="1" a="1"/>
  <c r="N477" i="1" s="1"/>
  <c r="N476" i="1" a="1"/>
  <c r="N476" i="1" s="1"/>
  <c r="N475" i="1" a="1"/>
  <c r="N475" i="1" s="1"/>
  <c r="N474" i="1" a="1"/>
  <c r="N474" i="1" s="1"/>
  <c r="N473" i="1" a="1"/>
  <c r="N473" i="1" s="1"/>
  <c r="N472" i="1" a="1"/>
  <c r="N472" i="1" s="1"/>
  <c r="N471" i="1" a="1"/>
  <c r="N471" i="1" s="1"/>
  <c r="N470" i="1" a="1"/>
  <c r="N470" i="1" s="1"/>
  <c r="N469" i="1" a="1"/>
  <c r="N469" i="1" s="1"/>
  <c r="N468" i="1" a="1"/>
  <c r="N468" i="1" s="1"/>
  <c r="N467" i="1" a="1"/>
  <c r="N467" i="1" s="1"/>
  <c r="N466" i="1" a="1"/>
  <c r="N466" i="1" s="1"/>
  <c r="N465" i="1" a="1"/>
  <c r="N465" i="1" s="1"/>
  <c r="N464" i="1" a="1"/>
  <c r="N464" i="1" s="1"/>
  <c r="N463" i="1" a="1"/>
  <c r="N463" i="1" s="1"/>
  <c r="N462" i="1" a="1"/>
  <c r="N462" i="1" s="1"/>
  <c r="N461" i="1" a="1"/>
  <c r="N461" i="1" s="1"/>
  <c r="N460" i="1" a="1"/>
  <c r="N460" i="1" s="1"/>
  <c r="N459" i="1" a="1"/>
  <c r="N459" i="1" s="1"/>
  <c r="N458" i="1" a="1"/>
  <c r="N458" i="1" s="1"/>
  <c r="N457" i="1" a="1"/>
  <c r="N457" i="1" s="1"/>
  <c r="N456" i="1" a="1"/>
  <c r="N456" i="1" s="1"/>
  <c r="N455" i="1" a="1"/>
  <c r="N455" i="1" s="1"/>
  <c r="N454" i="1" a="1"/>
  <c r="N454" i="1" s="1"/>
  <c r="N453" i="1" a="1"/>
  <c r="N453" i="1" s="1"/>
  <c r="N452" i="1" a="1"/>
  <c r="N452" i="1" s="1"/>
  <c r="N451" i="1" a="1"/>
  <c r="N451" i="1" s="1"/>
  <c r="N450" i="1" a="1"/>
  <c r="N450" i="1" s="1"/>
  <c r="N449" i="1" a="1"/>
  <c r="N449" i="1" s="1"/>
  <c r="N448" i="1" a="1"/>
  <c r="N448" i="1" s="1"/>
  <c r="N447" i="1" a="1"/>
  <c r="N447" i="1" s="1"/>
  <c r="N446" i="1" a="1"/>
  <c r="N446" i="1" s="1"/>
  <c r="N445" i="1" a="1"/>
  <c r="N445" i="1" s="1"/>
  <c r="N444" i="1" a="1"/>
  <c r="N444" i="1" s="1"/>
  <c r="N443" i="1" a="1"/>
  <c r="N443" i="1" s="1"/>
  <c r="N442" i="1" a="1"/>
  <c r="N442" i="1" s="1"/>
  <c r="N441" i="1" a="1"/>
  <c r="N441" i="1" s="1"/>
  <c r="N440" i="1" a="1"/>
  <c r="N440" i="1" s="1"/>
  <c r="N439" i="1" a="1"/>
  <c r="N439" i="1" s="1"/>
  <c r="N438" i="1" a="1"/>
  <c r="N438" i="1" s="1"/>
  <c r="N437" i="1" a="1"/>
  <c r="N437" i="1" s="1"/>
  <c r="N436" i="1" a="1"/>
  <c r="N436" i="1" s="1"/>
  <c r="N435" i="1" a="1"/>
  <c r="N435" i="1" s="1"/>
  <c r="N434" i="1" a="1"/>
  <c r="N434" i="1" s="1"/>
  <c r="N433" i="1" a="1"/>
  <c r="N433" i="1" s="1"/>
  <c r="N432" i="1" a="1"/>
  <c r="N432" i="1" s="1"/>
  <c r="N431" i="1" a="1"/>
  <c r="N431" i="1" s="1"/>
  <c r="N430" i="1" a="1"/>
  <c r="N430" i="1" s="1"/>
  <c r="N429" i="1" a="1"/>
  <c r="N429" i="1" s="1"/>
  <c r="N428" i="1" a="1"/>
  <c r="N428" i="1" s="1"/>
  <c r="N427" i="1" a="1"/>
  <c r="N427" i="1" s="1"/>
  <c r="N426" i="1" a="1"/>
  <c r="N426" i="1" s="1"/>
  <c r="N425" i="1" a="1"/>
  <c r="N425" i="1" s="1"/>
  <c r="N424" i="1" a="1"/>
  <c r="N424" i="1" s="1"/>
  <c r="N423" i="1" a="1"/>
  <c r="N423" i="1" s="1"/>
  <c r="N422" i="1" a="1"/>
  <c r="N422" i="1" s="1"/>
  <c r="N421" i="1" a="1"/>
  <c r="N421" i="1" s="1"/>
  <c r="N420" i="1" a="1"/>
  <c r="N420" i="1" s="1"/>
  <c r="N419" i="1" a="1"/>
  <c r="N419" i="1" s="1"/>
  <c r="N418" i="1" a="1"/>
  <c r="N418" i="1" s="1"/>
  <c r="N417" i="1" a="1"/>
  <c r="N417" i="1" s="1"/>
  <c r="N416" i="1" a="1"/>
  <c r="N416" i="1" s="1"/>
  <c r="N415" i="1" a="1"/>
  <c r="N415" i="1" s="1"/>
  <c r="N414" i="1" a="1"/>
  <c r="N414" i="1" s="1"/>
  <c r="N413" i="1" a="1"/>
  <c r="N413" i="1" s="1"/>
  <c r="N412" i="1" a="1"/>
  <c r="N412" i="1" s="1"/>
  <c r="N411" i="1" a="1"/>
  <c r="N411" i="1" s="1"/>
  <c r="N410" i="1" a="1"/>
  <c r="N410" i="1" s="1"/>
  <c r="N409" i="1" a="1"/>
  <c r="N409" i="1" s="1"/>
  <c r="N408" i="1" a="1"/>
  <c r="N408" i="1" s="1"/>
  <c r="N407" i="1" a="1"/>
  <c r="N407" i="1" s="1"/>
  <c r="N406" i="1" a="1"/>
  <c r="N406" i="1" s="1"/>
  <c r="N405" i="1" a="1"/>
  <c r="N405" i="1" s="1"/>
  <c r="N404" i="1" a="1"/>
  <c r="N404" i="1" s="1"/>
  <c r="N403" i="1" a="1"/>
  <c r="N403" i="1" s="1"/>
  <c r="N402" i="1" a="1"/>
  <c r="N402" i="1" s="1"/>
  <c r="N401" i="1" a="1"/>
  <c r="N401" i="1" s="1"/>
  <c r="N400" i="1" a="1"/>
  <c r="N400" i="1" s="1"/>
  <c r="N399" i="1" a="1"/>
  <c r="N399" i="1" s="1"/>
  <c r="N398" i="1" a="1"/>
  <c r="N398" i="1" s="1"/>
  <c r="N397" i="1" a="1"/>
  <c r="N397" i="1" s="1"/>
  <c r="N396" i="1" a="1"/>
  <c r="N396" i="1" s="1"/>
  <c r="N395" i="1" a="1"/>
  <c r="N395" i="1" s="1"/>
  <c r="N394" i="1" a="1"/>
  <c r="N394" i="1" s="1"/>
  <c r="N393" i="1" a="1"/>
  <c r="N393" i="1" s="1"/>
  <c r="N392" i="1" a="1"/>
  <c r="N392" i="1" s="1"/>
  <c r="N391" i="1" a="1"/>
  <c r="N391" i="1" s="1"/>
  <c r="N390" i="1" a="1"/>
  <c r="N390" i="1" s="1"/>
  <c r="N389" i="1" a="1"/>
  <c r="N389" i="1" s="1"/>
  <c r="N388" i="1" a="1"/>
  <c r="N388" i="1" s="1"/>
  <c r="N387" i="1" a="1"/>
  <c r="N387" i="1" s="1"/>
  <c r="N386" i="1" a="1"/>
  <c r="N386" i="1" s="1"/>
  <c r="N385" i="1" a="1"/>
  <c r="N385" i="1" s="1"/>
  <c r="N384" i="1" a="1"/>
  <c r="N384" i="1" s="1"/>
  <c r="N383" i="1" a="1"/>
  <c r="N383" i="1" s="1"/>
  <c r="N382" i="1" a="1"/>
  <c r="N382" i="1" s="1"/>
  <c r="N381" i="1" a="1"/>
  <c r="N381" i="1" s="1"/>
  <c r="N380" i="1" a="1"/>
  <c r="N380" i="1" s="1"/>
  <c r="N379" i="1" a="1"/>
  <c r="N379" i="1" s="1"/>
  <c r="N378" i="1" a="1"/>
  <c r="N378" i="1" s="1"/>
  <c r="N377" i="1" a="1"/>
  <c r="N377" i="1" s="1"/>
  <c r="N376" i="1" a="1"/>
  <c r="N376" i="1" s="1"/>
  <c r="N375" i="1" a="1"/>
  <c r="N375" i="1" s="1"/>
  <c r="N374" i="1" a="1"/>
  <c r="N374" i="1" s="1"/>
  <c r="N373" i="1" a="1"/>
  <c r="N373" i="1" s="1"/>
  <c r="N372" i="1" a="1"/>
  <c r="N372" i="1" s="1"/>
  <c r="N371" i="1" a="1"/>
  <c r="N371" i="1" s="1"/>
  <c r="N370" i="1" a="1"/>
  <c r="N370" i="1" s="1"/>
  <c r="N369" i="1" a="1"/>
  <c r="N369" i="1" s="1"/>
  <c r="N368" i="1" a="1"/>
  <c r="N368" i="1" s="1"/>
  <c r="N367" i="1" a="1"/>
  <c r="N367" i="1" s="1"/>
  <c r="N366" i="1" a="1"/>
  <c r="N366" i="1" s="1"/>
  <c r="N365" i="1" a="1"/>
  <c r="N365" i="1" s="1"/>
  <c r="N364" i="1" a="1"/>
  <c r="N364" i="1" s="1"/>
  <c r="N363" i="1" a="1"/>
  <c r="N363" i="1" s="1"/>
  <c r="N362" i="1" a="1"/>
  <c r="N362" i="1" s="1"/>
  <c r="N361" i="1" a="1"/>
  <c r="N361" i="1" s="1"/>
  <c r="N360" i="1" a="1"/>
  <c r="N360" i="1" s="1"/>
  <c r="N359" i="1" a="1"/>
  <c r="N359" i="1" s="1"/>
  <c r="N358" i="1" a="1"/>
  <c r="N358" i="1" s="1"/>
  <c r="N357" i="1" a="1"/>
  <c r="N357" i="1" s="1"/>
  <c r="N356" i="1" a="1"/>
  <c r="N356" i="1" s="1"/>
  <c r="N355" i="1" a="1"/>
  <c r="N355" i="1" s="1"/>
  <c r="N354" i="1" a="1"/>
  <c r="N354" i="1" s="1"/>
  <c r="N353" i="1" a="1"/>
  <c r="N353" i="1" s="1"/>
  <c r="N352" i="1" a="1"/>
  <c r="N352" i="1" s="1"/>
  <c r="N351" i="1" a="1"/>
  <c r="N351" i="1" s="1"/>
  <c r="N350" i="1" a="1"/>
  <c r="N350" i="1" s="1"/>
  <c r="N349" i="1" a="1"/>
  <c r="N349" i="1" s="1"/>
  <c r="N348" i="1" a="1"/>
  <c r="N348" i="1" s="1"/>
  <c r="N347" i="1" a="1"/>
  <c r="N347" i="1" s="1"/>
  <c r="N346" i="1" a="1"/>
  <c r="N346" i="1" s="1"/>
  <c r="N345" i="1" a="1"/>
  <c r="N345" i="1" s="1"/>
  <c r="N344" i="1" a="1"/>
  <c r="N344" i="1" s="1"/>
  <c r="N343" i="1" a="1"/>
  <c r="N343" i="1" s="1"/>
  <c r="N342" i="1" a="1"/>
  <c r="N342" i="1" s="1"/>
  <c r="N341" i="1" a="1"/>
  <c r="N341" i="1" s="1"/>
  <c r="N340" i="1" a="1"/>
  <c r="N340" i="1" s="1"/>
  <c r="N339" i="1" a="1"/>
  <c r="N339" i="1" s="1"/>
  <c r="N338" i="1" a="1"/>
  <c r="N338" i="1" s="1"/>
  <c r="N337" i="1" a="1"/>
  <c r="N337" i="1" s="1"/>
  <c r="N336" i="1" a="1"/>
  <c r="N336" i="1" s="1"/>
  <c r="N335" i="1" a="1"/>
  <c r="N335" i="1" s="1"/>
  <c r="N334" i="1" a="1"/>
  <c r="N334" i="1" s="1"/>
  <c r="N333" i="1" a="1"/>
  <c r="N333" i="1" s="1"/>
  <c r="N332" i="1" a="1"/>
  <c r="N332" i="1" s="1"/>
  <c r="N331" i="1" a="1"/>
  <c r="N331" i="1" s="1"/>
  <c r="N330" i="1" a="1"/>
  <c r="N330" i="1" s="1"/>
  <c r="N329" i="1" a="1"/>
  <c r="N329" i="1" s="1"/>
  <c r="N328" i="1" a="1"/>
  <c r="N328" i="1" s="1"/>
  <c r="N327" i="1" a="1"/>
  <c r="N327" i="1" s="1"/>
  <c r="N326" i="1" a="1"/>
  <c r="N326" i="1" s="1"/>
  <c r="N325" i="1" a="1"/>
  <c r="N325" i="1" s="1"/>
  <c r="N324" i="1" a="1"/>
  <c r="N324" i="1" s="1"/>
  <c r="N323" i="1" a="1"/>
  <c r="N323" i="1" s="1"/>
  <c r="N322" i="1" a="1"/>
  <c r="N322" i="1" s="1"/>
  <c r="N321" i="1" a="1"/>
  <c r="N321" i="1" s="1"/>
  <c r="N320" i="1" a="1"/>
  <c r="N320" i="1" s="1"/>
  <c r="N319" i="1" a="1"/>
  <c r="N319" i="1" s="1"/>
  <c r="N318" i="1" a="1"/>
  <c r="N318" i="1" s="1"/>
  <c r="N317" i="1" a="1"/>
  <c r="N317" i="1" s="1"/>
  <c r="N316" i="1" a="1"/>
  <c r="N316" i="1" s="1"/>
  <c r="N315" i="1" a="1"/>
  <c r="N315" i="1" s="1"/>
  <c r="N314" i="1" a="1"/>
  <c r="N314" i="1" s="1"/>
  <c r="N313" i="1" a="1"/>
  <c r="N313" i="1" s="1"/>
  <c r="N312" i="1" a="1"/>
  <c r="N312" i="1" s="1"/>
  <c r="N311" i="1" a="1"/>
  <c r="N311" i="1" s="1"/>
  <c r="N310" i="1" a="1"/>
  <c r="N310" i="1" s="1"/>
  <c r="N309" i="1" a="1"/>
  <c r="N309" i="1" s="1"/>
  <c r="N308" i="1" a="1"/>
  <c r="N308" i="1" s="1"/>
  <c r="N307" i="1" a="1"/>
  <c r="N307" i="1" s="1"/>
  <c r="N306" i="1" a="1"/>
  <c r="N306" i="1" s="1"/>
  <c r="N305" i="1" a="1"/>
  <c r="N305" i="1" s="1"/>
  <c r="N304" i="1" a="1"/>
  <c r="N304" i="1" s="1"/>
  <c r="N303" i="1" a="1"/>
  <c r="N303" i="1" s="1"/>
  <c r="N302" i="1" a="1"/>
  <c r="N302" i="1" s="1"/>
  <c r="N301" i="1" a="1"/>
  <c r="N301" i="1" s="1"/>
  <c r="N300" i="1" a="1"/>
  <c r="N300" i="1" s="1"/>
  <c r="N299" i="1" a="1"/>
  <c r="N299" i="1" s="1"/>
  <c r="N298" i="1" a="1"/>
  <c r="N298" i="1" s="1"/>
  <c r="N297" i="1" a="1"/>
  <c r="N297" i="1" s="1"/>
  <c r="N296" i="1" a="1"/>
  <c r="N296" i="1" s="1"/>
  <c r="N295" i="1" a="1"/>
  <c r="N295" i="1" s="1"/>
  <c r="N294" i="1" a="1"/>
  <c r="N294" i="1" s="1"/>
  <c r="N293" i="1" a="1"/>
  <c r="N293" i="1" s="1"/>
  <c r="N292" i="1" a="1"/>
  <c r="N292" i="1" s="1"/>
  <c r="N291" i="1" a="1"/>
  <c r="N291" i="1" s="1"/>
  <c r="N290" i="1" a="1"/>
  <c r="N290" i="1" s="1"/>
  <c r="N289" i="1" a="1"/>
  <c r="N289" i="1" s="1"/>
  <c r="N288" i="1" a="1"/>
  <c r="N288" i="1" s="1"/>
  <c r="N287" i="1" a="1"/>
  <c r="N287" i="1" s="1"/>
  <c r="N286" i="1" a="1"/>
  <c r="N286" i="1" s="1"/>
  <c r="N285" i="1" a="1"/>
  <c r="N285" i="1" s="1"/>
  <c r="N284" i="1" a="1"/>
  <c r="N284" i="1" s="1"/>
  <c r="N283" i="1" a="1"/>
  <c r="N283" i="1" s="1"/>
  <c r="N282" i="1" a="1"/>
  <c r="N282" i="1" s="1"/>
  <c r="N281" i="1" a="1"/>
  <c r="N281" i="1" s="1"/>
  <c r="N280" i="1" a="1"/>
  <c r="N280" i="1" s="1"/>
  <c r="N279" i="1" a="1"/>
  <c r="N279" i="1" s="1"/>
  <c r="N278" i="1" a="1"/>
  <c r="N278" i="1" s="1"/>
  <c r="N277" i="1" a="1"/>
  <c r="N277" i="1" s="1"/>
  <c r="N276" i="1" a="1"/>
  <c r="N276" i="1" s="1"/>
  <c r="N275" i="1" a="1"/>
  <c r="N275" i="1" s="1"/>
  <c r="N274" i="1" a="1"/>
  <c r="N274" i="1" s="1"/>
  <c r="N273" i="1" a="1"/>
  <c r="N273" i="1" s="1"/>
  <c r="N272" i="1" a="1"/>
  <c r="N272" i="1" s="1"/>
  <c r="N271" i="1" a="1"/>
  <c r="N271" i="1" s="1"/>
  <c r="N270" i="1" a="1"/>
  <c r="N270" i="1" s="1"/>
  <c r="N269" i="1" a="1"/>
  <c r="N269" i="1" s="1"/>
  <c r="N268" i="1" a="1"/>
  <c r="N268" i="1" s="1"/>
  <c r="N267" i="1" a="1"/>
  <c r="N267" i="1" s="1"/>
  <c r="N266" i="1" a="1"/>
  <c r="N266" i="1" s="1"/>
  <c r="N265" i="1" a="1"/>
  <c r="N265" i="1" s="1"/>
  <c r="N264" i="1" a="1"/>
  <c r="N264" i="1" s="1"/>
  <c r="N263" i="1" a="1"/>
  <c r="N263" i="1" s="1"/>
  <c r="N262" i="1" a="1"/>
  <c r="N262" i="1" s="1"/>
  <c r="N261" i="1" a="1"/>
  <c r="N261" i="1" s="1"/>
  <c r="N260" i="1" a="1"/>
  <c r="N260" i="1" s="1"/>
  <c r="N259" i="1" a="1"/>
  <c r="N259" i="1" s="1"/>
  <c r="N258" i="1" a="1"/>
  <c r="N258" i="1" s="1"/>
  <c r="N257" i="1" a="1"/>
  <c r="N257" i="1" s="1"/>
  <c r="N256" i="1" a="1"/>
  <c r="N256" i="1" s="1"/>
  <c r="N255" i="1" a="1"/>
  <c r="N255" i="1" s="1"/>
  <c r="N254" i="1" a="1"/>
  <c r="N254" i="1" s="1"/>
  <c r="N253" i="1" a="1"/>
  <c r="N253" i="1" s="1"/>
  <c r="N252" i="1" a="1"/>
  <c r="N252" i="1" s="1"/>
  <c r="N251" i="1" a="1"/>
  <c r="N251" i="1" s="1"/>
  <c r="N250" i="1" a="1"/>
  <c r="N250" i="1" s="1"/>
  <c r="N249" i="1" a="1"/>
  <c r="N249" i="1" s="1"/>
  <c r="N248" i="1" a="1"/>
  <c r="N248" i="1" s="1"/>
  <c r="N247" i="1" a="1"/>
  <c r="N247" i="1" s="1"/>
  <c r="N246" i="1" a="1"/>
  <c r="N246" i="1" s="1"/>
  <c r="N245" i="1" a="1"/>
  <c r="N245" i="1" s="1"/>
  <c r="N244" i="1" a="1"/>
  <c r="N244" i="1" s="1"/>
  <c r="N243" i="1" a="1"/>
  <c r="N243" i="1" s="1"/>
  <c r="N242" i="1" a="1"/>
  <c r="N242" i="1" s="1"/>
  <c r="N241" i="1" a="1"/>
  <c r="N241" i="1" s="1"/>
  <c r="N240" i="1" a="1"/>
  <c r="N240" i="1" s="1"/>
  <c r="N239" i="1" a="1"/>
  <c r="N239" i="1" s="1"/>
  <c r="N238" i="1" a="1"/>
  <c r="N238" i="1" s="1"/>
  <c r="N237" i="1" a="1"/>
  <c r="N237" i="1" s="1"/>
  <c r="N236" i="1" a="1"/>
  <c r="N236" i="1" s="1"/>
  <c r="N235" i="1" a="1"/>
  <c r="N235" i="1" s="1"/>
  <c r="N234" i="1" a="1"/>
  <c r="N234" i="1" s="1"/>
  <c r="N233" i="1" a="1"/>
  <c r="N233" i="1" s="1"/>
  <c r="N232" i="1" a="1"/>
  <c r="N232" i="1" s="1"/>
  <c r="N231" i="1" a="1"/>
  <c r="N231" i="1" s="1"/>
  <c r="N230" i="1" a="1"/>
  <c r="N230" i="1" s="1"/>
  <c r="N229" i="1" a="1"/>
  <c r="N229" i="1" s="1"/>
  <c r="N228" i="1" a="1"/>
  <c r="N228" i="1" s="1"/>
  <c r="N227" i="1" a="1"/>
  <c r="N227" i="1" s="1"/>
  <c r="N226" i="1" a="1"/>
  <c r="N226" i="1" s="1"/>
  <c r="N225" i="1" a="1"/>
  <c r="N225" i="1" s="1"/>
  <c r="N224" i="1" a="1"/>
  <c r="N224" i="1" s="1"/>
  <c r="N223" i="1" a="1"/>
  <c r="N223" i="1" s="1"/>
  <c r="N222" i="1" a="1"/>
  <c r="N222" i="1" s="1"/>
  <c r="N221" i="1" a="1"/>
  <c r="N221" i="1" s="1"/>
  <c r="N220" i="1" a="1"/>
  <c r="N220" i="1" s="1"/>
  <c r="N219" i="1" a="1"/>
  <c r="N219" i="1" s="1"/>
  <c r="N218" i="1" a="1"/>
  <c r="N218" i="1" s="1"/>
  <c r="N216" i="1" a="1"/>
  <c r="N216" i="1" s="1"/>
  <c r="N213" i="1" a="1"/>
  <c r="N213" i="1" s="1"/>
  <c r="N210" i="1" a="1"/>
  <c r="N210" i="1" s="1"/>
  <c r="N207" i="1" a="1"/>
  <c r="N207" i="1" s="1"/>
  <c r="N204" i="1" a="1"/>
  <c r="N204" i="1" s="1"/>
  <c r="N201" i="1" a="1"/>
  <c r="N201" i="1" s="1"/>
  <c r="N198" i="1" a="1"/>
  <c r="N198" i="1" s="1"/>
  <c r="N195" i="1" a="1"/>
  <c r="N195" i="1" s="1"/>
  <c r="N192" i="1" a="1"/>
  <c r="N192" i="1" s="1"/>
  <c r="N189" i="1" a="1"/>
  <c r="N189" i="1" s="1"/>
  <c r="N186" i="1" a="1"/>
  <c r="N186" i="1" s="1"/>
  <c r="N183" i="1" a="1"/>
  <c r="N183" i="1" s="1"/>
  <c r="N180" i="1" a="1"/>
  <c r="N180" i="1" s="1"/>
  <c r="N177" i="1" a="1"/>
  <c r="N177" i="1" s="1"/>
  <c r="N174" i="1" a="1"/>
  <c r="N174" i="1" s="1"/>
  <c r="N171" i="1" a="1"/>
  <c r="N171" i="1" s="1"/>
  <c r="N168" i="1" a="1"/>
  <c r="N168" i="1" s="1"/>
  <c r="N217" i="1" a="1"/>
  <c r="N217" i="1" s="1"/>
  <c r="N214" i="1" a="1"/>
  <c r="N214" i="1" s="1"/>
  <c r="N211" i="1" a="1"/>
  <c r="N211" i="1" s="1"/>
  <c r="N208" i="1" a="1"/>
  <c r="N208" i="1" s="1"/>
  <c r="N205" i="1" a="1"/>
  <c r="N205" i="1" s="1"/>
  <c r="N202" i="1" a="1"/>
  <c r="N202" i="1" s="1"/>
  <c r="N199" i="1" a="1"/>
  <c r="N199" i="1" s="1"/>
  <c r="N196" i="1" a="1"/>
  <c r="N196" i="1" s="1"/>
  <c r="N193" i="1" a="1"/>
  <c r="N193" i="1" s="1"/>
  <c r="N190" i="1" a="1"/>
  <c r="N190" i="1" s="1"/>
  <c r="N187" i="1" a="1"/>
  <c r="N187" i="1" s="1"/>
  <c r="N184" i="1" a="1"/>
  <c r="N184" i="1" s="1"/>
  <c r="N181" i="1" a="1"/>
  <c r="N181" i="1" s="1"/>
  <c r="N215" i="1" a="1"/>
  <c r="N215" i="1" s="1"/>
  <c r="N212" i="1" a="1"/>
  <c r="N212" i="1" s="1"/>
  <c r="N209" i="1" a="1"/>
  <c r="N209" i="1" s="1"/>
  <c r="N206" i="1" a="1"/>
  <c r="N206" i="1" s="1"/>
  <c r="N203" i="1" a="1"/>
  <c r="N203" i="1" s="1"/>
  <c r="N200" i="1" a="1"/>
  <c r="N200" i="1" s="1"/>
  <c r="N197" i="1" a="1"/>
  <c r="N197" i="1" s="1"/>
  <c r="N194" i="1" a="1"/>
  <c r="N194" i="1" s="1"/>
  <c r="N191" i="1" a="1"/>
  <c r="N191" i="1" s="1"/>
  <c r="N188" i="1" a="1"/>
  <c r="N188" i="1" s="1"/>
  <c r="N185" i="1" a="1"/>
  <c r="N185" i="1" s="1"/>
  <c r="N182" i="1" a="1"/>
  <c r="N182" i="1" s="1"/>
  <c r="N178" i="1" a="1"/>
  <c r="N178" i="1" s="1"/>
  <c r="N176" i="1" a="1"/>
  <c r="N176" i="1" s="1"/>
  <c r="O175" i="1" a="1"/>
  <c r="O175" i="1" s="1"/>
  <c r="N169" i="1" a="1"/>
  <c r="N169" i="1" s="1"/>
  <c r="N167" i="1" a="1"/>
  <c r="N167" i="1" s="1"/>
  <c r="N164" i="1" a="1"/>
  <c r="N164" i="1" s="1"/>
  <c r="N161" i="1" a="1"/>
  <c r="N161" i="1" s="1"/>
  <c r="N158" i="1" a="1"/>
  <c r="N158" i="1" s="1"/>
  <c r="N155" i="1" a="1"/>
  <c r="N155" i="1" s="1"/>
  <c r="N152" i="1" a="1"/>
  <c r="N152" i="1" s="1"/>
  <c r="N149" i="1" a="1"/>
  <c r="N149" i="1" s="1"/>
  <c r="N146" i="1" a="1"/>
  <c r="N146" i="1" s="1"/>
  <c r="N143" i="1" a="1"/>
  <c r="N143" i="1" s="1"/>
  <c r="N140" i="1" a="1"/>
  <c r="N140" i="1" s="1"/>
  <c r="N137" i="1" a="1"/>
  <c r="N137" i="1" s="1"/>
  <c r="N134" i="1" a="1"/>
  <c r="N134" i="1" s="1"/>
  <c r="N175" i="1" a="1"/>
  <c r="N175" i="1" s="1"/>
  <c r="N173" i="1" a="1"/>
  <c r="N173" i="1" s="1"/>
  <c r="N165" i="1" a="1"/>
  <c r="N165" i="1" s="1"/>
  <c r="N162" i="1" a="1"/>
  <c r="N162" i="1" s="1"/>
  <c r="N159" i="1" a="1"/>
  <c r="N159" i="1" s="1"/>
  <c r="N156" i="1" a="1"/>
  <c r="N156" i="1" s="1"/>
  <c r="N153" i="1" a="1"/>
  <c r="N153" i="1" s="1"/>
  <c r="N150" i="1" a="1"/>
  <c r="N150" i="1" s="1"/>
  <c r="N147" i="1" a="1"/>
  <c r="N147" i="1" s="1"/>
  <c r="N144" i="1" a="1"/>
  <c r="N144" i="1" s="1"/>
  <c r="N141" i="1" a="1"/>
  <c r="N141" i="1" s="1"/>
  <c r="N138" i="1" a="1"/>
  <c r="N138" i="1" s="1"/>
  <c r="N135" i="1" a="1"/>
  <c r="N135" i="1" s="1"/>
  <c r="N132" i="1" a="1"/>
  <c r="N132" i="1" s="1"/>
  <c r="N129" i="1" a="1"/>
  <c r="N129" i="1" s="1"/>
  <c r="N179" i="1" a="1"/>
  <c r="N179" i="1" s="1"/>
  <c r="O174" i="1" a="1"/>
  <c r="O174" i="1" s="1"/>
  <c r="N172" i="1" a="1"/>
  <c r="N172" i="1" s="1"/>
  <c r="N163" i="1" a="1"/>
  <c r="N163" i="1" s="1"/>
  <c r="N154" i="1" a="1"/>
  <c r="N154" i="1" s="1"/>
  <c r="N145" i="1" a="1"/>
  <c r="N145" i="1" s="1"/>
  <c r="N136" i="1" a="1"/>
  <c r="N136" i="1" s="1"/>
  <c r="N133" i="1" a="1"/>
  <c r="N133" i="1" s="1"/>
  <c r="N131" i="1" a="1"/>
  <c r="N131" i="1" s="1"/>
  <c r="N125" i="1" a="1"/>
  <c r="N125" i="1" s="1"/>
  <c r="N122" i="1" a="1"/>
  <c r="N122" i="1" s="1"/>
  <c r="N119" i="1" a="1"/>
  <c r="N119" i="1" s="1"/>
  <c r="N116" i="1" a="1"/>
  <c r="N116" i="1" s="1"/>
  <c r="N113" i="1" a="1"/>
  <c r="N113" i="1" s="1"/>
  <c r="N110" i="1" a="1"/>
  <c r="N110" i="1" s="1"/>
  <c r="N107" i="1" a="1"/>
  <c r="N107" i="1" s="1"/>
  <c r="N104" i="1" a="1"/>
  <c r="N104" i="1" s="1"/>
  <c r="N101" i="1" a="1"/>
  <c r="N101" i="1" s="1"/>
  <c r="N98" i="1" a="1"/>
  <c r="N98" i="1" s="1"/>
  <c r="N95" i="1" a="1"/>
  <c r="N95" i="1" s="1"/>
  <c r="N92" i="1" a="1"/>
  <c r="N92" i="1" s="1"/>
  <c r="N89" i="1" a="1"/>
  <c r="N89" i="1" s="1"/>
  <c r="N86" i="1" a="1"/>
  <c r="N86" i="1" s="1"/>
  <c r="N83" i="1" a="1"/>
  <c r="N83" i="1" s="1"/>
  <c r="N80" i="1" a="1"/>
  <c r="N80" i="1" s="1"/>
  <c r="N77" i="1" a="1"/>
  <c r="N77" i="1" s="1"/>
  <c r="N74" i="1" a="1"/>
  <c r="N74" i="1" s="1"/>
  <c r="N71" i="1" a="1"/>
  <c r="N71" i="1" s="1"/>
  <c r="N68" i="1" a="1"/>
  <c r="N68" i="1" s="1"/>
  <c r="N65" i="1" a="1"/>
  <c r="N65" i="1" s="1"/>
  <c r="N62" i="1" a="1"/>
  <c r="N62" i="1" s="1"/>
  <c r="N59" i="1" a="1"/>
  <c r="N59" i="1" s="1"/>
  <c r="N56" i="1" a="1"/>
  <c r="N56" i="1" s="1"/>
  <c r="N53" i="1" a="1"/>
  <c r="N53" i="1" s="1"/>
  <c r="O178" i="1" a="1"/>
  <c r="O178" i="1" s="1"/>
  <c r="N170" i="1" a="1"/>
  <c r="N170" i="1" s="1"/>
  <c r="N166" i="1" a="1"/>
  <c r="N166" i="1" s="1"/>
  <c r="N157" i="1" a="1"/>
  <c r="N157" i="1" s="1"/>
  <c r="N148" i="1" a="1"/>
  <c r="N148" i="1" s="1"/>
  <c r="N139" i="1" a="1"/>
  <c r="N139" i="1" s="1"/>
  <c r="O132" i="1" a="1"/>
  <c r="O132" i="1" s="1"/>
  <c r="N130" i="1" a="1"/>
  <c r="N130" i="1" s="1"/>
  <c r="N128" i="1" a="1"/>
  <c r="N128" i="1" s="1"/>
  <c r="O127" i="1" a="1"/>
  <c r="O127" i="1" s="1"/>
  <c r="N126" i="1" a="1"/>
  <c r="N126" i="1" s="1"/>
  <c r="N123" i="1" a="1"/>
  <c r="N123" i="1" s="1"/>
  <c r="N120" i="1" a="1"/>
  <c r="N120" i="1" s="1"/>
  <c r="N117" i="1" a="1"/>
  <c r="N117" i="1" s="1"/>
  <c r="N114" i="1" a="1"/>
  <c r="N114" i="1" s="1"/>
  <c r="N111" i="1" a="1"/>
  <c r="N111" i="1" s="1"/>
  <c r="N108" i="1" a="1"/>
  <c r="N108" i="1" s="1"/>
  <c r="N105" i="1" a="1"/>
  <c r="N105" i="1" s="1"/>
  <c r="N102" i="1" a="1"/>
  <c r="N102" i="1" s="1"/>
  <c r="N99" i="1" a="1"/>
  <c r="N99" i="1" s="1"/>
  <c r="N96" i="1" a="1"/>
  <c r="N96" i="1" s="1"/>
  <c r="N93" i="1" a="1"/>
  <c r="N93" i="1" s="1"/>
  <c r="N90" i="1" a="1"/>
  <c r="N90" i="1" s="1"/>
  <c r="O169" i="1" a="1"/>
  <c r="O169" i="1" s="1"/>
  <c r="N160" i="1" a="1"/>
  <c r="N160" i="1" s="1"/>
  <c r="N151" i="1" a="1"/>
  <c r="N151" i="1" s="1"/>
  <c r="N142" i="1" a="1"/>
  <c r="N142" i="1" s="1"/>
  <c r="O133" i="1" a="1"/>
  <c r="O133" i="1" s="1"/>
  <c r="O129" i="1" a="1"/>
  <c r="O129" i="1" s="1"/>
  <c r="N127" i="1" a="1"/>
  <c r="N127" i="1" s="1"/>
  <c r="N124" i="1" a="1"/>
  <c r="N124" i="1" s="1"/>
  <c r="N121" i="1" a="1"/>
  <c r="N121" i="1" s="1"/>
  <c r="N118" i="1" a="1"/>
  <c r="N118" i="1" s="1"/>
  <c r="N115" i="1" a="1"/>
  <c r="N115" i="1" s="1"/>
  <c r="N112" i="1" a="1"/>
  <c r="N112" i="1" s="1"/>
  <c r="N106" i="1" a="1"/>
  <c r="N106" i="1" s="1"/>
  <c r="N97" i="1" a="1"/>
  <c r="N97" i="1" s="1"/>
  <c r="N87" i="1" a="1"/>
  <c r="N87" i="1" s="1"/>
  <c r="N85" i="1" a="1"/>
  <c r="N85" i="1" s="1"/>
  <c r="N78" i="1" a="1"/>
  <c r="N78" i="1" s="1"/>
  <c r="N76" i="1" a="1"/>
  <c r="N76" i="1" s="1"/>
  <c r="N69" i="1" a="1"/>
  <c r="N69" i="1" s="1"/>
  <c r="N67" i="1" a="1"/>
  <c r="N67" i="1" s="1"/>
  <c r="N60" i="1" a="1"/>
  <c r="N60" i="1" s="1"/>
  <c r="N58" i="1" a="1"/>
  <c r="N58" i="1" s="1"/>
  <c r="N52" i="1" a="1"/>
  <c r="N52" i="1" s="1"/>
  <c r="N49" i="1" a="1"/>
  <c r="N49" i="1" s="1"/>
  <c r="N46" i="1" a="1"/>
  <c r="N46" i="1" s="1"/>
  <c r="N43" i="1" a="1"/>
  <c r="N43" i="1" s="1"/>
  <c r="N40" i="1" a="1"/>
  <c r="N40" i="1" s="1"/>
  <c r="N37" i="1" a="1"/>
  <c r="N37" i="1" s="1"/>
  <c r="N34" i="1" a="1"/>
  <c r="N34" i="1" s="1"/>
  <c r="N31" i="1" a="1"/>
  <c r="N31" i="1" s="1"/>
  <c r="N28" i="1" a="1"/>
  <c r="N28" i="1" s="1"/>
  <c r="N25" i="1" a="1"/>
  <c r="N25" i="1" s="1"/>
  <c r="N22" i="1" a="1"/>
  <c r="N22" i="1" s="1"/>
  <c r="N19" i="1" a="1"/>
  <c r="N19" i="1" s="1"/>
  <c r="N16" i="1" a="1"/>
  <c r="N16" i="1" s="1"/>
  <c r="N13" i="1" a="1"/>
  <c r="N13" i="1" s="1"/>
  <c r="N10" i="1" a="1"/>
  <c r="N10" i="1" s="1"/>
  <c r="N7" i="1" a="1"/>
  <c r="N7" i="1" s="1"/>
  <c r="N4" i="1" a="1"/>
  <c r="N4" i="1" s="1"/>
  <c r="N35" i="1" a="1"/>
  <c r="N35" i="1" s="1"/>
  <c r="N29" i="1" a="1"/>
  <c r="N29" i="1" s="1"/>
  <c r="N109" i="1" a="1"/>
  <c r="N109" i="1" s="1"/>
  <c r="N100" i="1" a="1"/>
  <c r="N100" i="1" s="1"/>
  <c r="N91" i="1" a="1"/>
  <c r="N91" i="1" s="1"/>
  <c r="O86" i="1" a="1"/>
  <c r="O86" i="1" s="1"/>
  <c r="N84" i="1" a="1"/>
  <c r="N84" i="1" s="1"/>
  <c r="N82" i="1" a="1"/>
  <c r="N82" i="1" s="1"/>
  <c r="O77" i="1" a="1"/>
  <c r="O77" i="1" s="1"/>
  <c r="N75" i="1" a="1"/>
  <c r="N75" i="1" s="1"/>
  <c r="N73" i="1" a="1"/>
  <c r="N73" i="1" s="1"/>
  <c r="O68" i="1" a="1"/>
  <c r="O68" i="1" s="1"/>
  <c r="N66" i="1" a="1"/>
  <c r="N66" i="1" s="1"/>
  <c r="N64" i="1" a="1"/>
  <c r="N64" i="1" s="1"/>
  <c r="O59" i="1" a="1"/>
  <c r="O59" i="1" s="1"/>
  <c r="N57" i="1" a="1"/>
  <c r="N57" i="1" s="1"/>
  <c r="N55" i="1" a="1"/>
  <c r="N55" i="1" s="1"/>
  <c r="N50" i="1" a="1"/>
  <c r="N50" i="1" s="1"/>
  <c r="N47" i="1" a="1"/>
  <c r="N47" i="1" s="1"/>
  <c r="N44" i="1" a="1"/>
  <c r="N44" i="1" s="1"/>
  <c r="N41" i="1" a="1"/>
  <c r="N41" i="1" s="1"/>
  <c r="N38" i="1" a="1"/>
  <c r="N38" i="1" s="1"/>
  <c r="N32" i="1" a="1"/>
  <c r="N32" i="1" s="1"/>
  <c r="O28" i="1" a="1"/>
  <c r="O28" i="1" s="1"/>
  <c r="N103" i="1" a="1"/>
  <c r="N103" i="1" s="1"/>
  <c r="N94" i="1" a="1"/>
  <c r="N94" i="1" s="1"/>
  <c r="N88" i="1" a="1"/>
  <c r="N88" i="1" s="1"/>
  <c r="O87" i="1" a="1"/>
  <c r="O87" i="1" s="1"/>
  <c r="O83" i="1" a="1"/>
  <c r="O83" i="1" s="1"/>
  <c r="N2" i="1" a="1"/>
  <c r="N2" i="1" s="1"/>
  <c r="O3" i="1" a="1"/>
  <c r="O3" i="1" s="1"/>
  <c r="N9" i="1" a="1"/>
  <c r="N9" i="1" s="1"/>
  <c r="N11" i="1" a="1"/>
  <c r="N11" i="1" s="1"/>
  <c r="O12" i="1" a="1"/>
  <c r="O12" i="1" s="1"/>
  <c r="N18" i="1" a="1"/>
  <c r="N18" i="1" s="1"/>
  <c r="N20" i="1" a="1"/>
  <c r="N20" i="1" s="1"/>
  <c r="O21" i="1" a="1"/>
  <c r="O21" i="1" s="1"/>
  <c r="O30" i="1" a="1"/>
  <c r="O30" i="1" s="1"/>
  <c r="N30" i="1" a="1"/>
  <c r="N30" i="1" s="1"/>
  <c r="O40" i="1" a="1"/>
  <c r="O40" i="1" s="1"/>
  <c r="O42" i="1" a="1"/>
  <c r="O42" i="1" s="1"/>
  <c r="N42" i="1" a="1"/>
  <c r="N42" i="1" s="1"/>
  <c r="O49" i="1" a="1"/>
  <c r="O49" i="1" s="1"/>
  <c r="O51" i="1" a="1"/>
  <c r="O51" i="1" s="1"/>
  <c r="N51" i="1" a="1"/>
  <c r="N51" i="1" s="1"/>
  <c r="O60" i="1" a="1"/>
  <c r="O60" i="1" s="1"/>
  <c r="O64" i="1" a="1"/>
  <c r="O64" i="1" s="1"/>
  <c r="O66" i="1" a="1"/>
  <c r="O66" i="1" s="1"/>
  <c r="O71" i="1" a="1"/>
  <c r="O71" i="1" s="1"/>
  <c r="O72" i="1" a="1"/>
  <c r="O72" i="1" s="1"/>
  <c r="N72" i="1" a="1"/>
  <c r="N72" i="1" s="1"/>
  <c r="O74" i="1" a="1"/>
  <c r="O74" i="1" s="1"/>
  <c r="N79" i="1" a="1"/>
  <c r="N79" i="1" s="1"/>
  <c r="O92" i="1" a="1"/>
  <c r="O92" i="1" s="1"/>
  <c r="O94" i="1" a="1"/>
  <c r="O94" i="1" s="1"/>
  <c r="O101" i="1" a="1"/>
  <c r="O101" i="1" s="1"/>
  <c r="O103" i="1" a="1"/>
  <c r="O103" i="1" s="1"/>
  <c r="O110" i="1" a="1"/>
  <c r="O110" i="1" s="1"/>
  <c r="O111" i="1" a="1"/>
  <c r="O111" i="1" s="1"/>
  <c r="O112" i="1" a="1"/>
  <c r="O112" i="1" s="1"/>
  <c r="O113" i="1" a="1"/>
  <c r="O113" i="1" s="1"/>
  <c r="O114" i="1" a="1"/>
  <c r="O114" i="1" s="1"/>
  <c r="O115" i="1" a="1"/>
  <c r="O115" i="1" s="1"/>
  <c r="O116" i="1" a="1"/>
  <c r="O116" i="1" s="1"/>
  <c r="O117" i="1" a="1"/>
  <c r="O117" i="1" s="1"/>
  <c r="O118" i="1" a="1"/>
  <c r="O118" i="1" s="1"/>
  <c r="O119" i="1" a="1"/>
  <c r="O119" i="1" s="1"/>
  <c r="O120" i="1" a="1"/>
  <c r="O120" i="1" s="1"/>
  <c r="O121" i="1" a="1"/>
  <c r="O121" i="1" s="1"/>
  <c r="O122" i="1" a="1"/>
  <c r="O122" i="1" s="1"/>
  <c r="O123" i="1" a="1"/>
  <c r="O123" i="1" s="1"/>
  <c r="O124" i="1" a="1"/>
  <c r="O124" i="1" s="1"/>
  <c r="O125" i="1" a="1"/>
  <c r="O125" i="1" s="1"/>
  <c r="O126" i="1" a="1"/>
  <c r="O126" i="1" s="1"/>
  <c r="O130" i="1" a="1"/>
  <c r="O130" i="1" s="1"/>
  <c r="O135" i="1" a="1"/>
  <c r="O135" i="1" s="1"/>
  <c r="O138" i="1" a="1"/>
  <c r="O138" i="1" s="1"/>
  <c r="O141" i="1" a="1"/>
  <c r="O141" i="1" s="1"/>
  <c r="O144" i="1" a="1"/>
  <c r="O144" i="1" s="1"/>
  <c r="O147" i="1" a="1"/>
  <c r="O147" i="1" s="1"/>
  <c r="O150" i="1" a="1"/>
  <c r="O150" i="1" s="1"/>
  <c r="O153" i="1" a="1"/>
  <c r="O153" i="1" s="1"/>
  <c r="O156" i="1" a="1"/>
  <c r="O156" i="1" s="1"/>
  <c r="O159" i="1" a="1"/>
  <c r="O159" i="1" s="1"/>
  <c r="O162" i="1" a="1"/>
  <c r="O162" i="1" s="1"/>
  <c r="O165" i="1" a="1"/>
  <c r="O165" i="1" s="1"/>
  <c r="O58" i="1" a="1"/>
  <c r="O58" i="1" s="1"/>
  <c r="O67" i="1" a="1"/>
  <c r="O67" i="1" s="1"/>
  <c r="O76" i="1" a="1"/>
  <c r="O76" i="1" s="1"/>
  <c r="O85" i="1" a="1"/>
  <c r="O85" i="1" s="1"/>
  <c r="O91" i="1" a="1"/>
  <c r="O91" i="1" s="1"/>
  <c r="O98" i="1" a="1"/>
  <c r="O98" i="1" s="1"/>
  <c r="O100" i="1" a="1"/>
  <c r="O100" i="1" s="1"/>
  <c r="O107" i="1" a="1"/>
  <c r="O107" i="1" s="1"/>
  <c r="O109" i="1" a="1"/>
  <c r="O109" i="1" s="1"/>
  <c r="O61" i="1" a="1"/>
  <c r="O61" i="1" s="1"/>
  <c r="O70" i="1" a="1"/>
  <c r="O70" i="1" s="1"/>
  <c r="O79" i="1" a="1"/>
  <c r="O79" i="1" s="1"/>
  <c r="O88" i="1" a="1"/>
  <c r="O88" i="1" s="1"/>
  <c r="O95" i="1" a="1"/>
  <c r="O95" i="1" s="1"/>
  <c r="O97" i="1" a="1"/>
  <c r="O97" i="1" s="1"/>
  <c r="O104" i="1" a="1"/>
  <c r="O104" i="1" s="1"/>
  <c r="O106" i="1" a="1"/>
  <c r="O106" i="1" s="1"/>
  <c r="O128" i="1" a="1"/>
  <c r="O128" i="1" s="1"/>
  <c r="O140" i="1" a="1"/>
  <c r="O140" i="1" s="1"/>
  <c r="O142" i="1" a="1"/>
  <c r="O142" i="1" s="1"/>
  <c r="O149" i="1" a="1"/>
  <c r="O149" i="1" s="1"/>
  <c r="O151" i="1" a="1"/>
  <c r="O151" i="1" s="1"/>
  <c r="O158" i="1" a="1"/>
  <c r="O158" i="1" s="1"/>
  <c r="O160" i="1" a="1"/>
  <c r="O160" i="1" s="1"/>
  <c r="O173" i="1" a="1"/>
  <c r="O173" i="1" s="1"/>
  <c r="O177" i="1" a="1"/>
  <c r="O177" i="1" s="1"/>
  <c r="O180" i="1" a="1"/>
  <c r="O180" i="1" s="1"/>
  <c r="O181" i="1" a="1"/>
  <c r="O181" i="1" s="1"/>
  <c r="O182" i="1" a="1"/>
  <c r="O182" i="1" s="1"/>
  <c r="O183" i="1" a="1"/>
  <c r="O183" i="1" s="1"/>
  <c r="O184" i="1" a="1"/>
  <c r="O184" i="1" s="1"/>
  <c r="O185" i="1" a="1"/>
  <c r="O185" i="1" s="1"/>
  <c r="O186" i="1" a="1"/>
  <c r="O186" i="1" s="1"/>
  <c r="O187" i="1" a="1"/>
  <c r="O187" i="1" s="1"/>
  <c r="O188" i="1" a="1"/>
  <c r="O188" i="1" s="1"/>
  <c r="O189" i="1" a="1"/>
  <c r="O189" i="1" s="1"/>
  <c r="O190" i="1" a="1"/>
  <c r="O190" i="1" s="1"/>
  <c r="O191" i="1" a="1"/>
  <c r="O191" i="1" s="1"/>
  <c r="O192" i="1" a="1"/>
  <c r="O192" i="1" s="1"/>
  <c r="O193" i="1" a="1"/>
  <c r="O193" i="1" s="1"/>
  <c r="O131" i="1" a="1"/>
  <c r="O131" i="1" s="1"/>
  <c r="O137" i="1" a="1"/>
  <c r="O137" i="1" s="1"/>
  <c r="O139" i="1" a="1"/>
  <c r="O139" i="1" s="1"/>
  <c r="O146" i="1" a="1"/>
  <c r="O146" i="1" s="1"/>
  <c r="O148" i="1" a="1"/>
  <c r="O148" i="1" s="1"/>
  <c r="O155" i="1" a="1"/>
  <c r="O155" i="1" s="1"/>
  <c r="O157" i="1" a="1"/>
  <c r="O157" i="1" s="1"/>
  <c r="O164" i="1" a="1"/>
  <c r="O164" i="1" s="1"/>
  <c r="O166" i="1" a="1"/>
  <c r="O166" i="1" s="1"/>
  <c r="O134" i="1" a="1"/>
  <c r="O134" i="1" s="1"/>
  <c r="O136" i="1" a="1"/>
  <c r="O136" i="1" s="1"/>
  <c r="O143" i="1" a="1"/>
  <c r="O143" i="1" s="1"/>
  <c r="O145" i="1" a="1"/>
  <c r="O145" i="1" s="1"/>
  <c r="O152" i="1" a="1"/>
  <c r="O152" i="1" s="1"/>
  <c r="O154" i="1" a="1"/>
  <c r="O154" i="1" s="1"/>
  <c r="O161" i="1" a="1"/>
  <c r="O161" i="1" s="1"/>
  <c r="O163" i="1" a="1"/>
  <c r="O163" i="1" s="1"/>
  <c r="O168" i="1" a="1"/>
  <c r="O168" i="1" s="1"/>
  <c r="O171" i="1" a="1"/>
  <c r="O171" i="1" s="1"/>
  <c r="O172" i="1" a="1"/>
  <c r="O172" i="1" s="1"/>
  <c r="O194" i="1" a="1"/>
  <c r="O194" i="1" s="1"/>
  <c r="O195" i="1" a="1"/>
  <c r="O195" i="1" s="1"/>
  <c r="O196" i="1" a="1"/>
  <c r="O196" i="1" s="1"/>
  <c r="O197" i="1" a="1"/>
  <c r="O197" i="1" s="1"/>
  <c r="O198" i="1" a="1"/>
  <c r="O198" i="1" s="1"/>
  <c r="O199" i="1" a="1"/>
  <c r="O199" i="1" s="1"/>
  <c r="O200" i="1" a="1"/>
  <c r="O200" i="1" s="1"/>
  <c r="O201" i="1" a="1"/>
  <c r="O201" i="1" s="1"/>
  <c r="O202" i="1" a="1"/>
  <c r="O202" i="1" s="1"/>
  <c r="O203" i="1" a="1"/>
  <c r="O203" i="1" s="1"/>
  <c r="O204" i="1" a="1"/>
  <c r="O204" i="1" s="1"/>
  <c r="O205" i="1" a="1"/>
  <c r="O205" i="1" s="1"/>
  <c r="O206" i="1" a="1"/>
  <c r="O206" i="1" s="1"/>
  <c r="O207" i="1" a="1"/>
  <c r="O207" i="1" s="1"/>
  <c r="O208" i="1" a="1"/>
  <c r="O208" i="1" s="1"/>
  <c r="O209" i="1" a="1"/>
  <c r="O209" i="1" s="1"/>
  <c r="O210" i="1" a="1"/>
  <c r="O210" i="1" s="1"/>
  <c r="O211" i="1" a="1"/>
  <c r="O211" i="1" s="1"/>
  <c r="O212" i="1" a="1"/>
  <c r="O212" i="1" s="1"/>
  <c r="O213" i="1" a="1"/>
  <c r="O213" i="1" s="1"/>
  <c r="O214" i="1" a="1"/>
  <c r="O214" i="1" s="1"/>
  <c r="O215" i="1" a="1"/>
  <c r="O215" i="1" s="1"/>
  <c r="O216" i="1" a="1"/>
  <c r="O216" i="1" s="1"/>
  <c r="O167" i="1" a="1"/>
  <c r="O167" i="1" s="1"/>
  <c r="O176" i="1" a="1"/>
  <c r="O176" i="1" s="1"/>
  <c r="O170" i="1" a="1"/>
  <c r="O170" i="1" s="1"/>
  <c r="O179" i="1" a="1"/>
  <c r="O179" i="1" s="1"/>
  <c r="O217" i="1" a="1"/>
  <c r="O217" i="1" s="1"/>
  <c r="O218" i="1" a="1"/>
  <c r="O218" i="1" s="1"/>
  <c r="O219" i="1" a="1"/>
  <c r="O219" i="1" s="1"/>
  <c r="O220" i="1" a="1"/>
  <c r="O220" i="1" s="1"/>
  <c r="O221" i="1" a="1"/>
  <c r="O221" i="1" s="1"/>
  <c r="O222" i="1" a="1"/>
  <c r="O222" i="1" s="1"/>
  <c r="O223" i="1" a="1"/>
  <c r="O223" i="1" s="1"/>
  <c r="O224" i="1" a="1"/>
  <c r="O224" i="1" s="1"/>
  <c r="O225" i="1" a="1"/>
  <c r="O225" i="1" s="1"/>
  <c r="O226" i="1" a="1"/>
  <c r="O226" i="1" s="1"/>
  <c r="O227" i="1" a="1"/>
  <c r="O227" i="1" s="1"/>
  <c r="O228" i="1" a="1"/>
  <c r="O228" i="1" s="1"/>
  <c r="O229" i="1" a="1"/>
  <c r="O229" i="1" s="1"/>
  <c r="O230" i="1" a="1"/>
  <c r="O230" i="1" s="1"/>
  <c r="O231" i="1" a="1"/>
  <c r="O231" i="1" s="1"/>
  <c r="O232" i="1" a="1"/>
  <c r="O232" i="1" s="1"/>
  <c r="O233" i="1" a="1"/>
  <c r="O233" i="1" s="1"/>
  <c r="O234" i="1" a="1"/>
  <c r="O234" i="1" s="1"/>
  <c r="O235" i="1" a="1"/>
  <c r="O235" i="1" s="1"/>
  <c r="O236" i="1" a="1"/>
  <c r="O236" i="1" s="1"/>
  <c r="O237" i="1" a="1"/>
  <c r="O237" i="1" s="1"/>
  <c r="O238" i="1" a="1"/>
  <c r="O238" i="1" s="1"/>
  <c r="O239" i="1" a="1"/>
  <c r="O239" i="1" s="1"/>
  <c r="O240" i="1" a="1"/>
  <c r="O240" i="1" s="1"/>
  <c r="O241" i="1" a="1"/>
  <c r="O241" i="1" s="1"/>
  <c r="O242" i="1" a="1"/>
  <c r="O242" i="1" s="1"/>
  <c r="O243" i="1" a="1"/>
  <c r="O243" i="1" s="1"/>
  <c r="O244" i="1" a="1"/>
  <c r="O244" i="1" s="1"/>
  <c r="O245" i="1" a="1"/>
  <c r="O245" i="1" s="1"/>
  <c r="O246" i="1" a="1"/>
  <c r="O246" i="1" s="1"/>
  <c r="O247" i="1" a="1"/>
  <c r="O247" i="1" s="1"/>
  <c r="O248" i="1" a="1"/>
  <c r="O248" i="1" s="1"/>
  <c r="O249" i="1" a="1"/>
  <c r="O249" i="1" s="1"/>
  <c r="O250" i="1" a="1"/>
  <c r="O250" i="1" s="1"/>
  <c r="O251" i="1" a="1"/>
  <c r="O251" i="1" s="1"/>
  <c r="O252" i="1" a="1"/>
  <c r="O252" i="1" s="1"/>
  <c r="O253" i="1" a="1"/>
  <c r="O253" i="1" s="1"/>
  <c r="O254" i="1" a="1"/>
  <c r="O254" i="1" s="1"/>
  <c r="O255" i="1" a="1"/>
  <c r="O255" i="1" s="1"/>
  <c r="O256" i="1" a="1"/>
  <c r="O256" i="1" s="1"/>
  <c r="O257" i="1" a="1"/>
  <c r="O257" i="1" s="1"/>
  <c r="O258" i="1" a="1"/>
  <c r="O258" i="1" s="1"/>
  <c r="O259" i="1" a="1"/>
  <c r="O259" i="1" s="1"/>
  <c r="O260" i="1" a="1"/>
  <c r="O260" i="1" s="1"/>
  <c r="O261" i="1" a="1"/>
  <c r="O261" i="1" s="1"/>
  <c r="O262" i="1" a="1"/>
  <c r="O262" i="1" s="1"/>
  <c r="O263" i="1" a="1"/>
  <c r="O263" i="1" s="1"/>
  <c r="O264" i="1" a="1"/>
  <c r="O264" i="1" s="1"/>
  <c r="O265" i="1" a="1"/>
  <c r="O265" i="1" s="1"/>
  <c r="O266" i="1" a="1"/>
  <c r="O266" i="1" s="1"/>
  <c r="O267" i="1" a="1"/>
  <c r="O267" i="1" s="1"/>
  <c r="O268" i="1" a="1"/>
  <c r="O268" i="1" s="1"/>
  <c r="O269" i="1" a="1"/>
  <c r="O269" i="1" s="1"/>
  <c r="O270" i="1" a="1"/>
  <c r="O270" i="1" s="1"/>
  <c r="O271" i="1" a="1"/>
  <c r="O271" i="1" s="1"/>
  <c r="O272" i="1" a="1"/>
  <c r="O272" i="1" s="1"/>
  <c r="O273" i="1" a="1"/>
  <c r="O273" i="1" s="1"/>
  <c r="O274" i="1" a="1"/>
  <c r="O274" i="1" s="1"/>
  <c r="O275" i="1" a="1"/>
  <c r="O275" i="1" s="1"/>
  <c r="O276" i="1" a="1"/>
  <c r="O276" i="1" s="1"/>
  <c r="O277" i="1" a="1"/>
  <c r="O277" i="1" s="1"/>
  <c r="O278" i="1" a="1"/>
  <c r="O278" i="1" s="1"/>
  <c r="O279" i="1" a="1"/>
  <c r="O279" i="1" s="1"/>
  <c r="O280" i="1" a="1"/>
  <c r="O280" i="1" s="1"/>
  <c r="O281" i="1" a="1"/>
  <c r="O281" i="1" s="1"/>
  <c r="O282" i="1" a="1"/>
  <c r="O282" i="1" s="1"/>
  <c r="O283" i="1" a="1"/>
  <c r="O283" i="1" s="1"/>
  <c r="O284" i="1" a="1"/>
  <c r="O284" i="1" s="1"/>
  <c r="O285" i="1" a="1"/>
  <c r="O285" i="1" s="1"/>
  <c r="O286" i="1" a="1"/>
  <c r="O286" i="1" s="1"/>
  <c r="O287" i="1" a="1"/>
  <c r="O287" i="1" s="1"/>
  <c r="O288" i="1" a="1"/>
  <c r="O288" i="1" s="1"/>
  <c r="O289" i="1" a="1"/>
  <c r="O289" i="1" s="1"/>
  <c r="O290" i="1" a="1"/>
  <c r="O290" i="1" s="1"/>
  <c r="O291" i="1" a="1"/>
  <c r="O291" i="1" s="1"/>
  <c r="O292" i="1" a="1"/>
  <c r="O292" i="1" s="1"/>
  <c r="O293" i="1" a="1"/>
  <c r="O293" i="1" s="1"/>
  <c r="O294" i="1" a="1"/>
  <c r="O294" i="1" s="1"/>
  <c r="O295" i="1" a="1"/>
  <c r="O295" i="1" s="1"/>
  <c r="O296" i="1" a="1"/>
  <c r="O296" i="1" s="1"/>
  <c r="O297" i="1" a="1"/>
  <c r="O297" i="1" s="1"/>
  <c r="O298" i="1" a="1"/>
  <c r="O298" i="1" s="1"/>
  <c r="O299" i="1" a="1"/>
  <c r="O299" i="1" s="1"/>
  <c r="O300" i="1" a="1"/>
  <c r="O300" i="1" s="1"/>
  <c r="O301" i="1" a="1"/>
  <c r="O301" i="1" s="1"/>
  <c r="O302" i="1" a="1"/>
  <c r="O302" i="1" s="1"/>
  <c r="O303" i="1" a="1"/>
  <c r="O303" i="1" s="1"/>
  <c r="O304" i="1" a="1"/>
  <c r="O304" i="1" s="1"/>
  <c r="O305" i="1" a="1"/>
  <c r="O305" i="1" s="1"/>
  <c r="O306" i="1" a="1"/>
  <c r="O306" i="1" s="1"/>
  <c r="O307" i="1" a="1"/>
  <c r="O307" i="1" s="1"/>
  <c r="O308" i="1" a="1"/>
  <c r="O308" i="1" s="1"/>
  <c r="O309" i="1" a="1"/>
  <c r="O309" i="1" s="1"/>
  <c r="O310" i="1" a="1"/>
  <c r="O310" i="1" s="1"/>
  <c r="O311" i="1" a="1"/>
  <c r="O311" i="1" s="1"/>
  <c r="O312" i="1" a="1"/>
  <c r="O312" i="1" s="1"/>
  <c r="O313" i="1" a="1"/>
  <c r="O313" i="1" s="1"/>
  <c r="O314" i="1" a="1"/>
  <c r="O314" i="1" s="1"/>
  <c r="O315" i="1" a="1"/>
  <c r="O315" i="1" s="1"/>
  <c r="O316" i="1" a="1"/>
  <c r="O316" i="1" s="1"/>
  <c r="O317" i="1" a="1"/>
  <c r="O317" i="1" s="1"/>
  <c r="O318" i="1" a="1"/>
  <c r="O318" i="1" s="1"/>
  <c r="O319" i="1" a="1"/>
  <c r="O319" i="1" s="1"/>
  <c r="O320" i="1" a="1"/>
  <c r="O320" i="1" s="1"/>
  <c r="O321" i="1" a="1"/>
  <c r="O321" i="1" s="1"/>
  <c r="O322" i="1" a="1"/>
  <c r="O322" i="1" s="1"/>
  <c r="O323" i="1" a="1"/>
  <c r="O323" i="1" s="1"/>
  <c r="O324" i="1" a="1"/>
  <c r="O324" i="1" s="1"/>
  <c r="O325" i="1" a="1"/>
  <c r="O325" i="1" s="1"/>
  <c r="O326" i="1" a="1"/>
  <c r="O326" i="1" s="1"/>
  <c r="O327" i="1" a="1"/>
  <c r="O327" i="1" s="1"/>
  <c r="O328" i="1" a="1"/>
  <c r="O328" i="1" s="1"/>
  <c r="O329" i="1" a="1"/>
  <c r="O329" i="1" s="1"/>
  <c r="O330" i="1" a="1"/>
  <c r="O330" i="1" s="1"/>
  <c r="O331" i="1" a="1"/>
  <c r="O331" i="1" s="1"/>
  <c r="O332" i="1" a="1"/>
  <c r="O332" i="1" s="1"/>
  <c r="O333" i="1" a="1"/>
  <c r="O333" i="1" s="1"/>
  <c r="O334" i="1" a="1"/>
  <c r="O334" i="1" s="1"/>
  <c r="O335" i="1" a="1"/>
  <c r="O335" i="1" s="1"/>
  <c r="O336" i="1" a="1"/>
  <c r="O336" i="1" s="1"/>
  <c r="O337" i="1" a="1"/>
  <c r="O337" i="1" s="1"/>
  <c r="O338" i="1" a="1"/>
  <c r="O338" i="1" s="1"/>
  <c r="O339" i="1" a="1"/>
  <c r="O339" i="1" s="1"/>
  <c r="O340" i="1" a="1"/>
  <c r="O340" i="1" s="1"/>
  <c r="O341" i="1" a="1"/>
  <c r="O341" i="1" s="1"/>
  <c r="O342" i="1" a="1"/>
  <c r="O342" i="1" s="1"/>
  <c r="O343" i="1" a="1"/>
  <c r="O343" i="1" s="1"/>
  <c r="O344" i="1" a="1"/>
  <c r="O344" i="1" s="1"/>
  <c r="O345" i="1" a="1"/>
  <c r="O345" i="1" s="1"/>
  <c r="O346" i="1" a="1"/>
  <c r="O346" i="1" s="1"/>
  <c r="O347" i="1" a="1"/>
  <c r="O347" i="1" s="1"/>
  <c r="O348" i="1" a="1"/>
  <c r="O348" i="1" s="1"/>
  <c r="O349" i="1" a="1"/>
  <c r="O349" i="1" s="1"/>
  <c r="O350" i="1" a="1"/>
  <c r="O350" i="1" s="1"/>
  <c r="O351" i="1" a="1"/>
  <c r="O351" i="1" s="1"/>
  <c r="O352" i="1" a="1"/>
  <c r="O352" i="1" s="1"/>
  <c r="O353" i="1" a="1"/>
  <c r="O353" i="1" s="1"/>
  <c r="O354" i="1" a="1"/>
  <c r="O354" i="1" s="1"/>
  <c r="O355" i="1" a="1"/>
  <c r="O355" i="1" s="1"/>
  <c r="O356" i="1" a="1"/>
  <c r="O356" i="1" s="1"/>
  <c r="O357" i="1" a="1"/>
  <c r="O357" i="1" s="1"/>
  <c r="O358" i="1" a="1"/>
  <c r="O358" i="1" s="1"/>
  <c r="O359" i="1" a="1"/>
  <c r="O359" i="1" s="1"/>
  <c r="O360" i="1" a="1"/>
  <c r="O360" i="1" s="1"/>
  <c r="O361" i="1" a="1"/>
  <c r="O361" i="1" s="1"/>
  <c r="O362" i="1" a="1"/>
  <c r="O362" i="1" s="1"/>
  <c r="O363" i="1" a="1"/>
  <c r="O363" i="1" s="1"/>
  <c r="O364" i="1" a="1"/>
  <c r="O364" i="1" s="1"/>
  <c r="O365" i="1" a="1"/>
  <c r="O365" i="1" s="1"/>
  <c r="O366" i="1" a="1"/>
  <c r="O366" i="1" s="1"/>
  <c r="O367" i="1" a="1"/>
  <c r="O367" i="1" s="1"/>
  <c r="O368" i="1" a="1"/>
  <c r="O368" i="1" s="1"/>
  <c r="O369" i="1" a="1"/>
  <c r="O369" i="1" s="1"/>
  <c r="O370" i="1" a="1"/>
  <c r="O370" i="1" s="1"/>
  <c r="O371" i="1" a="1"/>
  <c r="O371" i="1" s="1"/>
  <c r="O372" i="1" a="1"/>
  <c r="O372" i="1" s="1"/>
  <c r="O373" i="1" a="1"/>
  <c r="O373" i="1" s="1"/>
  <c r="O374" i="1" a="1"/>
  <c r="O374" i="1" s="1"/>
  <c r="O375" i="1" a="1"/>
  <c r="O375" i="1" s="1"/>
  <c r="O376" i="1" a="1"/>
  <c r="O376" i="1" s="1"/>
  <c r="O377" i="1" a="1"/>
  <c r="O377" i="1" s="1"/>
  <c r="O378" i="1" a="1"/>
  <c r="O378" i="1" s="1"/>
  <c r="O379" i="1" a="1"/>
  <c r="O379" i="1" s="1"/>
  <c r="O380" i="1" a="1"/>
  <c r="O380" i="1" s="1"/>
  <c r="O381" i="1" a="1"/>
  <c r="O381" i="1" s="1"/>
  <c r="O382" i="1" a="1"/>
  <c r="O382" i="1" s="1"/>
  <c r="O383" i="1" a="1"/>
  <c r="O383" i="1" s="1"/>
  <c r="O384" i="1" a="1"/>
  <c r="O384" i="1" s="1"/>
  <c r="O385" i="1" a="1"/>
  <c r="O385" i="1" s="1"/>
  <c r="O386" i="1" a="1"/>
  <c r="O386" i="1" s="1"/>
  <c r="O387" i="1" a="1"/>
  <c r="O387" i="1" s="1"/>
  <c r="O388" i="1" a="1"/>
  <c r="O388" i="1" s="1"/>
  <c r="O389" i="1" a="1"/>
  <c r="O389" i="1" s="1"/>
  <c r="O390" i="1" a="1"/>
  <c r="O390" i="1" s="1"/>
  <c r="O391" i="1" a="1"/>
  <c r="O391" i="1" s="1"/>
  <c r="O392" i="1" a="1"/>
  <c r="O392" i="1" s="1"/>
  <c r="O393" i="1" a="1"/>
  <c r="O393" i="1" s="1"/>
  <c r="O394" i="1" a="1"/>
  <c r="O394" i="1" s="1"/>
  <c r="O395" i="1" a="1"/>
  <c r="O395" i="1" s="1"/>
  <c r="O396" i="1" a="1"/>
  <c r="O396" i="1" s="1"/>
  <c r="O397" i="1" a="1"/>
  <c r="O397" i="1" s="1"/>
  <c r="O398" i="1" a="1"/>
  <c r="O398" i="1" s="1"/>
  <c r="O399" i="1" a="1"/>
  <c r="O399" i="1" s="1"/>
  <c r="O400" i="1" a="1"/>
  <c r="O400" i="1" s="1"/>
  <c r="O401" i="1" a="1"/>
  <c r="O401" i="1" s="1"/>
  <c r="O402" i="1" a="1"/>
  <c r="O402" i="1" s="1"/>
  <c r="O403" i="1" a="1"/>
  <c r="O403" i="1" s="1"/>
  <c r="O404" i="1" a="1"/>
  <c r="O404" i="1" s="1"/>
  <c r="O405" i="1" a="1"/>
  <c r="O405" i="1" s="1"/>
  <c r="O406" i="1" a="1"/>
  <c r="O406" i="1" s="1"/>
  <c r="O407" i="1" a="1"/>
  <c r="O407" i="1" s="1"/>
  <c r="O408" i="1" a="1"/>
  <c r="O408" i="1" s="1"/>
  <c r="O409" i="1" a="1"/>
  <c r="O409" i="1" s="1"/>
  <c r="O410" i="1" a="1"/>
  <c r="O410" i="1" s="1"/>
  <c r="O411" i="1" a="1"/>
  <c r="O411" i="1" s="1"/>
  <c r="O412" i="1" a="1"/>
  <c r="O412" i="1" s="1"/>
  <c r="O413" i="1" a="1"/>
  <c r="O413" i="1" s="1"/>
  <c r="O414" i="1" a="1"/>
  <c r="O414" i="1" s="1"/>
  <c r="O415" i="1" a="1"/>
  <c r="O415" i="1" s="1"/>
  <c r="O416" i="1" a="1"/>
  <c r="O416" i="1" s="1"/>
  <c r="O417" i="1" a="1"/>
  <c r="O417" i="1" s="1"/>
  <c r="O418" i="1" a="1"/>
  <c r="O418" i="1" s="1"/>
  <c r="O419" i="1" a="1"/>
  <c r="O419" i="1" s="1"/>
  <c r="O420" i="1" a="1"/>
  <c r="O420" i="1" s="1"/>
  <c r="O421" i="1" a="1"/>
  <c r="O421" i="1" s="1"/>
  <c r="O422" i="1" a="1"/>
  <c r="O422" i="1" s="1"/>
  <c r="O423" i="1" a="1"/>
  <c r="O423" i="1" s="1"/>
  <c r="O424" i="1" a="1"/>
  <c r="O424" i="1" s="1"/>
  <c r="O425" i="1" a="1"/>
  <c r="O425" i="1" s="1"/>
  <c r="O426" i="1" a="1"/>
  <c r="O426" i="1" s="1"/>
  <c r="O427" i="1" a="1"/>
  <c r="O427" i="1" s="1"/>
  <c r="O428" i="1" a="1"/>
  <c r="O428" i="1" s="1"/>
  <c r="O429" i="1" a="1"/>
  <c r="O429" i="1" s="1"/>
  <c r="O430" i="1" a="1"/>
  <c r="O430" i="1" s="1"/>
  <c r="O431" i="1" a="1"/>
  <c r="O431" i="1" s="1"/>
  <c r="O432" i="1" a="1"/>
  <c r="O432" i="1" s="1"/>
  <c r="O433" i="1" a="1"/>
  <c r="O433" i="1" s="1"/>
  <c r="O434" i="1" a="1"/>
  <c r="O434" i="1" s="1"/>
  <c r="O435" i="1" a="1"/>
  <c r="O435" i="1" s="1"/>
  <c r="O436" i="1" a="1"/>
  <c r="O436" i="1" s="1"/>
  <c r="O437" i="1" a="1"/>
  <c r="O437" i="1" s="1"/>
  <c r="O438" i="1" a="1"/>
  <c r="O438" i="1" s="1"/>
  <c r="O439" i="1" a="1"/>
  <c r="O439" i="1" s="1"/>
  <c r="O440" i="1" a="1"/>
  <c r="O440" i="1" s="1"/>
  <c r="O441" i="1" a="1"/>
  <c r="O441" i="1" s="1"/>
  <c r="O442" i="1" a="1"/>
  <c r="O442" i="1" s="1"/>
  <c r="O443" i="1" a="1"/>
  <c r="O443" i="1" s="1"/>
  <c r="O444" i="1" a="1"/>
  <c r="O444" i="1" s="1"/>
  <c r="O445" i="1" a="1"/>
  <c r="O445" i="1" s="1"/>
  <c r="O446" i="1" a="1"/>
  <c r="O446" i="1" s="1"/>
  <c r="O447" i="1" a="1"/>
  <c r="O447" i="1" s="1"/>
  <c r="O448" i="1" a="1"/>
  <c r="O448" i="1" s="1"/>
  <c r="O449" i="1" a="1"/>
  <c r="O449" i="1" s="1"/>
  <c r="O450" i="1" a="1"/>
  <c r="O450" i="1" s="1"/>
  <c r="O451" i="1" a="1"/>
  <c r="O451" i="1" s="1"/>
  <c r="O452" i="1" a="1"/>
  <c r="O452" i="1" s="1"/>
  <c r="O453" i="1" a="1"/>
  <c r="O453" i="1" s="1"/>
  <c r="O454" i="1" a="1"/>
  <c r="O454" i="1" s="1"/>
  <c r="O455" i="1" a="1"/>
  <c r="O455" i="1" s="1"/>
  <c r="O456" i="1" a="1"/>
  <c r="O456" i="1" s="1"/>
  <c r="O457" i="1" a="1"/>
  <c r="O457" i="1" s="1"/>
  <c r="O458" i="1" a="1"/>
  <c r="O458" i="1" s="1"/>
  <c r="O459" i="1" a="1"/>
  <c r="O459" i="1" s="1"/>
  <c r="O460" i="1" a="1"/>
  <c r="O460" i="1" s="1"/>
  <c r="O461" i="1" a="1"/>
  <c r="O461" i="1" s="1"/>
  <c r="O462" i="1" a="1"/>
  <c r="O462" i="1" s="1"/>
  <c r="O463" i="1" a="1"/>
  <c r="O463" i="1" s="1"/>
  <c r="O464" i="1" a="1"/>
  <c r="O464" i="1" s="1"/>
  <c r="O465" i="1" a="1"/>
  <c r="O465" i="1" s="1"/>
  <c r="O466" i="1" a="1"/>
  <c r="O466" i="1" s="1"/>
  <c r="O467" i="1" a="1"/>
  <c r="O467" i="1" s="1"/>
  <c r="O468" i="1" a="1"/>
  <c r="O468" i="1" s="1"/>
  <c r="O469" i="1" a="1"/>
  <c r="O469" i="1" s="1"/>
  <c r="O470" i="1" a="1"/>
  <c r="O470" i="1" s="1"/>
  <c r="O471" i="1" a="1"/>
  <c r="O471" i="1" s="1"/>
  <c r="O472" i="1" a="1"/>
  <c r="O472" i="1" s="1"/>
  <c r="O473" i="1" a="1"/>
  <c r="O473" i="1" s="1"/>
  <c r="O474" i="1" a="1"/>
  <c r="O474" i="1" s="1"/>
  <c r="O475" i="1" a="1"/>
  <c r="O475" i="1" s="1"/>
  <c r="O476" i="1" a="1"/>
  <c r="O476" i="1" s="1"/>
  <c r="O477" i="1" a="1"/>
  <c r="O477" i="1" s="1"/>
  <c r="O478" i="1" a="1"/>
  <c r="O478" i="1" s="1"/>
  <c r="O479" i="1" a="1"/>
  <c r="O479" i="1" s="1"/>
  <c r="O480" i="1" a="1"/>
  <c r="O480" i="1" s="1"/>
  <c r="O481" i="1" a="1"/>
  <c r="O481" i="1" s="1"/>
  <c r="O482" i="1" a="1"/>
  <c r="O482" i="1" s="1"/>
  <c r="O483" i="1" a="1"/>
  <c r="O483" i="1" s="1"/>
  <c r="O484" i="1" a="1"/>
  <c r="O484" i="1" s="1"/>
  <c r="O485" i="1" a="1"/>
  <c r="O485" i="1" s="1"/>
  <c r="O486" i="1" a="1"/>
  <c r="O486" i="1" s="1"/>
  <c r="O487" i="1" a="1"/>
  <c r="O487" i="1" s="1"/>
  <c r="O488" i="1" a="1"/>
  <c r="O488" i="1" s="1"/>
  <c r="O489" i="1" a="1"/>
  <c r="O489" i="1" s="1"/>
  <c r="O490" i="1" a="1"/>
  <c r="O490" i="1" s="1"/>
  <c r="O491" i="1" a="1"/>
  <c r="O491" i="1" s="1"/>
  <c r="O492" i="1" a="1"/>
  <c r="O492" i="1" s="1"/>
  <c r="O493" i="1" a="1"/>
  <c r="O493" i="1" s="1"/>
  <c r="O494" i="1" a="1"/>
  <c r="O494" i="1" s="1"/>
  <c r="O495" i="1" a="1"/>
  <c r="O495" i="1" s="1"/>
  <c r="O496" i="1" a="1"/>
  <c r="O496" i="1" s="1"/>
  <c r="O497" i="1" a="1"/>
  <c r="O497" i="1" s="1"/>
  <c r="O498" i="1" a="1"/>
  <c r="O498" i="1" s="1"/>
  <c r="O499" i="1" a="1"/>
  <c r="O499" i="1" s="1"/>
  <c r="O500" i="1" a="1"/>
  <c r="O500" i="1" s="1"/>
  <c r="O501" i="1" a="1"/>
  <c r="O501" i="1" s="1"/>
  <c r="O502" i="1" a="1"/>
  <c r="O502" i="1" s="1"/>
  <c r="O503" i="1" a="1"/>
  <c r="O503" i="1" s="1"/>
  <c r="O504" i="1" a="1"/>
  <c r="O504" i="1" s="1"/>
  <c r="O505" i="1" a="1"/>
  <c r="O505" i="1" s="1"/>
  <c r="O506" i="1" a="1"/>
  <c r="O506" i="1" s="1"/>
  <c r="O507" i="1" a="1"/>
  <c r="O507" i="1" s="1"/>
  <c r="O508" i="1" a="1"/>
  <c r="O508" i="1" s="1"/>
  <c r="O509" i="1" a="1"/>
  <c r="O509" i="1" s="1"/>
  <c r="O510" i="1" a="1"/>
  <c r="O510" i="1" s="1"/>
  <c r="O511" i="1" a="1"/>
  <c r="O511" i="1" s="1"/>
  <c r="O512" i="1" a="1"/>
  <c r="O512" i="1" s="1"/>
  <c r="O513" i="1" a="1"/>
  <c r="O513" i="1" s="1"/>
  <c r="O514" i="1" a="1"/>
  <c r="O514" i="1" s="1"/>
  <c r="O515" i="1" a="1"/>
  <c r="O515" i="1" s="1"/>
  <c r="O516" i="1" a="1"/>
  <c r="O516" i="1" s="1"/>
  <c r="O517" i="1" a="1"/>
  <c r="O517" i="1" s="1"/>
  <c r="O518" i="1" a="1"/>
  <c r="O518" i="1" s="1"/>
  <c r="O519" i="1" a="1"/>
  <c r="O519" i="1" s="1"/>
  <c r="O520" i="1" a="1"/>
  <c r="O520" i="1" s="1"/>
  <c r="O521" i="1" a="1"/>
  <c r="O521" i="1" s="1"/>
  <c r="O522" i="1" a="1"/>
  <c r="O522" i="1" s="1"/>
  <c r="O523" i="1" a="1"/>
  <c r="O523" i="1" s="1"/>
  <c r="O524" i="1" a="1"/>
  <c r="O524" i="1" s="1"/>
  <c r="O525" i="1" a="1"/>
  <c r="O525" i="1" s="1"/>
  <c r="O526" i="1" a="1"/>
  <c r="O526" i="1" s="1"/>
  <c r="O527" i="1" a="1"/>
  <c r="O527" i="1" s="1"/>
  <c r="O528" i="1" a="1"/>
  <c r="O528" i="1" s="1"/>
  <c r="O529" i="1" a="1"/>
  <c r="O529" i="1" s="1"/>
  <c r="O530" i="1" a="1"/>
  <c r="O530" i="1" s="1"/>
  <c r="O531" i="1" a="1"/>
  <c r="O531" i="1" s="1"/>
  <c r="O532" i="1" a="1"/>
  <c r="O532" i="1" s="1"/>
  <c r="O533" i="1" a="1"/>
  <c r="O533" i="1" s="1"/>
  <c r="O534" i="1" a="1"/>
  <c r="O534" i="1" s="1"/>
  <c r="O535" i="1" a="1"/>
  <c r="O535" i="1" s="1"/>
  <c r="O536" i="1" a="1"/>
  <c r="O536" i="1" s="1"/>
  <c r="O537" i="1" a="1"/>
  <c r="O537" i="1" s="1"/>
  <c r="O538" i="1" a="1"/>
  <c r="O538" i="1" s="1"/>
  <c r="O539" i="1" a="1"/>
  <c r="O539" i="1" s="1"/>
  <c r="O540" i="1" a="1"/>
  <c r="O540" i="1" s="1"/>
  <c r="O541" i="1" a="1"/>
  <c r="O541" i="1" s="1"/>
  <c r="O542" i="1" a="1"/>
  <c r="O542" i="1" s="1"/>
  <c r="O543" i="1" a="1"/>
  <c r="O543" i="1" s="1"/>
  <c r="O544" i="1" a="1"/>
  <c r="O544" i="1" s="1"/>
  <c r="O545" i="1" a="1"/>
  <c r="O545" i="1" s="1"/>
  <c r="O546" i="1" a="1"/>
  <c r="O546" i="1" s="1"/>
  <c r="O547" i="1" a="1"/>
  <c r="O547" i="1" s="1"/>
  <c r="O548" i="1" a="1"/>
  <c r="O548" i="1" s="1"/>
  <c r="O549" i="1" a="1"/>
  <c r="O549" i="1" s="1"/>
  <c r="O550" i="1" a="1"/>
  <c r="O550" i="1" s="1"/>
  <c r="O551" i="1" a="1"/>
  <c r="O551" i="1" s="1"/>
  <c r="O552" i="1" a="1"/>
  <c r="O552" i="1" s="1"/>
  <c r="O553" i="1" a="1"/>
  <c r="O553" i="1" s="1"/>
  <c r="O554" i="1" a="1"/>
  <c r="O554" i="1" s="1"/>
  <c r="O555" i="1" a="1"/>
  <c r="O555" i="1" s="1"/>
  <c r="O556" i="1" a="1"/>
  <c r="O556" i="1" s="1"/>
  <c r="O557" i="1" a="1"/>
  <c r="O557" i="1" s="1"/>
  <c r="O558" i="1" a="1"/>
  <c r="O558" i="1" s="1"/>
  <c r="O559" i="1" a="1"/>
  <c r="O559" i="1" s="1"/>
  <c r="O560" i="1" a="1"/>
  <c r="O560" i="1" s="1"/>
  <c r="O561" i="1" a="1"/>
  <c r="O561" i="1" s="1"/>
  <c r="O562" i="1" a="1"/>
  <c r="O562" i="1" s="1"/>
  <c r="O563" i="1" a="1"/>
  <c r="O563" i="1" s="1"/>
  <c r="O564" i="1" a="1"/>
  <c r="O564" i="1" s="1"/>
  <c r="O565" i="1" a="1"/>
  <c r="O565" i="1" s="1"/>
  <c r="O566" i="1" a="1"/>
  <c r="O566" i="1" s="1"/>
  <c r="O567" i="1" a="1"/>
  <c r="O567" i="1" s="1"/>
  <c r="O568" i="1" a="1"/>
  <c r="O568" i="1" s="1"/>
  <c r="O569" i="1" a="1"/>
  <c r="O569" i="1" s="1"/>
  <c r="O570" i="1" a="1"/>
  <c r="O570" i="1" s="1"/>
  <c r="O571" i="1" a="1"/>
  <c r="O571" i="1" s="1"/>
  <c r="O572" i="1" a="1"/>
  <c r="O572" i="1" s="1"/>
  <c r="O573" i="1" a="1"/>
  <c r="O573" i="1" s="1"/>
  <c r="O574" i="1" a="1"/>
  <c r="O574" i="1" s="1"/>
  <c r="O575" i="1" a="1"/>
  <c r="O575" i="1" s="1"/>
  <c r="O576" i="1" a="1"/>
  <c r="O576" i="1" s="1"/>
  <c r="O577" i="1" a="1"/>
  <c r="O577" i="1" s="1"/>
  <c r="O578" i="1" a="1"/>
  <c r="O578" i="1" s="1"/>
  <c r="O579" i="1" a="1"/>
  <c r="O579" i="1" s="1"/>
  <c r="O580" i="1" a="1"/>
  <c r="O580" i="1" s="1"/>
  <c r="O581" i="1" a="1"/>
  <c r="O581" i="1" s="1"/>
  <c r="O582" i="1" a="1"/>
  <c r="O582" i="1" s="1"/>
  <c r="O583" i="1" a="1"/>
  <c r="O583" i="1" s="1"/>
  <c r="O584" i="1" a="1"/>
  <c r="O584" i="1" s="1"/>
  <c r="O585" i="1" a="1"/>
  <c r="O585" i="1" s="1"/>
  <c r="O586" i="1" a="1"/>
  <c r="O586" i="1" s="1"/>
  <c r="O587" i="1" a="1"/>
  <c r="O587" i="1" s="1"/>
  <c r="O588" i="1" a="1"/>
  <c r="O588" i="1" s="1"/>
  <c r="O589" i="1" a="1"/>
  <c r="O589" i="1" s="1"/>
  <c r="O590" i="1" a="1"/>
  <c r="O590" i="1" s="1"/>
  <c r="O591" i="1" a="1"/>
  <c r="O591" i="1" s="1"/>
  <c r="O592" i="1" a="1"/>
  <c r="O592" i="1" s="1"/>
  <c r="O593" i="1" a="1"/>
  <c r="O593" i="1" s="1"/>
  <c r="O594" i="1" a="1"/>
  <c r="O594" i="1" s="1"/>
  <c r="O595" i="1" a="1"/>
  <c r="O595" i="1" s="1"/>
  <c r="O596" i="1" a="1"/>
  <c r="O596" i="1" s="1"/>
  <c r="O597" i="1" a="1"/>
  <c r="O597" i="1" s="1"/>
  <c r="O598" i="1" a="1"/>
  <c r="O598" i="1" s="1"/>
  <c r="O599" i="1" a="1"/>
  <c r="O599" i="1" s="1"/>
  <c r="O600" i="1" a="1"/>
  <c r="O600" i="1" s="1"/>
  <c r="O601" i="1" a="1"/>
  <c r="O601" i="1" s="1"/>
  <c r="O602" i="1" a="1"/>
  <c r="O602" i="1" s="1"/>
  <c r="O603" i="1" a="1"/>
  <c r="O603" i="1" s="1"/>
  <c r="O604" i="1" a="1"/>
  <c r="O604" i="1" s="1"/>
  <c r="O605" i="1" a="1"/>
  <c r="O605" i="1" s="1"/>
  <c r="O606" i="1" a="1"/>
  <c r="O606" i="1" s="1"/>
  <c r="O607" i="1" a="1"/>
  <c r="O607" i="1" s="1"/>
  <c r="O608" i="1" a="1"/>
  <c r="O608" i="1" s="1"/>
  <c r="O609" i="1" a="1"/>
  <c r="O609" i="1" s="1"/>
  <c r="O610" i="1" a="1"/>
  <c r="O610" i="1" s="1"/>
  <c r="O611" i="1" a="1"/>
  <c r="O611" i="1" s="1"/>
  <c r="O612" i="1" a="1"/>
  <c r="O612" i="1" s="1"/>
  <c r="O613" i="1" a="1"/>
  <c r="O613" i="1" s="1"/>
  <c r="O614" i="1" a="1"/>
  <c r="O614" i="1" s="1"/>
  <c r="O615" i="1" a="1"/>
  <c r="O615" i="1" s="1"/>
  <c r="O616" i="1" a="1"/>
  <c r="O616" i="1" s="1"/>
  <c r="O617" i="1" a="1"/>
  <c r="O617" i="1" s="1"/>
  <c r="O618" i="1" a="1"/>
  <c r="O618" i="1" s="1"/>
  <c r="O619" i="1" a="1"/>
  <c r="O619" i="1" s="1"/>
  <c r="O620" i="1" a="1"/>
  <c r="O620" i="1" s="1"/>
  <c r="O621" i="1" a="1"/>
  <c r="O621" i="1" s="1"/>
  <c r="O622" i="1" a="1"/>
  <c r="O622" i="1" s="1"/>
  <c r="O623" i="1" a="1"/>
  <c r="O623" i="1" s="1"/>
  <c r="O624" i="1" a="1"/>
  <c r="O624" i="1" s="1"/>
  <c r="O625" i="1" a="1"/>
  <c r="O625" i="1" s="1"/>
  <c r="O626" i="1" a="1"/>
  <c r="O626" i="1" s="1"/>
  <c r="O627" i="1" a="1"/>
  <c r="O627" i="1" s="1"/>
  <c r="O628" i="1" a="1"/>
  <c r="O628" i="1" s="1"/>
  <c r="O629" i="1" a="1"/>
  <c r="O629" i="1" s="1"/>
  <c r="O630" i="1" a="1"/>
  <c r="O630" i="1" s="1"/>
  <c r="O631" i="1" a="1"/>
  <c r="O631" i="1" s="1"/>
  <c r="O632" i="1" a="1"/>
  <c r="O632" i="1" s="1"/>
  <c r="O633" i="1" a="1"/>
  <c r="O633" i="1" s="1"/>
  <c r="O634" i="1" a="1"/>
  <c r="O634" i="1" s="1"/>
  <c r="O635" i="1" a="1"/>
  <c r="O635" i="1" s="1"/>
  <c r="O636" i="1" a="1"/>
  <c r="O636" i="1" s="1"/>
  <c r="O637" i="1" a="1"/>
  <c r="O637" i="1" s="1"/>
  <c r="O638" i="1" a="1"/>
  <c r="O638" i="1" s="1"/>
  <c r="O639" i="1" a="1"/>
  <c r="O639" i="1" s="1"/>
  <c r="O640" i="1" a="1"/>
  <c r="O640" i="1" s="1"/>
  <c r="O641" i="1" a="1"/>
  <c r="O641" i="1" s="1"/>
  <c r="O642" i="1" a="1"/>
  <c r="O642" i="1" s="1"/>
  <c r="O643" i="1" a="1"/>
  <c r="O643" i="1" s="1"/>
  <c r="O644" i="1" a="1"/>
  <c r="O644" i="1" s="1"/>
  <c r="O645" i="1" a="1"/>
  <c r="O645" i="1" s="1"/>
  <c r="O646" i="1" a="1"/>
  <c r="O646" i="1" s="1"/>
  <c r="O647" i="1" a="1"/>
  <c r="O647" i="1" s="1"/>
  <c r="O648" i="1" a="1"/>
  <c r="O648" i="1" s="1"/>
  <c r="O649" i="1" a="1"/>
  <c r="O649" i="1" s="1"/>
  <c r="O650" i="1" a="1"/>
  <c r="O650" i="1" s="1"/>
  <c r="O651" i="1" a="1"/>
  <c r="O651" i="1" s="1"/>
  <c r="O652" i="1" a="1"/>
  <c r="O652" i="1" s="1"/>
  <c r="O653" i="1" a="1"/>
  <c r="O653" i="1" s="1"/>
  <c r="O654" i="1" a="1"/>
  <c r="O654" i="1" s="1"/>
  <c r="O655" i="1" a="1"/>
  <c r="O655" i="1" s="1"/>
  <c r="O656" i="1" a="1"/>
  <c r="O656" i="1" s="1"/>
  <c r="O657" i="1" a="1"/>
  <c r="O657" i="1" s="1"/>
  <c r="O658" i="1" a="1"/>
  <c r="O658" i="1" s="1"/>
  <c r="O659" i="1" a="1"/>
  <c r="O659" i="1" s="1"/>
  <c r="O660" i="1" a="1"/>
  <c r="O660" i="1" s="1"/>
  <c r="O661" i="1" a="1"/>
  <c r="O661" i="1" s="1"/>
  <c r="O662" i="1" a="1"/>
  <c r="O662" i="1" s="1"/>
  <c r="O663" i="1" a="1"/>
  <c r="O663" i="1" s="1"/>
  <c r="O664" i="1" a="1"/>
  <c r="O664" i="1" s="1"/>
  <c r="O665" i="1" a="1"/>
  <c r="O665" i="1" s="1"/>
  <c r="O666" i="1" a="1"/>
  <c r="O666" i="1" s="1"/>
  <c r="O667" i="1" a="1"/>
  <c r="O667" i="1" s="1"/>
  <c r="O668" i="1" a="1"/>
  <c r="O668" i="1" s="1"/>
  <c r="O669" i="1" a="1"/>
  <c r="O669" i="1" s="1"/>
  <c r="O670" i="1" a="1"/>
  <c r="O670" i="1" s="1"/>
  <c r="O671" i="1" a="1"/>
  <c r="O671" i="1" s="1"/>
  <c r="O672" i="1" a="1"/>
  <c r="O672" i="1" s="1"/>
  <c r="O673" i="1" a="1"/>
  <c r="O673" i="1" s="1"/>
  <c r="O674" i="1" a="1"/>
  <c r="O674" i="1" s="1"/>
  <c r="O675" i="1" a="1"/>
  <c r="O675" i="1" s="1"/>
  <c r="O676" i="1" a="1"/>
  <c r="O676" i="1" s="1"/>
  <c r="O677" i="1" a="1"/>
  <c r="O677" i="1" s="1"/>
  <c r="O678" i="1" a="1"/>
  <c r="O678" i="1" s="1"/>
  <c r="O679" i="1" a="1"/>
  <c r="O679" i="1" s="1"/>
  <c r="O680" i="1" a="1"/>
  <c r="O680" i="1" s="1"/>
  <c r="O681" i="1" a="1"/>
  <c r="O681" i="1" s="1"/>
  <c r="O682" i="1" a="1"/>
  <c r="O682" i="1" s="1"/>
  <c r="O683" i="1" a="1"/>
  <c r="O683" i="1" s="1"/>
  <c r="O684" i="1" a="1"/>
  <c r="O684" i="1" s="1"/>
  <c r="O685" i="1" a="1"/>
  <c r="O685" i="1" s="1"/>
  <c r="O686" i="1" a="1"/>
  <c r="O686" i="1" s="1"/>
  <c r="O687" i="1" a="1"/>
  <c r="O687" i="1" s="1"/>
  <c r="O688" i="1" a="1"/>
  <c r="O688" i="1" s="1"/>
  <c r="O689" i="1" a="1"/>
  <c r="O689" i="1" s="1"/>
  <c r="O690" i="1" a="1"/>
  <c r="O690" i="1" s="1"/>
  <c r="O691" i="1" a="1"/>
  <c r="O691" i="1" s="1"/>
  <c r="O692" i="1" a="1"/>
  <c r="O692" i="1" s="1"/>
  <c r="O693" i="1" a="1"/>
  <c r="O693" i="1" s="1"/>
  <c r="O694" i="1" a="1"/>
  <c r="O694" i="1" s="1"/>
  <c r="O695" i="1" a="1"/>
  <c r="O695" i="1" s="1"/>
  <c r="O696" i="1" a="1"/>
  <c r="O696" i="1" s="1"/>
  <c r="O697" i="1" a="1"/>
  <c r="O697" i="1" s="1"/>
  <c r="O698" i="1" a="1"/>
  <c r="O698" i="1" s="1"/>
  <c r="O699" i="1" a="1"/>
  <c r="O699" i="1" s="1"/>
  <c r="O700" i="1" a="1"/>
  <c r="O700" i="1" s="1"/>
  <c r="O701" i="1" a="1"/>
  <c r="O701" i="1" s="1"/>
  <c r="O702" i="1" a="1"/>
  <c r="O702" i="1" s="1"/>
  <c r="O703" i="1" a="1"/>
  <c r="O703" i="1" s="1"/>
  <c r="O704" i="1" a="1"/>
  <c r="O704" i="1" s="1"/>
  <c r="O705" i="1" a="1"/>
  <c r="O705" i="1" s="1"/>
  <c r="O706" i="1" a="1"/>
  <c r="O706" i="1" s="1"/>
  <c r="O707" i="1" a="1"/>
  <c r="O707" i="1" s="1"/>
  <c r="O708" i="1" a="1"/>
  <c r="O708" i="1" s="1"/>
  <c r="O709" i="1" a="1"/>
  <c r="O709" i="1" s="1"/>
  <c r="O710" i="1" a="1"/>
  <c r="O710" i="1" s="1"/>
  <c r="O711" i="1" a="1"/>
  <c r="O711" i="1" s="1"/>
  <c r="O712" i="1" a="1"/>
  <c r="O712" i="1" s="1"/>
  <c r="O713" i="1" a="1"/>
  <c r="O713" i="1" s="1"/>
  <c r="O714" i="1" a="1"/>
  <c r="O714" i="1" s="1"/>
  <c r="O715" i="1" a="1"/>
  <c r="O715" i="1" s="1"/>
  <c r="O716" i="1" a="1"/>
  <c r="O716" i="1" s="1"/>
  <c r="O717" i="1" a="1"/>
  <c r="O717" i="1" s="1"/>
  <c r="O718" i="1" a="1"/>
  <c r="O718" i="1" s="1"/>
  <c r="O719" i="1" a="1"/>
  <c r="O719" i="1" s="1"/>
  <c r="O720" i="1" a="1"/>
  <c r="O720" i="1" s="1"/>
  <c r="O721" i="1" a="1"/>
  <c r="O721" i="1" s="1"/>
  <c r="O722" i="1" a="1"/>
  <c r="O722" i="1" s="1"/>
  <c r="O723" i="1" a="1"/>
  <c r="O723" i="1" s="1"/>
  <c r="O724" i="1" a="1"/>
  <c r="O724" i="1" s="1"/>
  <c r="O725" i="1" a="1"/>
  <c r="O725" i="1" s="1"/>
  <c r="O726" i="1" a="1"/>
  <c r="O726" i="1" s="1"/>
  <c r="O727" i="1" a="1"/>
  <c r="O727" i="1" s="1"/>
  <c r="O728" i="1" a="1"/>
  <c r="O728" i="1" s="1"/>
  <c r="O729" i="1" a="1"/>
  <c r="O729" i="1" s="1"/>
  <c r="O730" i="1" a="1"/>
  <c r="O730" i="1" s="1"/>
  <c r="O731" i="1" a="1"/>
  <c r="O731" i="1" s="1"/>
  <c r="O732" i="1" a="1"/>
  <c r="O732" i="1" s="1"/>
  <c r="O733" i="1" a="1"/>
  <c r="O733" i="1" s="1"/>
  <c r="O734" i="1" a="1"/>
  <c r="O734" i="1" s="1"/>
  <c r="O735" i="1" a="1"/>
  <c r="O735" i="1" s="1"/>
  <c r="O736" i="1" a="1"/>
  <c r="O736" i="1" s="1"/>
  <c r="O737" i="1" a="1"/>
  <c r="O737" i="1" s="1"/>
  <c r="O738" i="1" a="1"/>
  <c r="O738" i="1" s="1"/>
  <c r="O739" i="1" a="1"/>
  <c r="O739" i="1" s="1"/>
  <c r="O740" i="1" a="1"/>
  <c r="O740" i="1" s="1"/>
  <c r="O741" i="1" a="1"/>
  <c r="O741" i="1" s="1"/>
  <c r="O742" i="1" a="1"/>
  <c r="O742" i="1" s="1"/>
  <c r="O743" i="1" a="1"/>
  <c r="O743" i="1" s="1"/>
  <c r="O744" i="1" a="1"/>
  <c r="O744" i="1" s="1"/>
  <c r="O745" i="1" a="1"/>
  <c r="O745" i="1" s="1"/>
  <c r="O746" i="1" a="1"/>
  <c r="O746" i="1" s="1"/>
  <c r="O747" i="1" a="1"/>
  <c r="O747" i="1" s="1"/>
  <c r="O748" i="1" a="1"/>
  <c r="O748" i="1" s="1"/>
  <c r="O749" i="1" a="1"/>
  <c r="O749" i="1" s="1"/>
  <c r="O750" i="1" a="1"/>
  <c r="O750" i="1" s="1"/>
  <c r="O751" i="1" a="1"/>
  <c r="O751" i="1" s="1"/>
  <c r="O752" i="1" a="1"/>
  <c r="O752" i="1" s="1"/>
  <c r="O753" i="1" a="1"/>
  <c r="O753" i="1" s="1"/>
  <c r="O754" i="1" a="1"/>
  <c r="O754" i="1" s="1"/>
  <c r="O755" i="1" a="1"/>
  <c r="O755" i="1" s="1"/>
  <c r="O756" i="1" a="1"/>
  <c r="O756" i="1" s="1"/>
  <c r="O757" i="1" a="1"/>
  <c r="O757" i="1" s="1"/>
  <c r="O758" i="1" a="1"/>
  <c r="O758" i="1" s="1"/>
  <c r="O759" i="1" a="1"/>
  <c r="O759" i="1" s="1"/>
  <c r="O760" i="1" a="1"/>
  <c r="O760" i="1" s="1"/>
  <c r="O761" i="1" a="1"/>
  <c r="O761" i="1" s="1"/>
  <c r="O762" i="1" a="1"/>
  <c r="O762" i="1" s="1"/>
  <c r="O763" i="1" a="1"/>
  <c r="O763" i="1" s="1"/>
  <c r="O764" i="1" a="1"/>
  <c r="O764" i="1" s="1"/>
  <c r="O765" i="1" a="1"/>
  <c r="O765" i="1" s="1"/>
  <c r="O766" i="1" a="1"/>
  <c r="O766" i="1" s="1"/>
  <c r="O767" i="1" a="1"/>
  <c r="O767" i="1" s="1"/>
  <c r="O768" i="1" a="1"/>
  <c r="O768" i="1" s="1"/>
  <c r="O769" i="1" a="1"/>
  <c r="O769" i="1" s="1"/>
  <c r="O770" i="1" a="1"/>
  <c r="O770" i="1" s="1"/>
  <c r="O771" i="1" a="1"/>
  <c r="O771" i="1" s="1"/>
  <c r="O772" i="1" a="1"/>
  <c r="O772" i="1" s="1"/>
  <c r="O773" i="1" a="1"/>
  <c r="O773" i="1" s="1"/>
  <c r="O774" i="1" a="1"/>
  <c r="O774" i="1" s="1"/>
  <c r="O775" i="1" a="1"/>
  <c r="O775" i="1" s="1"/>
  <c r="O776" i="1" a="1"/>
  <c r="O776" i="1" s="1"/>
  <c r="O777" i="1" a="1"/>
  <c r="O777" i="1" s="1"/>
  <c r="O778" i="1" a="1"/>
  <c r="O778" i="1" s="1"/>
  <c r="O779" i="1" a="1"/>
  <c r="O779" i="1" s="1"/>
  <c r="O780" i="1" a="1"/>
  <c r="O780" i="1" s="1"/>
  <c r="O781" i="1" a="1"/>
  <c r="O781" i="1" s="1"/>
  <c r="O782" i="1" a="1"/>
  <c r="O782" i="1" s="1"/>
  <c r="O783" i="1" a="1"/>
  <c r="O783" i="1" s="1"/>
  <c r="O784" i="1" a="1"/>
  <c r="O784" i="1" s="1"/>
  <c r="O785" i="1" a="1"/>
  <c r="O785" i="1" s="1"/>
  <c r="O786" i="1" a="1"/>
  <c r="O786" i="1" s="1"/>
  <c r="O787" i="1" a="1"/>
  <c r="O787" i="1" s="1"/>
  <c r="O788" i="1" a="1"/>
  <c r="O788" i="1" s="1"/>
  <c r="O789" i="1" a="1"/>
  <c r="O789" i="1" s="1"/>
  <c r="O790" i="1" a="1"/>
  <c r="O790" i="1" s="1"/>
  <c r="O791" i="1" a="1"/>
  <c r="O791" i="1" s="1"/>
  <c r="O792" i="1" a="1"/>
  <c r="O792" i="1" s="1"/>
  <c r="O793" i="1" a="1"/>
  <c r="O793" i="1" s="1"/>
  <c r="O794" i="1" a="1"/>
  <c r="O794" i="1" s="1"/>
  <c r="O795" i="1" a="1"/>
  <c r="O795" i="1" s="1"/>
  <c r="O796" i="1" a="1"/>
  <c r="O796" i="1" s="1"/>
  <c r="O797" i="1" a="1"/>
  <c r="O797" i="1" s="1"/>
  <c r="O798" i="1" a="1"/>
  <c r="O798" i="1" s="1"/>
  <c r="O799" i="1" a="1"/>
  <c r="O799" i="1" s="1"/>
  <c r="O800" i="1" a="1"/>
  <c r="O800" i="1" s="1"/>
  <c r="O801" i="1" a="1"/>
  <c r="O801" i="1" s="1"/>
  <c r="O802" i="1" a="1"/>
  <c r="O802" i="1" s="1"/>
  <c r="O803" i="1" a="1"/>
  <c r="O803" i="1" s="1"/>
  <c r="O804" i="1" a="1"/>
  <c r="O804" i="1" s="1"/>
  <c r="O805" i="1" a="1"/>
  <c r="O805" i="1" s="1"/>
  <c r="O806" i="1" a="1"/>
  <c r="O806" i="1" s="1"/>
  <c r="O807" i="1" a="1"/>
  <c r="O807" i="1" s="1"/>
  <c r="O808" i="1" a="1"/>
  <c r="O808" i="1" s="1"/>
  <c r="O809" i="1" a="1"/>
  <c r="O809" i="1" s="1"/>
  <c r="O810" i="1" a="1"/>
  <c r="O810" i="1" s="1"/>
  <c r="O811" i="1" a="1"/>
  <c r="O811" i="1" s="1"/>
  <c r="O812" i="1" a="1"/>
  <c r="O812" i="1" s="1"/>
  <c r="O813" i="1" a="1"/>
  <c r="O813" i="1" s="1"/>
  <c r="O814" i="1" a="1"/>
  <c r="O814" i="1" s="1"/>
  <c r="O815" i="1" a="1"/>
  <c r="O815" i="1" s="1"/>
  <c r="O816" i="1" a="1"/>
  <c r="O816" i="1" s="1"/>
  <c r="O817" i="1" a="1"/>
  <c r="O817" i="1" s="1"/>
  <c r="O818" i="1" a="1"/>
  <c r="O818" i="1" s="1"/>
  <c r="O819" i="1" a="1"/>
  <c r="O819" i="1" s="1"/>
  <c r="O820" i="1" a="1"/>
  <c r="O820" i="1" s="1"/>
  <c r="O821" i="1" a="1"/>
  <c r="O821" i="1" s="1"/>
  <c r="O822" i="1" a="1"/>
  <c r="O822" i="1" s="1"/>
  <c r="O823" i="1" a="1"/>
  <c r="O823" i="1" s="1"/>
  <c r="O824" i="1" a="1"/>
  <c r="O824" i="1" s="1"/>
  <c r="O825" i="1" a="1"/>
  <c r="O825" i="1" s="1"/>
  <c r="O826" i="1" a="1"/>
  <c r="O826" i="1" s="1"/>
  <c r="O827" i="1" a="1"/>
  <c r="O827" i="1" s="1"/>
  <c r="O828" i="1" a="1"/>
  <c r="O828" i="1" s="1"/>
  <c r="O829" i="1" a="1"/>
  <c r="O829" i="1" s="1"/>
  <c r="O830" i="1" a="1"/>
  <c r="O830" i="1" s="1"/>
  <c r="O831" i="1" a="1"/>
  <c r="O831" i="1" s="1"/>
  <c r="O832" i="1" a="1"/>
  <c r="O832" i="1" s="1"/>
  <c r="O833" i="1" a="1"/>
  <c r="O833" i="1" s="1"/>
  <c r="O834" i="1" a="1"/>
  <c r="O834" i="1" s="1"/>
  <c r="O835" i="1" a="1"/>
  <c r="O835" i="1" s="1"/>
  <c r="O836" i="1" a="1"/>
  <c r="O836" i="1" s="1"/>
  <c r="O837" i="1" a="1"/>
  <c r="O837" i="1" s="1"/>
  <c r="O838" i="1" a="1"/>
  <c r="O838" i="1" s="1"/>
  <c r="O839" i="1" a="1"/>
  <c r="O839" i="1" s="1"/>
  <c r="O840" i="1" a="1"/>
  <c r="O840" i="1" s="1"/>
  <c r="O841" i="1" a="1"/>
  <c r="O841" i="1" s="1"/>
  <c r="O842" i="1" a="1"/>
  <c r="O842" i="1" s="1"/>
  <c r="O843" i="1" a="1"/>
  <c r="O843" i="1" s="1"/>
  <c r="O844" i="1" a="1"/>
  <c r="O844" i="1" s="1"/>
  <c r="O845" i="1" a="1"/>
  <c r="O845" i="1" s="1"/>
  <c r="O846" i="1" a="1"/>
  <c r="O846" i="1" s="1"/>
  <c r="O847" i="1" a="1"/>
  <c r="O847" i="1" s="1"/>
  <c r="O848" i="1" a="1"/>
  <c r="O848" i="1" s="1"/>
  <c r="O849" i="1" a="1"/>
  <c r="O849" i="1" s="1"/>
  <c r="O850" i="1" a="1"/>
  <c r="O850" i="1" s="1"/>
  <c r="O851" i="1" a="1"/>
  <c r="O851" i="1" s="1"/>
  <c r="O852" i="1" a="1"/>
  <c r="O852" i="1" s="1"/>
  <c r="O853" i="1" a="1"/>
  <c r="O853" i="1" s="1"/>
  <c r="O854" i="1" a="1"/>
  <c r="O854" i="1" s="1"/>
  <c r="O855" i="1" a="1"/>
  <c r="O855" i="1" s="1"/>
  <c r="O856" i="1" a="1"/>
  <c r="O856" i="1" s="1"/>
  <c r="O857" i="1" a="1"/>
  <c r="O857" i="1" s="1"/>
  <c r="O858" i="1" a="1"/>
  <c r="O858" i="1" s="1"/>
  <c r="O859" i="1" a="1"/>
  <c r="O859" i="1" s="1"/>
  <c r="O860" i="1" a="1"/>
  <c r="O860" i="1" s="1"/>
  <c r="O861" i="1" a="1"/>
  <c r="O861" i="1" s="1"/>
  <c r="O862" i="1" a="1"/>
  <c r="O862" i="1" s="1"/>
  <c r="O863" i="1" a="1"/>
  <c r="O863" i="1" s="1"/>
  <c r="O864" i="1" a="1"/>
  <c r="O864" i="1" s="1"/>
  <c r="O865" i="1" a="1"/>
  <c r="O865" i="1" s="1"/>
  <c r="O866" i="1" a="1"/>
  <c r="O866" i="1" s="1"/>
  <c r="O867" i="1" a="1"/>
  <c r="O867" i="1" s="1"/>
  <c r="O868" i="1" a="1"/>
  <c r="O868" i="1" s="1"/>
  <c r="O869" i="1" a="1"/>
  <c r="O869" i="1" s="1"/>
  <c r="O870" i="1" a="1"/>
  <c r="O870" i="1" s="1"/>
  <c r="O871" i="1" a="1"/>
  <c r="O871" i="1" s="1"/>
  <c r="O872" i="1" a="1"/>
  <c r="O872" i="1" s="1"/>
  <c r="O873" i="1" a="1"/>
  <c r="O873" i="1" s="1"/>
  <c r="O874" i="1" a="1"/>
  <c r="O874" i="1" s="1"/>
  <c r="O875" i="1" a="1"/>
  <c r="O875" i="1" s="1"/>
  <c r="O876" i="1" a="1"/>
  <c r="O876" i="1" s="1"/>
  <c r="O877" i="1" a="1"/>
  <c r="O877" i="1" s="1"/>
  <c r="O878" i="1" a="1"/>
  <c r="O878" i="1" s="1"/>
  <c r="O879" i="1" a="1"/>
  <c r="O879" i="1" s="1"/>
  <c r="O880" i="1" a="1"/>
  <c r="O880" i="1" s="1"/>
  <c r="O881" i="1" a="1"/>
  <c r="O881" i="1" s="1"/>
  <c r="O882" i="1" a="1"/>
  <c r="O882" i="1" s="1"/>
  <c r="O883" i="1" a="1"/>
  <c r="O883" i="1" s="1"/>
  <c r="O884" i="1" a="1"/>
  <c r="O884" i="1" s="1"/>
  <c r="O885" i="1" a="1"/>
  <c r="O885" i="1" s="1"/>
  <c r="O886" i="1" a="1"/>
  <c r="O886" i="1" s="1"/>
  <c r="O887" i="1" a="1"/>
  <c r="O887" i="1" s="1"/>
  <c r="O888" i="1" a="1"/>
  <c r="O888" i="1" s="1"/>
  <c r="O889" i="1" a="1"/>
  <c r="O889" i="1" s="1"/>
  <c r="O890" i="1" a="1"/>
  <c r="O890" i="1" s="1"/>
  <c r="O891" i="1" a="1"/>
  <c r="O891" i="1" s="1"/>
  <c r="O892" i="1" a="1"/>
  <c r="O892" i="1" s="1"/>
  <c r="O893" i="1" a="1"/>
  <c r="O893" i="1" s="1"/>
  <c r="O894" i="1" a="1"/>
  <c r="O894" i="1" s="1"/>
  <c r="O895" i="1" a="1"/>
  <c r="O895" i="1" s="1"/>
  <c r="O896" i="1" a="1"/>
  <c r="O896" i="1" s="1"/>
  <c r="O897" i="1" a="1"/>
  <c r="O897" i="1" s="1"/>
  <c r="O898" i="1" a="1"/>
  <c r="O898" i="1" s="1"/>
  <c r="O899" i="1" a="1"/>
  <c r="O899" i="1" s="1"/>
  <c r="O900" i="1" a="1"/>
  <c r="O900" i="1" s="1"/>
  <c r="O901" i="1" a="1"/>
  <c r="O901" i="1" s="1"/>
  <c r="O902" i="1" a="1"/>
  <c r="O902" i="1" s="1"/>
  <c r="O903" i="1" a="1"/>
  <c r="O903" i="1" s="1"/>
  <c r="O904" i="1" a="1"/>
  <c r="O904" i="1" s="1"/>
  <c r="O905" i="1" a="1"/>
  <c r="O905" i="1" s="1"/>
  <c r="O906" i="1" a="1"/>
  <c r="O906" i="1" s="1"/>
  <c r="O907" i="1" a="1"/>
  <c r="O907" i="1" s="1"/>
  <c r="O908" i="1" a="1"/>
  <c r="O908" i="1" s="1"/>
  <c r="O909" i="1" a="1"/>
  <c r="O909" i="1" s="1"/>
  <c r="O910" i="1" a="1"/>
  <c r="O910" i="1" s="1"/>
  <c r="O911" i="1" a="1"/>
  <c r="O911" i="1" s="1"/>
  <c r="O912" i="1" a="1"/>
  <c r="O912" i="1" s="1"/>
  <c r="F8" i="6"/>
  <c r="F7" i="6"/>
  <c r="F6" i="6"/>
  <c r="F5" i="6"/>
  <c r="F4" i="6"/>
  <c r="F15" i="6"/>
  <c r="F14" i="6"/>
  <c r="F13" i="6"/>
  <c r="F12" i="6"/>
  <c r="F11" i="6"/>
  <c r="E11" i="6" a="1"/>
  <c r="E11" i="6" s="1"/>
  <c r="J7" i="6" a="1"/>
  <c r="J10" i="6" s="1"/>
  <c r="E4" i="6" a="1"/>
  <c r="E5" i="6" s="1"/>
  <c r="O913" i="1" a="1"/>
  <c r="O913" i="1" s="1"/>
  <c r="N913" i="1" a="1"/>
  <c r="N913" i="1" s="1"/>
  <c r="J48" i="6" l="1"/>
  <c r="J42" i="6"/>
  <c r="O42" i="6" s="1"/>
  <c r="J40" i="6"/>
  <c r="N40" i="6" s="1"/>
  <c r="J46" i="6"/>
  <c r="J17" i="6"/>
  <c r="P17" i="6" s="1"/>
  <c r="S10" i="6"/>
  <c r="L10" i="6"/>
  <c r="P10" i="6"/>
  <c r="E4" i="6"/>
  <c r="J62" i="6"/>
  <c r="J57" i="6"/>
  <c r="Q57" i="6" s="1"/>
  <c r="J55" i="6"/>
  <c r="J51" i="6"/>
  <c r="J49" i="6"/>
  <c r="O49" i="6" s="1"/>
  <c r="O48" i="6"/>
  <c r="T46" i="6"/>
  <c r="N46" i="6"/>
  <c r="S42" i="6"/>
  <c r="S40" i="6"/>
  <c r="J30" i="6"/>
  <c r="N30" i="6" s="1"/>
  <c r="J28" i="6"/>
  <c r="P28" i="6" s="1"/>
  <c r="J20" i="6"/>
  <c r="Q20" i="6" s="1"/>
  <c r="J13" i="6"/>
  <c r="N13" i="6" s="1"/>
  <c r="E7" i="6"/>
  <c r="J64" i="6"/>
  <c r="J61" i="6"/>
  <c r="O61" i="6" s="1"/>
  <c r="J60" i="6"/>
  <c r="Q60" i="6" s="1"/>
  <c r="J58" i="6"/>
  <c r="S48" i="6"/>
  <c r="S46" i="6"/>
  <c r="J39" i="6"/>
  <c r="J37" i="6"/>
  <c r="L37" i="6" s="1"/>
  <c r="J33" i="6"/>
  <c r="N33" i="6" s="1"/>
  <c r="J31" i="6"/>
  <c r="J29" i="6"/>
  <c r="O29" i="6" s="1"/>
  <c r="J26" i="6"/>
  <c r="O26" i="6" s="1"/>
  <c r="K51" i="6"/>
  <c r="N51" i="6"/>
  <c r="Q51" i="6"/>
  <c r="T51" i="6"/>
  <c r="L49" i="6"/>
  <c r="K42" i="6"/>
  <c r="N42" i="6"/>
  <c r="Q42" i="6"/>
  <c r="T42" i="6"/>
  <c r="L40" i="6"/>
  <c r="O40" i="6"/>
  <c r="R40" i="6"/>
  <c r="L20" i="6"/>
  <c r="O20" i="6"/>
  <c r="R20" i="6"/>
  <c r="K20" i="6"/>
  <c r="P20" i="6"/>
  <c r="T20" i="6"/>
  <c r="L17" i="6"/>
  <c r="O17" i="6"/>
  <c r="R17" i="6"/>
  <c r="M17" i="6"/>
  <c r="Q17" i="6"/>
  <c r="E6" i="6"/>
  <c r="Q58" i="6"/>
  <c r="N57" i="6"/>
  <c r="L55" i="6"/>
  <c r="O55" i="6"/>
  <c r="R55" i="6"/>
  <c r="R51" i="6"/>
  <c r="M51" i="6"/>
  <c r="M49" i="6"/>
  <c r="K48" i="6"/>
  <c r="N48" i="6"/>
  <c r="Q48" i="6"/>
  <c r="T48" i="6"/>
  <c r="L46" i="6"/>
  <c r="O46" i="6"/>
  <c r="R46" i="6"/>
  <c r="R42" i="6"/>
  <c r="M42" i="6"/>
  <c r="Q40" i="6"/>
  <c r="M40" i="6"/>
  <c r="K39" i="6"/>
  <c r="N39" i="6"/>
  <c r="Q39" i="6"/>
  <c r="T39" i="6"/>
  <c r="Q31" i="6"/>
  <c r="O28" i="6"/>
  <c r="E12" i="6"/>
  <c r="E15" i="6"/>
  <c r="E13" i="6"/>
  <c r="L58" i="6"/>
  <c r="O58" i="6"/>
  <c r="R58" i="6"/>
  <c r="K33" i="6"/>
  <c r="T33" i="6"/>
  <c r="L31" i="6"/>
  <c r="O31" i="6"/>
  <c r="R31" i="6"/>
  <c r="R64" i="6"/>
  <c r="O64" i="6"/>
  <c r="L64" i="6"/>
  <c r="K30" i="6"/>
  <c r="Q30" i="6"/>
  <c r="T30" i="6"/>
  <c r="L26" i="6"/>
  <c r="R26" i="6"/>
  <c r="M26" i="6"/>
  <c r="N20" i="6"/>
  <c r="T17" i="6"/>
  <c r="N17" i="6"/>
  <c r="K13" i="6"/>
  <c r="Q13" i="6"/>
  <c r="T13" i="6"/>
  <c r="P13" i="6"/>
  <c r="K10" i="6"/>
  <c r="N10" i="6"/>
  <c r="Q10" i="6"/>
  <c r="T10" i="6"/>
  <c r="M10" i="6"/>
  <c r="R10" i="6"/>
  <c r="J9" i="6"/>
  <c r="J12" i="6"/>
  <c r="J15" i="6"/>
  <c r="J18" i="6"/>
  <c r="J21" i="6"/>
  <c r="J24" i="6"/>
  <c r="J27" i="6"/>
  <c r="J7" i="6"/>
  <c r="J14" i="6"/>
  <c r="J16" i="6"/>
  <c r="J23" i="6"/>
  <c r="J25" i="6"/>
  <c r="J32" i="6"/>
  <c r="J35" i="6"/>
  <c r="J38" i="6"/>
  <c r="J41" i="6"/>
  <c r="J44" i="6"/>
  <c r="J47" i="6"/>
  <c r="J50" i="6"/>
  <c r="J53" i="6"/>
  <c r="J56" i="6"/>
  <c r="J59" i="6"/>
  <c r="E8" i="6"/>
  <c r="T64" i="6"/>
  <c r="Q64" i="6"/>
  <c r="N64" i="6"/>
  <c r="J63" i="6"/>
  <c r="R62" i="6"/>
  <c r="O62" i="6"/>
  <c r="T61" i="6"/>
  <c r="Q61" i="6"/>
  <c r="N61" i="6"/>
  <c r="S60" i="6"/>
  <c r="P60" i="6"/>
  <c r="L60" i="6"/>
  <c r="T58" i="6"/>
  <c r="P58" i="6"/>
  <c r="K58" i="6"/>
  <c r="R57" i="6"/>
  <c r="M57" i="6"/>
  <c r="Q55" i="6"/>
  <c r="M55" i="6"/>
  <c r="J54" i="6"/>
  <c r="J52" i="6"/>
  <c r="P51" i="6"/>
  <c r="L51" i="6"/>
  <c r="T49" i="6"/>
  <c r="P49" i="6"/>
  <c r="K49" i="6"/>
  <c r="R48" i="6"/>
  <c r="M48" i="6"/>
  <c r="Q46" i="6"/>
  <c r="M46" i="6"/>
  <c r="J45" i="6"/>
  <c r="J43" i="6"/>
  <c r="P42" i="6"/>
  <c r="L42" i="6"/>
  <c r="T40" i="6"/>
  <c r="P40" i="6"/>
  <c r="K40" i="6"/>
  <c r="R39" i="6"/>
  <c r="M39" i="6"/>
  <c r="Q37" i="6"/>
  <c r="M37" i="6"/>
  <c r="J36" i="6"/>
  <c r="J34" i="6"/>
  <c r="P33" i="6"/>
  <c r="L33" i="6"/>
  <c r="T31" i="6"/>
  <c r="P31" i="6"/>
  <c r="K31" i="6"/>
  <c r="R30" i="6"/>
  <c r="M30" i="6"/>
  <c r="T29" i="6"/>
  <c r="N29" i="6"/>
  <c r="S28" i="6"/>
  <c r="L28" i="6"/>
  <c r="T26" i="6"/>
  <c r="N26" i="6"/>
  <c r="J22" i="6"/>
  <c r="S20" i="6"/>
  <c r="M20" i="6"/>
  <c r="J19" i="6"/>
  <c r="S17" i="6"/>
  <c r="K17" i="6"/>
  <c r="O13" i="6"/>
  <c r="J11" i="6"/>
  <c r="O10" i="6"/>
  <c r="J8" i="6"/>
  <c r="E14" i="6"/>
  <c r="L29" i="6" l="1"/>
  <c r="P29" i="6"/>
  <c r="R37" i="6"/>
  <c r="R61" i="6"/>
  <c r="K46" i="6"/>
  <c r="P46" i="6"/>
  <c r="L48" i="6"/>
  <c r="P48" i="6"/>
  <c r="Q26" i="6"/>
  <c r="Q33" i="6"/>
  <c r="N60" i="6"/>
  <c r="R33" i="6"/>
  <c r="T28" i="6"/>
  <c r="K60" i="6"/>
  <c r="T60" i="6"/>
  <c r="K28" i="6"/>
  <c r="K29" i="6"/>
  <c r="O37" i="6"/>
  <c r="Q49" i="6"/>
  <c r="T57" i="6"/>
  <c r="K57" i="6"/>
  <c r="L61" i="6"/>
  <c r="R49" i="6"/>
  <c r="L13" i="6"/>
  <c r="S29" i="6"/>
  <c r="R28" i="6"/>
  <c r="Q28" i="6"/>
  <c r="R29" i="6"/>
  <c r="M29" i="6"/>
  <c r="Q29" i="6"/>
  <c r="P37" i="6"/>
  <c r="K37" i="6"/>
  <c r="S37" i="6"/>
  <c r="T37" i="6"/>
  <c r="N37" i="6"/>
  <c r="K61" i="6"/>
  <c r="S61" i="6"/>
  <c r="M61" i="6"/>
  <c r="P61" i="6"/>
  <c r="R13" i="6"/>
  <c r="S13" i="6"/>
  <c r="M13" i="6"/>
  <c r="O30" i="6"/>
  <c r="P30" i="6"/>
  <c r="S30" i="6"/>
  <c r="L30" i="6"/>
  <c r="S49" i="6"/>
  <c r="N49" i="6"/>
  <c r="O57" i="6"/>
  <c r="P57" i="6"/>
  <c r="L57" i="6"/>
  <c r="S57" i="6"/>
  <c r="M28" i="6"/>
  <c r="N28" i="6"/>
  <c r="M31" i="6"/>
  <c r="N31" i="6"/>
  <c r="S31" i="6"/>
  <c r="P39" i="6"/>
  <c r="L39" i="6"/>
  <c r="S39" i="6"/>
  <c r="O39" i="6"/>
  <c r="M58" i="6"/>
  <c r="N58" i="6"/>
  <c r="S58" i="6"/>
  <c r="K64" i="6"/>
  <c r="S64" i="6"/>
  <c r="M64" i="6"/>
  <c r="P64" i="6"/>
  <c r="S51" i="6"/>
  <c r="O51" i="6"/>
  <c r="L62" i="6"/>
  <c r="M62" i="6"/>
  <c r="Q62" i="6"/>
  <c r="N62" i="6"/>
  <c r="S62" i="6"/>
  <c r="K62" i="6"/>
  <c r="P62" i="6"/>
  <c r="T62" i="6"/>
  <c r="S26" i="6"/>
  <c r="K26" i="6"/>
  <c r="P26" i="6"/>
  <c r="M33" i="6"/>
  <c r="O33" i="6"/>
  <c r="S33" i="6"/>
  <c r="M60" i="6"/>
  <c r="O60" i="6"/>
  <c r="R60" i="6"/>
  <c r="N55" i="6"/>
  <c r="T55" i="6"/>
  <c r="P55" i="6"/>
  <c r="K55" i="6"/>
  <c r="S55" i="6"/>
  <c r="M63" i="6"/>
  <c r="P63" i="6"/>
  <c r="S63" i="6"/>
  <c r="K63" i="6"/>
  <c r="N63" i="6"/>
  <c r="Q63" i="6"/>
  <c r="T63" i="6"/>
  <c r="L63" i="6"/>
  <c r="O63" i="6"/>
  <c r="R63" i="6"/>
  <c r="M56" i="6"/>
  <c r="P56" i="6"/>
  <c r="S56" i="6"/>
  <c r="K56" i="6"/>
  <c r="O56" i="6"/>
  <c r="T56" i="6"/>
  <c r="L56" i="6"/>
  <c r="Q56" i="6"/>
  <c r="R56" i="6"/>
  <c r="N56" i="6"/>
  <c r="M47" i="6"/>
  <c r="P47" i="6"/>
  <c r="S47" i="6"/>
  <c r="K47" i="6"/>
  <c r="O47" i="6"/>
  <c r="T47" i="6"/>
  <c r="N47" i="6"/>
  <c r="R47" i="6"/>
  <c r="L47" i="6"/>
  <c r="Q47" i="6"/>
  <c r="M38" i="6"/>
  <c r="P38" i="6"/>
  <c r="S38" i="6"/>
  <c r="K38" i="6"/>
  <c r="O38" i="6"/>
  <c r="T38" i="6"/>
  <c r="N38" i="6"/>
  <c r="R38" i="6"/>
  <c r="L38" i="6"/>
  <c r="Q38" i="6"/>
  <c r="K25" i="6"/>
  <c r="N25" i="6"/>
  <c r="Q25" i="6"/>
  <c r="T25" i="6"/>
  <c r="O25" i="6"/>
  <c r="S25" i="6"/>
  <c r="L25" i="6"/>
  <c r="R25" i="6"/>
  <c r="M25" i="6"/>
  <c r="P25" i="6"/>
  <c r="L14" i="6"/>
  <c r="O14" i="6"/>
  <c r="R14" i="6"/>
  <c r="N14" i="6"/>
  <c r="S14" i="6"/>
  <c r="K14" i="6"/>
  <c r="Q14" i="6"/>
  <c r="T14" i="6"/>
  <c r="M14" i="6"/>
  <c r="P14" i="6"/>
  <c r="M24" i="6"/>
  <c r="P24" i="6"/>
  <c r="S24" i="6"/>
  <c r="L24" i="6"/>
  <c r="Q24" i="6"/>
  <c r="O24" i="6"/>
  <c r="K24" i="6"/>
  <c r="R24" i="6"/>
  <c r="N24" i="6"/>
  <c r="T24" i="6"/>
  <c r="M15" i="6"/>
  <c r="P15" i="6"/>
  <c r="S15" i="6"/>
  <c r="L15" i="6"/>
  <c r="Q15" i="6"/>
  <c r="N15" i="6"/>
  <c r="T15" i="6"/>
  <c r="O15" i="6"/>
  <c r="K15" i="6"/>
  <c r="R15" i="6"/>
  <c r="L8" i="6"/>
  <c r="O8" i="6"/>
  <c r="R8" i="6"/>
  <c r="M8" i="6"/>
  <c r="Q8" i="6"/>
  <c r="P8" i="6"/>
  <c r="K8" i="6"/>
  <c r="S8" i="6"/>
  <c r="N8" i="6"/>
  <c r="T8" i="6"/>
  <c r="K19" i="6"/>
  <c r="N19" i="6"/>
  <c r="Q19" i="6"/>
  <c r="T19" i="6"/>
  <c r="M19" i="6"/>
  <c r="R19" i="6"/>
  <c r="P19" i="6"/>
  <c r="L19" i="6"/>
  <c r="S19" i="6"/>
  <c r="O19" i="6"/>
  <c r="K22" i="6"/>
  <c r="N22" i="6"/>
  <c r="Q22" i="6"/>
  <c r="T22" i="6"/>
  <c r="L22" i="6"/>
  <c r="P22" i="6"/>
  <c r="R22" i="6"/>
  <c r="M22" i="6"/>
  <c r="S22" i="6"/>
  <c r="O22" i="6"/>
  <c r="K36" i="6"/>
  <c r="N36" i="6"/>
  <c r="Q36" i="6"/>
  <c r="T36" i="6"/>
  <c r="O36" i="6"/>
  <c r="S36" i="6"/>
  <c r="M36" i="6"/>
  <c r="R36" i="6"/>
  <c r="L36" i="6"/>
  <c r="P36" i="6"/>
  <c r="L52" i="6"/>
  <c r="O52" i="6"/>
  <c r="R52" i="6"/>
  <c r="N52" i="6"/>
  <c r="S52" i="6"/>
  <c r="K52" i="6"/>
  <c r="P52" i="6"/>
  <c r="T52" i="6"/>
  <c r="M52" i="6"/>
  <c r="Q52" i="6"/>
  <c r="M53" i="6"/>
  <c r="P53" i="6"/>
  <c r="S53" i="6"/>
  <c r="L53" i="6"/>
  <c r="Q53" i="6"/>
  <c r="N53" i="6"/>
  <c r="R53" i="6"/>
  <c r="K53" i="6"/>
  <c r="O53" i="6"/>
  <c r="T53" i="6"/>
  <c r="M44" i="6"/>
  <c r="P44" i="6"/>
  <c r="S44" i="6"/>
  <c r="L44" i="6"/>
  <c r="Q44" i="6"/>
  <c r="K44" i="6"/>
  <c r="O44" i="6"/>
  <c r="T44" i="6"/>
  <c r="N44" i="6"/>
  <c r="R44" i="6"/>
  <c r="M35" i="6"/>
  <c r="P35" i="6"/>
  <c r="S35" i="6"/>
  <c r="L35" i="6"/>
  <c r="Q35" i="6"/>
  <c r="K35" i="6"/>
  <c r="O35" i="6"/>
  <c r="T35" i="6"/>
  <c r="N35" i="6"/>
  <c r="R35" i="6"/>
  <c r="L23" i="6"/>
  <c r="O23" i="6"/>
  <c r="R23" i="6"/>
  <c r="N23" i="6"/>
  <c r="S23" i="6"/>
  <c r="M23" i="6"/>
  <c r="T23" i="6"/>
  <c r="P23" i="6"/>
  <c r="K23" i="6"/>
  <c r="Q23" i="6"/>
  <c r="K7" i="6"/>
  <c r="N7" i="6"/>
  <c r="Q7" i="6"/>
  <c r="T7" i="6"/>
  <c r="O7" i="6"/>
  <c r="S7" i="6"/>
  <c r="M7" i="6"/>
  <c r="P7" i="6"/>
  <c r="L7" i="6"/>
  <c r="R7" i="6"/>
  <c r="M21" i="6"/>
  <c r="P21" i="6"/>
  <c r="S21" i="6"/>
  <c r="N21" i="6"/>
  <c r="R21" i="6"/>
  <c r="O21" i="6"/>
  <c r="K21" i="6"/>
  <c r="Q21" i="6"/>
  <c r="L21" i="6"/>
  <c r="T21" i="6"/>
  <c r="M12" i="6"/>
  <c r="P12" i="6"/>
  <c r="S12" i="6"/>
  <c r="N12" i="6"/>
  <c r="R12" i="6"/>
  <c r="L12" i="6"/>
  <c r="T12" i="6"/>
  <c r="O12" i="6"/>
  <c r="K12" i="6"/>
  <c r="Q12" i="6"/>
  <c r="L11" i="6"/>
  <c r="O11" i="6"/>
  <c r="R11" i="6"/>
  <c r="K11" i="6"/>
  <c r="P11" i="6"/>
  <c r="T11" i="6"/>
  <c r="Q11" i="6"/>
  <c r="M11" i="6"/>
  <c r="S11" i="6"/>
  <c r="N11" i="6"/>
  <c r="L34" i="6"/>
  <c r="O34" i="6"/>
  <c r="R34" i="6"/>
  <c r="N34" i="6"/>
  <c r="S34" i="6"/>
  <c r="M34" i="6"/>
  <c r="Q34" i="6"/>
  <c r="K34" i="6"/>
  <c r="P34" i="6"/>
  <c r="T34" i="6"/>
  <c r="K45" i="6"/>
  <c r="N45" i="6"/>
  <c r="Q45" i="6"/>
  <c r="T45" i="6"/>
  <c r="O45" i="6"/>
  <c r="S45" i="6"/>
  <c r="M45" i="6"/>
  <c r="R45" i="6"/>
  <c r="L45" i="6"/>
  <c r="P45" i="6"/>
  <c r="L43" i="6"/>
  <c r="O43" i="6"/>
  <c r="R43" i="6"/>
  <c r="N43" i="6"/>
  <c r="S43" i="6"/>
  <c r="M43" i="6"/>
  <c r="Q43" i="6"/>
  <c r="K43" i="6"/>
  <c r="P43" i="6"/>
  <c r="T43" i="6"/>
  <c r="K54" i="6"/>
  <c r="N54" i="6"/>
  <c r="Q54" i="6"/>
  <c r="T54" i="6"/>
  <c r="O54" i="6"/>
  <c r="S54" i="6"/>
  <c r="L54" i="6"/>
  <c r="P54" i="6"/>
  <c r="R54" i="6"/>
  <c r="M54" i="6"/>
  <c r="M59" i="6"/>
  <c r="P59" i="6"/>
  <c r="S59" i="6"/>
  <c r="N59" i="6"/>
  <c r="R59" i="6"/>
  <c r="K59" i="6"/>
  <c r="O59" i="6"/>
  <c r="T59" i="6"/>
  <c r="L59" i="6"/>
  <c r="Q59" i="6"/>
  <c r="M50" i="6"/>
  <c r="P50" i="6"/>
  <c r="S50" i="6"/>
  <c r="N50" i="6"/>
  <c r="R50" i="6"/>
  <c r="K50" i="6"/>
  <c r="O50" i="6"/>
  <c r="T50" i="6"/>
  <c r="L50" i="6"/>
  <c r="Q50" i="6"/>
  <c r="M41" i="6"/>
  <c r="P41" i="6"/>
  <c r="S41" i="6"/>
  <c r="N41" i="6"/>
  <c r="R41" i="6"/>
  <c r="K41" i="6"/>
  <c r="O41" i="6"/>
  <c r="T41" i="6"/>
  <c r="Q41" i="6"/>
  <c r="L41" i="6"/>
  <c r="M32" i="6"/>
  <c r="P32" i="6"/>
  <c r="S32" i="6"/>
  <c r="N32" i="6"/>
  <c r="R32" i="6"/>
  <c r="L32" i="6"/>
  <c r="Q32" i="6"/>
  <c r="K32" i="6"/>
  <c r="O32" i="6"/>
  <c r="T32" i="6"/>
  <c r="K16" i="6"/>
  <c r="N16" i="6"/>
  <c r="Q16" i="6"/>
  <c r="T16" i="6"/>
  <c r="O16" i="6"/>
  <c r="S16" i="6"/>
  <c r="P16" i="6"/>
  <c r="L16" i="6"/>
  <c r="R16" i="6"/>
  <c r="M16" i="6"/>
  <c r="M27" i="6"/>
  <c r="P27" i="6"/>
  <c r="S27" i="6"/>
  <c r="K27" i="6"/>
  <c r="O27" i="6"/>
  <c r="T27" i="6"/>
  <c r="Q27" i="6"/>
  <c r="L27" i="6"/>
  <c r="R27" i="6"/>
  <c r="N27" i="6"/>
  <c r="M18" i="6"/>
  <c r="P18" i="6"/>
  <c r="S18" i="6"/>
  <c r="K18" i="6"/>
  <c r="O18" i="6"/>
  <c r="T18" i="6"/>
  <c r="N18" i="6"/>
  <c r="Q18" i="6"/>
  <c r="L18" i="6"/>
  <c r="R18" i="6"/>
  <c r="M9" i="6"/>
  <c r="P9" i="6"/>
  <c r="S9" i="6"/>
  <c r="K9" i="6"/>
  <c r="O9" i="6"/>
  <c r="T9" i="6"/>
  <c r="L9" i="6"/>
  <c r="R9" i="6"/>
  <c r="N9" i="6"/>
  <c r="Q9"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A97604A-B060-4ED6-AEEB-A007A9E0C95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5118FD73-FD2F-45C8-B74A-E5E9510FCFA9}" name="WorksheetConnection_Data!$B$860:$O$913" type="102" refreshedVersion="8" minRefreshableVersion="5">
    <extLst>
      <ext xmlns:x15="http://schemas.microsoft.com/office/spreadsheetml/2010/11/main" uri="{DE250136-89BD-433C-8126-D09CA5730AF9}">
        <x15:connection id="Range" autoDelete="1">
          <x15:rangePr sourceName="_xlcn.WorksheetConnection_DataB860O9131"/>
        </x15:connection>
      </ext>
    </extLst>
  </connection>
  <connection id="3" xr16:uid="{C9D4B61E-EF27-4E63-8688-3C1C3EBC50EE}" name="WorksheetConnection_TV_Final 2.xlsx!Table4" type="102" refreshedVersion="8" minRefreshableVersion="5">
    <extLst>
      <ext xmlns:x15="http://schemas.microsoft.com/office/spreadsheetml/2010/11/main" uri="{DE250136-89BD-433C-8126-D09CA5730AF9}">
        <x15:connection id="Table4" autoDelete="1">
          <x15:rangePr sourceName="_xlcn.WorksheetConnection_TV_Final2.xlsxTable41"/>
        </x15:connection>
      </ext>
    </extLst>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<sst xmlns="http://schemas.openxmlformats.org/spreadsheetml/2006/main" count="2929" uniqueCount="158">
  <si>
    <t>Sum of Selling Price</t>
  </si>
  <si>
    <t>Sum of Original Price</t>
  </si>
  <si>
    <t>Average of Discount%</t>
  </si>
  <si>
    <t>Resolution</t>
  </si>
  <si>
    <t>Discount%</t>
  </si>
  <si>
    <t>Sum of Median for Original</t>
  </si>
  <si>
    <t>Sum of Median for Selling</t>
  </si>
  <si>
    <t>Row Labels</t>
  </si>
  <si>
    <t>Full HD LED</t>
  </si>
  <si>
    <t>Samsung</t>
  </si>
  <si>
    <t>Lg</t>
  </si>
  <si>
    <t>Sony</t>
  </si>
  <si>
    <t>Tcl</t>
  </si>
  <si>
    <t>Panasonic</t>
  </si>
  <si>
    <t>Sharp</t>
  </si>
  <si>
    <t>Vu</t>
  </si>
  <si>
    <t>Iffalcon By Tcl</t>
  </si>
  <si>
    <t>Full HD LED Total</t>
  </si>
  <si>
    <t>Hisense</t>
  </si>
  <si>
    <t>HD LED</t>
  </si>
  <si>
    <t>Lloyd</t>
  </si>
  <si>
    <t>Micromax</t>
  </si>
  <si>
    <t>Philips</t>
  </si>
  <si>
    <t>Grand Total</t>
  </si>
  <si>
    <t>HD LED Total</t>
  </si>
  <si>
    <t>HD Plasma</t>
  </si>
  <si>
    <t>Total Brands</t>
  </si>
  <si>
    <t>Resolution types</t>
  </si>
  <si>
    <t>HD Plasma Total</t>
  </si>
  <si>
    <t>QLED Ultra HD</t>
  </si>
  <si>
    <t>Column Labels</t>
  </si>
  <si>
    <t>QLED Ultra HD Total</t>
  </si>
  <si>
    <t>Ultra HD LED</t>
  </si>
  <si>
    <t>Ultra HD LED Total</t>
  </si>
  <si>
    <t>Sum of Discount</t>
  </si>
  <si>
    <t>Acer</t>
  </si>
  <si>
    <t>Adsun</t>
  </si>
  <si>
    <t xml:space="preserve">Aisen  </t>
  </si>
  <si>
    <t xml:space="preserve">Akai </t>
  </si>
  <si>
    <t>Blaupunkt</t>
  </si>
  <si>
    <t xml:space="preserve">Bpl </t>
  </si>
  <si>
    <t xml:space="preserve">Candes </t>
  </si>
  <si>
    <t>Cloudwalker</t>
  </si>
  <si>
    <t xml:space="preserve">Compaq </t>
  </si>
  <si>
    <t xml:space="preserve">Coocaa </t>
  </si>
  <si>
    <t xml:space="preserve">Croma </t>
  </si>
  <si>
    <t>Dektron</t>
  </si>
  <si>
    <t xml:space="preserve">Detel </t>
  </si>
  <si>
    <t>Dyanora</t>
  </si>
  <si>
    <t xml:space="preserve">G-Ten </t>
  </si>
  <si>
    <t xml:space="preserve">Haier </t>
  </si>
  <si>
    <t xml:space="preserve">Huidi </t>
  </si>
  <si>
    <t xml:space="preserve">Impex </t>
  </si>
  <si>
    <t>Infinix</t>
  </si>
  <si>
    <t>Android</t>
  </si>
  <si>
    <t xml:space="preserve">Intex </t>
  </si>
  <si>
    <t>Tizen</t>
  </si>
  <si>
    <t>Jvc</t>
  </si>
  <si>
    <t>WebOS</t>
  </si>
  <si>
    <t xml:space="preserve">Kodak </t>
  </si>
  <si>
    <t>Linux</t>
  </si>
  <si>
    <t>Krisons</t>
  </si>
  <si>
    <t>HomeOS</t>
  </si>
  <si>
    <t xml:space="preserve">Lg </t>
  </si>
  <si>
    <t>VIDAA</t>
  </si>
  <si>
    <t xml:space="preserve">Lloyd </t>
  </si>
  <si>
    <t>FireTV OS</t>
  </si>
  <si>
    <t xml:space="preserve">Lumx </t>
  </si>
  <si>
    <t>Marq By Flipkart</t>
  </si>
  <si>
    <t xml:space="preserve">Maser </t>
  </si>
  <si>
    <t xml:space="preserve">Mi </t>
  </si>
  <si>
    <t>Motorola</t>
  </si>
  <si>
    <t xml:space="preserve">Murphy </t>
  </si>
  <si>
    <t xml:space="preserve">Nokia </t>
  </si>
  <si>
    <t>Oneplus</t>
  </si>
  <si>
    <t>Onida</t>
  </si>
  <si>
    <t xml:space="preserve">Onix </t>
  </si>
  <si>
    <t xml:space="preserve">Oxygen </t>
  </si>
  <si>
    <t>Power Guard</t>
  </si>
  <si>
    <t xml:space="preserve">Realme </t>
  </si>
  <si>
    <t xml:space="preserve">Rgl </t>
  </si>
  <si>
    <t xml:space="preserve">Sansui </t>
  </si>
  <si>
    <t xml:space="preserve">Sanyo </t>
  </si>
  <si>
    <t xml:space="preserve">Sharp </t>
  </si>
  <si>
    <t>Skyworth</t>
  </si>
  <si>
    <t xml:space="preserve">Sony </t>
  </si>
  <si>
    <t>Sun King</t>
  </si>
  <si>
    <t xml:space="preserve">Tcl </t>
  </si>
  <si>
    <t>Thomson</t>
  </si>
  <si>
    <t>Toshiba</t>
  </si>
  <si>
    <t>T-Series</t>
  </si>
  <si>
    <t xml:space="preserve">Vg </t>
  </si>
  <si>
    <t xml:space="preserve">Weston </t>
  </si>
  <si>
    <t>Average of Selling price of Ultra</t>
  </si>
  <si>
    <t>Average of Selling price of QLED</t>
  </si>
  <si>
    <t>Sum of Selling price of HD</t>
  </si>
  <si>
    <t>Average of Selling price of Full Hd</t>
  </si>
  <si>
    <t>Average of Selling price of HD plasma</t>
  </si>
  <si>
    <t>Top 5 Brand with Highest Selling Prices</t>
  </si>
  <si>
    <t>Brand</t>
  </si>
  <si>
    <t>Selling price of Ultra</t>
  </si>
  <si>
    <t>Selling price of QLED</t>
  </si>
  <si>
    <t>Selling price of HD</t>
  </si>
  <si>
    <t>Selling price of Full Hd</t>
  </si>
  <si>
    <t>Selling price of HD plasma</t>
  </si>
  <si>
    <t>Top 5 Highest Original Prices</t>
  </si>
  <si>
    <t>Brand-Renamed</t>
  </si>
  <si>
    <t xml:space="preserve">Size </t>
  </si>
  <si>
    <t>Selling Price</t>
  </si>
  <si>
    <t>Original Price</t>
  </si>
  <si>
    <t>Operating System</t>
  </si>
  <si>
    <t>Rating</t>
  </si>
  <si>
    <t>Discount</t>
  </si>
  <si>
    <t>Profit</t>
  </si>
  <si>
    <t>Profit%</t>
  </si>
  <si>
    <t>Ratings Strings</t>
  </si>
  <si>
    <t>Median for Original</t>
  </si>
  <si>
    <t>Median for Selling</t>
  </si>
  <si>
    <t>TOSHIBA</t>
  </si>
  <si>
    <t xml:space="preserve">TCL </t>
  </si>
  <si>
    <t xml:space="preserve">realme </t>
  </si>
  <si>
    <t>OnePlus</t>
  </si>
  <si>
    <t xml:space="preserve">LG </t>
  </si>
  <si>
    <t>MarQ by Flipkart</t>
  </si>
  <si>
    <t>iFFALCON by TCL</t>
  </si>
  <si>
    <t>SAMSUNG</t>
  </si>
  <si>
    <t xml:space="preserve">SONY </t>
  </si>
  <si>
    <t xml:space="preserve">KODAK </t>
  </si>
  <si>
    <t>MOTOROLA</t>
  </si>
  <si>
    <t>PHILIPS</t>
  </si>
  <si>
    <t xml:space="preserve">RGL </t>
  </si>
  <si>
    <t xml:space="preserve">LumX </t>
  </si>
  <si>
    <t xml:space="preserve">IMPEX </t>
  </si>
  <si>
    <t xml:space="preserve">BPL </t>
  </si>
  <si>
    <t>CloudWalker</t>
  </si>
  <si>
    <t xml:space="preserve">VG </t>
  </si>
  <si>
    <t xml:space="preserve">HUIDI </t>
  </si>
  <si>
    <t xml:space="preserve">DETEL </t>
  </si>
  <si>
    <t>JVC</t>
  </si>
  <si>
    <t xml:space="preserve">G-TEN </t>
  </si>
  <si>
    <t xml:space="preserve">MURPHY </t>
  </si>
  <si>
    <t>KRISONS</t>
  </si>
  <si>
    <t xml:space="preserve">AISEN  </t>
  </si>
  <si>
    <t>Avg Selling of ULTRA HD LED</t>
  </si>
  <si>
    <t xml:space="preserve">Avg Selling of QLED ULTRA HD </t>
  </si>
  <si>
    <t xml:space="preserve">Avg Selling of HD LED </t>
  </si>
  <si>
    <t xml:space="preserve">Avg Selling of Full HD LED </t>
  </si>
  <si>
    <t>Avg Selling of HD PLASMA</t>
  </si>
  <si>
    <t>Compa+I181:K197nies</t>
  </si>
  <si>
    <t>Brand : Leading Sales in Resolution with Competitive Selling Prices</t>
  </si>
  <si>
    <t>Brand : Leading Sales in Resolution with Competitive Original Prices</t>
  </si>
  <si>
    <t>Haier</t>
  </si>
  <si>
    <t>Ratings Not Given</t>
  </si>
  <si>
    <t>Sansui</t>
  </si>
  <si>
    <t>Mi</t>
  </si>
  <si>
    <t>Bad Ratings</t>
  </si>
  <si>
    <t>Good Ratings</t>
  </si>
  <si>
    <t>Medium Ratings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</si>
</sst>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 #,##0.00_ ;_ * \-#,##0.00_ ;_ * &quot;-&quot;??_ ;_ @_ "/>
    <numFmt numFmtId="164" formatCode="_ [$₹-4009]\ * #,##0_ ;_ [$₹-4009]\ * \-#,##0_ ;_ [$₹-4009]\ * &quot;-&quot;??_ ;_ @_ "/>
    <numFmt numFmtId="165" formatCode="&quot;₹&quot;\ #,##0"/>
    <numFmt numFmtId="166" formatCode="&quot;₹&quot;\ #,##0.00"/>
    <numFmt numFmtId="167" formatCode="_ * #,##0_ ;_ * \-#,##0_ ;_ * &quot;-&quot;??_ ;_ @_ "/>
  </numFmts>
  <fonts count="26" x14ac:knownFonts="1">
    <font>
      <sz val="11"/>
      <color theme="1"/>
      <name val="Tw Cen MT"/>
      <family val="2"/>
      <scheme val="minor"/>
    </font>
    <font>
      <sz val="11"/>
      <color theme="1"/>
      <name val="Tw Cen MT"/>
      <family val="2"/>
      <scheme val="minor"/>
    </font>
    <font>
      <sz val="18"/>
      <color theme="3"/>
      <name val="Tw Cen MT Condensed"/>
      <family val="2"/>
      <scheme val="major"/>
    </font>
    <font>
      <b/>
      <sz val="15"/>
      <color theme="3"/>
      <name val="Tw Cen MT"/>
      <family val="2"/>
      <scheme val="minor"/>
    </font>
    <font>
      <b/>
      <sz val="13"/>
      <color theme="3"/>
      <name val="Tw Cen MT"/>
      <family val="2"/>
      <scheme val="minor"/>
    </font>
    <font>
      <b/>
      <sz val="11"/>
      <color theme="3"/>
      <name val="Tw Cen MT"/>
      <family val="2"/>
      <scheme val="minor"/>
    </font>
    <font>
      <sz val="11"/>
      <color rgb="FF006100"/>
      <name val="Tw Cen MT"/>
      <family val="2"/>
      <scheme val="minor"/>
    </font>
    <font>
      <sz val="11"/>
      <color rgb="FF9C0006"/>
      <name val="Tw Cen MT"/>
      <family val="2"/>
      <scheme val="minor"/>
    </font>
    <font>
      <sz val="11"/>
      <color rgb="FF9C5700"/>
      <name val="Tw Cen MT"/>
      <family val="2"/>
      <scheme val="minor"/>
    </font>
    <font>
      <sz val="11"/>
      <color rgb="FF3F3F76"/>
      <name val="Tw Cen MT"/>
      <family val="2"/>
      <scheme val="minor"/>
    </font>
    <font>
      <b/>
      <sz val="11"/>
      <color rgb="FF3F3F3F"/>
      <name val="Tw Cen MT"/>
      <family val="2"/>
      <scheme val="minor"/>
    </font>
    <font>
      <b/>
      <sz val="11"/>
      <color rgb="FFFA7D00"/>
      <name val="Tw Cen MT"/>
      <family val="2"/>
      <scheme val="minor"/>
    </font>
    <font>
      <sz val="11"/>
      <color rgb="FFFA7D00"/>
      <name val="Tw Cen MT"/>
      <family val="2"/>
      <scheme val="minor"/>
    </font>
    <font>
      <b/>
      <sz val="11"/>
      <color theme="0"/>
      <name val="Tw Cen MT"/>
      <family val="2"/>
      <scheme val="minor"/>
    </font>
    <font>
      <sz val="11"/>
      <color rgb="FFFF0000"/>
      <name val="Tw Cen MT"/>
      <family val="2"/>
      <scheme val="minor"/>
    </font>
    <font>
      <i/>
      <sz val="11"/>
      <color rgb="FF7F7F7F"/>
      <name val="Tw Cen MT"/>
      <family val="2"/>
      <scheme val="minor"/>
    </font>
    <font>
      <b/>
      <sz val="11"/>
      <color theme="1"/>
      <name val="Tw Cen MT"/>
      <family val="2"/>
      <scheme val="minor"/>
    </font>
    <font>
      <sz val="11"/>
      <color theme="0"/>
      <name val="Tw Cen MT"/>
      <family val="2"/>
      <scheme val="minor"/>
    </font>
    <font>
      <sz val="8"/>
      <name val="Tw Cen MT"/>
      <family val="2"/>
      <scheme val="minor"/>
    </font>
    <font>
      <sz val="18"/>
      <color theme="1"/>
      <name val="Tw Cen MT"/>
      <family val="2"/>
      <scheme val="minor"/>
    </font>
    <font>
      <b/>
      <sz val="11"/>
      <color rgb="FFFF0000"/>
      <name val="Segoe UI Semibold"/>
      <family val="2"/>
    </font>
    <font>
      <sz val="11"/>
      <name val="Segoe UI Variable Text Semibold"/>
    </font>
    <font>
      <sz val="11"/>
      <color theme="1"/>
      <name val="Segoe UI Variable Text Semibold"/>
    </font>
    <font>
      <sz val="10"/>
      <color rgb="FF242424"/>
      <name val="Arial Black"/>
      <family val="2"/>
    </font>
    <font>
      <b/>
      <sz val="11"/>
      <name val="Segoe UI Variable Text Semibold"/>
    </font>
    <font>
      <sz val="12"/>
      <color theme="0"/>
      <name val="Times New Roman"/>
      <family val="1"/>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bgColor theme="7"/>
      </patternFill>
    </fill>
    <fill>
      <patternFill patternType="solid">
        <fgColor theme="7" tint="0.79998168889431442"/>
        <bgColor theme="7" tint="0.79998168889431442"/>
      </patternFill>
    </fill>
    <fill>
      <patternFill patternType="solid">
        <fgColor rgb="FFFFC000"/>
        <bgColor indexed="64"/>
      </patternFill>
    </fill>
    <fill>
      <patternFill patternType="solid">
        <fgColor theme="3"/>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theme="9" tint="-0.499984740745262"/>
        <bgColor indexed="64"/>
      </patternFill>
    </fill>
  </fills>
  <borders count="5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7" tint="0.39997558519241921"/>
      </top>
      <bottom style="thin">
        <color theme="7" tint="0.39997558519241921"/>
      </bottom>
      <diagonal/>
    </border>
    <border>
      <left/>
      <right/>
      <top style="thin">
        <color theme="7" tint="0.39997558519241921"/>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thin">
        <color indexed="64"/>
      </top>
      <bottom/>
      <diagonal/>
    </border>
    <border>
      <left/>
      <right style="medium">
        <color indexed="64"/>
      </right>
      <top/>
      <bottom/>
      <diagonal/>
    </border>
    <border>
      <left style="medium">
        <color indexed="64"/>
      </left>
      <right style="medium">
        <color indexed="64"/>
      </right>
      <top/>
      <bottom/>
      <diagonal/>
    </border>
    <border>
      <left/>
      <right style="thick">
        <color theme="0"/>
      </right>
      <top/>
      <bottom/>
      <diagonal/>
    </border>
    <border>
      <left/>
      <right style="thick">
        <color theme="0"/>
      </right>
      <top style="thick">
        <color theme="0"/>
      </top>
      <bottom/>
      <diagonal/>
    </border>
    <border>
      <left/>
      <right style="thick">
        <color theme="0"/>
      </right>
      <top/>
      <bottom style="thick">
        <color theme="0"/>
      </bottom>
      <diagonal/>
    </border>
    <border>
      <left/>
      <right/>
      <top/>
      <bottom style="thick">
        <color theme="0"/>
      </bottom>
      <diagonal/>
    </border>
    <border>
      <left style="thick">
        <color theme="0"/>
      </left>
      <right/>
      <top style="thick">
        <color theme="0"/>
      </top>
      <bottom/>
      <diagonal/>
    </border>
    <border>
      <left/>
      <right/>
      <top style="thick">
        <color theme="0"/>
      </top>
      <bottom/>
      <diagonal/>
    </border>
    <border>
      <left style="thick">
        <color theme="0"/>
      </left>
      <right/>
      <top/>
      <bottom/>
      <diagonal/>
    </border>
    <border>
      <left style="medium">
        <color theme="1"/>
      </left>
      <right/>
      <top style="medium">
        <color theme="1"/>
      </top>
      <bottom style="medium">
        <color theme="1"/>
      </bottom>
      <diagonal/>
    </border>
    <border>
      <left/>
      <right/>
      <top style="medium">
        <color theme="1"/>
      </top>
      <bottom style="medium">
        <color theme="1"/>
      </bottom>
      <diagonal/>
    </border>
    <border>
      <left/>
      <right style="medium">
        <color theme="1"/>
      </right>
      <top style="medium">
        <color theme="1"/>
      </top>
      <bottom style="medium">
        <color theme="1"/>
      </bottom>
      <diagonal/>
    </border>
    <border>
      <left style="thick">
        <color theme="0"/>
      </left>
      <right/>
      <top/>
      <bottom style="thick">
        <color theme="0"/>
      </bottom>
      <diagonal/>
    </border>
    <border>
      <left style="medium">
        <color theme="1"/>
      </left>
      <right style="medium">
        <color indexed="64"/>
      </right>
      <top style="medium">
        <color theme="1"/>
      </top>
      <bottom style="medium">
        <color theme="1"/>
      </bottom>
      <diagonal/>
    </border>
    <border>
      <left style="medium">
        <color indexed="64"/>
      </left>
      <right style="medium">
        <color indexed="64"/>
      </right>
      <top style="medium">
        <color theme="1"/>
      </top>
      <bottom style="medium">
        <color theme="1"/>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
      <left style="thin">
        <color indexed="64"/>
      </left>
      <right/>
      <top style="medium">
        <color theme="1"/>
      </top>
      <bottom style="medium">
        <color theme="1"/>
      </bottom>
      <diagonal/>
    </border>
    <border>
      <left style="thin">
        <color indexed="64"/>
      </left>
      <right style="medium">
        <color indexed="64"/>
      </right>
      <top style="medium">
        <color theme="1"/>
      </top>
      <bottom style="medium">
        <color theme="1"/>
      </bottom>
      <diagonal/>
    </border>
    <border>
      <left style="thin">
        <color indexed="64"/>
      </left>
      <right style="medium">
        <color indexed="64"/>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xf numFmtId="43" fontId="1" fillId="0" borderId="0" applyFont="0" applyFill="0" applyBorder="0" applyAlignment="0" applyProtection="0"/>
  </cellStyleXfs>
  <cellXfs count="89">
    <xf numFmtId="0" fontId="0" fillId="0" borderId="0" xfId="0"/>
    <xf numFmtId="0" fontId="0" fillId="0" borderId="10" xfId="0" applyBorder="1"/>
    <xf numFmtId="0" fontId="0" fillId="0" borderId="0" xfId="0" pivotButton="1"/>
    <xf numFmtId="0" fontId="0" fillId="0" borderId="0" xfId="0" applyAlignment="1">
      <alignment horizontal="left"/>
    </xf>
    <xf numFmtId="0" fontId="0" fillId="34" borderId="11" xfId="0" applyFill="1" applyBorder="1"/>
    <xf numFmtId="9" fontId="0" fillId="34" borderId="11" xfId="42" applyFont="1" applyFill="1" applyBorder="1"/>
    <xf numFmtId="0" fontId="0" fillId="0" borderId="11" xfId="0" applyBorder="1"/>
    <xf numFmtId="9" fontId="0" fillId="0" borderId="11" xfId="42" applyFont="1" applyBorder="1"/>
    <xf numFmtId="9" fontId="0" fillId="0" borderId="10" xfId="42" applyFont="1" applyBorder="1"/>
    <xf numFmtId="0" fontId="13" fillId="33" borderId="0" xfId="0" applyFont="1" applyFill="1"/>
    <xf numFmtId="10" fontId="0" fillId="0" borderId="0" xfId="0" applyNumberFormat="1"/>
    <xf numFmtId="164" fontId="0" fillId="0" borderId="0" xfId="0" applyNumberFormat="1"/>
    <xf numFmtId="9" fontId="0" fillId="0" borderId="0" xfId="0" applyNumberFormat="1"/>
    <xf numFmtId="0" fontId="0" fillId="36" borderId="15" xfId="0" applyFill="1" applyBorder="1"/>
    <xf numFmtId="0" fontId="0" fillId="36" borderId="0" xfId="0" applyFill="1"/>
    <xf numFmtId="0" fontId="0" fillId="36" borderId="18" xfId="0" applyFill="1" applyBorder="1"/>
    <xf numFmtId="0" fontId="0" fillId="0" borderId="19" xfId="0" applyBorder="1"/>
    <xf numFmtId="0" fontId="0" fillId="0" borderId="18" xfId="0" applyBorder="1"/>
    <xf numFmtId="0" fontId="0" fillId="0" borderId="20" xfId="0" applyBorder="1"/>
    <xf numFmtId="0" fontId="0" fillId="37" borderId="0" xfId="0" applyFill="1"/>
    <xf numFmtId="0" fontId="0" fillId="37" borderId="17" xfId="0" applyFill="1" applyBorder="1"/>
    <xf numFmtId="165" fontId="0" fillId="37" borderId="17" xfId="0" applyNumberFormat="1" applyFill="1" applyBorder="1"/>
    <xf numFmtId="165" fontId="0" fillId="37" borderId="16" xfId="0" applyNumberFormat="1" applyFill="1" applyBorder="1"/>
    <xf numFmtId="0" fontId="0" fillId="36" borderId="21" xfId="0" applyFill="1" applyBorder="1"/>
    <xf numFmtId="0" fontId="0" fillId="36" borderId="20" xfId="0" applyFill="1" applyBorder="1"/>
    <xf numFmtId="0" fontId="0" fillId="36" borderId="22" xfId="0" applyFill="1" applyBorder="1"/>
    <xf numFmtId="0" fontId="0" fillId="36" borderId="23" xfId="0" applyFill="1" applyBorder="1"/>
    <xf numFmtId="0" fontId="0" fillId="36" borderId="19" xfId="0" applyFill="1" applyBorder="1"/>
    <xf numFmtId="0" fontId="0" fillId="36" borderId="24" xfId="0" applyFill="1" applyBorder="1"/>
    <xf numFmtId="0" fontId="17" fillId="36" borderId="25" xfId="0" applyFont="1" applyFill="1" applyBorder="1"/>
    <xf numFmtId="0" fontId="17" fillId="36" borderId="26" xfId="0" applyFont="1" applyFill="1" applyBorder="1"/>
    <xf numFmtId="0" fontId="17" fillId="36" borderId="27" xfId="0" applyFont="1" applyFill="1" applyBorder="1"/>
    <xf numFmtId="165" fontId="19" fillId="36" borderId="0" xfId="0" applyNumberFormat="1" applyFont="1" applyFill="1"/>
    <xf numFmtId="10" fontId="19" fillId="36" borderId="0" xfId="0" applyNumberFormat="1" applyFont="1" applyFill="1"/>
    <xf numFmtId="166" fontId="0" fillId="0" borderId="0" xfId="0" applyNumberFormat="1"/>
    <xf numFmtId="165" fontId="0" fillId="0" borderId="0" xfId="0" applyNumberFormat="1"/>
    <xf numFmtId="1" fontId="19" fillId="36" borderId="0" xfId="0" applyNumberFormat="1" applyFont="1" applyFill="1"/>
    <xf numFmtId="167" fontId="0" fillId="0" borderId="0" xfId="0" applyNumberFormat="1"/>
    <xf numFmtId="167" fontId="0" fillId="0" borderId="0" xfId="43" applyNumberFormat="1" applyFont="1"/>
    <xf numFmtId="0" fontId="20" fillId="0" borderId="0" xfId="0" applyFont="1" applyAlignment="1">
      <alignment horizontal="center" vertical="center"/>
    </xf>
    <xf numFmtId="0" fontId="0" fillId="36" borderId="28" xfId="0" applyFill="1" applyBorder="1"/>
    <xf numFmtId="0" fontId="0" fillId="38" borderId="0" xfId="0" applyFill="1"/>
    <xf numFmtId="0" fontId="21" fillId="38" borderId="25" xfId="0" applyFont="1" applyFill="1" applyBorder="1"/>
    <xf numFmtId="0" fontId="22" fillId="38" borderId="17" xfId="0" applyFont="1" applyFill="1" applyBorder="1"/>
    <xf numFmtId="165" fontId="22" fillId="38" borderId="17" xfId="0" applyNumberFormat="1" applyFont="1" applyFill="1" applyBorder="1"/>
    <xf numFmtId="165" fontId="22" fillId="38" borderId="16" xfId="0" applyNumberFormat="1" applyFont="1" applyFill="1" applyBorder="1"/>
    <xf numFmtId="0" fontId="21" fillId="38" borderId="29" xfId="0" applyFont="1" applyFill="1" applyBorder="1"/>
    <xf numFmtId="0" fontId="21" fillId="38" borderId="30" xfId="0" applyFont="1" applyFill="1" applyBorder="1"/>
    <xf numFmtId="0" fontId="21" fillId="38" borderId="29" xfId="0" applyFont="1" applyFill="1" applyBorder="1" applyAlignment="1">
      <alignment horizontal="center"/>
    </xf>
    <xf numFmtId="0" fontId="21" fillId="38" borderId="30" xfId="0" applyFont="1" applyFill="1" applyBorder="1" applyAlignment="1">
      <alignment horizontal="center"/>
    </xf>
    <xf numFmtId="0" fontId="21" fillId="38" borderId="27" xfId="0" applyFont="1" applyFill="1" applyBorder="1" applyAlignment="1">
      <alignment horizontal="center"/>
    </xf>
    <xf numFmtId="0" fontId="0" fillId="0" borderId="39" xfId="0" applyBorder="1"/>
    <xf numFmtId="0" fontId="0" fillId="0" borderId="40" xfId="0" applyBorder="1"/>
    <xf numFmtId="0" fontId="0" fillId="0" borderId="41" xfId="0" applyBorder="1"/>
    <xf numFmtId="0" fontId="0" fillId="0" borderId="42" xfId="0" applyBorder="1"/>
    <xf numFmtId="0" fontId="0" fillId="0" borderId="43" xfId="0" applyBorder="1"/>
    <xf numFmtId="0" fontId="0" fillId="0" borderId="44" xfId="0" applyBorder="1"/>
    <xf numFmtId="0" fontId="0" fillId="0" borderId="45" xfId="0" applyBorder="1"/>
    <xf numFmtId="0" fontId="0" fillId="0" borderId="46" xfId="0" applyBorder="1"/>
    <xf numFmtId="0" fontId="0" fillId="0" borderId="47" xfId="0" applyBorder="1"/>
    <xf numFmtId="165" fontId="24" fillId="38" borderId="26" xfId="0" applyNumberFormat="1" applyFont="1" applyFill="1" applyBorder="1" applyAlignment="1">
      <alignment horizontal="center"/>
    </xf>
    <xf numFmtId="165" fontId="24" fillId="38" borderId="27" xfId="0" applyNumberFormat="1" applyFont="1" applyFill="1" applyBorder="1" applyAlignment="1">
      <alignment horizontal="center"/>
    </xf>
    <xf numFmtId="165" fontId="24" fillId="38" borderId="25" xfId="0" applyNumberFormat="1" applyFont="1" applyFill="1" applyBorder="1" applyAlignment="1">
      <alignment horizontal="center"/>
    </xf>
    <xf numFmtId="9" fontId="0" fillId="0" borderId="0" xfId="0" applyNumberFormat="1" applyAlignment="1">
      <alignment horizontal="left"/>
    </xf>
    <xf numFmtId="0" fontId="0" fillId="39" borderId="0" xfId="0" applyFill="1"/>
    <xf numFmtId="9" fontId="21" fillId="39" borderId="30" xfId="42" applyFont="1" applyFill="1" applyBorder="1" applyAlignment="1">
      <alignment horizontal="center" vertical="center"/>
    </xf>
    <xf numFmtId="9" fontId="21" fillId="39" borderId="27" xfId="42" applyFont="1" applyFill="1" applyBorder="1" applyAlignment="1">
      <alignment horizontal="center" vertical="center"/>
    </xf>
    <xf numFmtId="9" fontId="21" fillId="39" borderId="29" xfId="42" applyFont="1" applyFill="1" applyBorder="1" applyAlignment="1">
      <alignment horizontal="center" vertical="center"/>
    </xf>
    <xf numFmtId="165" fontId="22" fillId="39" borderId="17" xfId="0" applyNumberFormat="1" applyFont="1" applyFill="1" applyBorder="1" applyAlignment="1">
      <alignment horizontal="center"/>
    </xf>
    <xf numFmtId="165" fontId="22" fillId="39" borderId="16" xfId="0" applyNumberFormat="1" applyFont="1" applyFill="1" applyBorder="1" applyAlignment="1">
      <alignment horizontal="center"/>
    </xf>
    <xf numFmtId="165" fontId="24" fillId="39" borderId="26" xfId="0" applyNumberFormat="1" applyFont="1" applyFill="1" applyBorder="1" applyAlignment="1">
      <alignment horizontal="center"/>
    </xf>
    <xf numFmtId="165" fontId="24" fillId="39" borderId="27" xfId="0" applyNumberFormat="1" applyFont="1" applyFill="1" applyBorder="1" applyAlignment="1">
      <alignment horizontal="center"/>
    </xf>
    <xf numFmtId="165" fontId="24" fillId="39" borderId="25" xfId="0" applyNumberFormat="1" applyFont="1" applyFill="1" applyBorder="1" applyAlignment="1">
      <alignment horizontal="center"/>
    </xf>
    <xf numFmtId="0" fontId="24" fillId="39" borderId="25" xfId="0" applyFont="1" applyFill="1" applyBorder="1" applyAlignment="1">
      <alignment horizontal="center"/>
    </xf>
    <xf numFmtId="0" fontId="0" fillId="39" borderId="34" xfId="0" applyFill="1" applyBorder="1"/>
    <xf numFmtId="0" fontId="0" fillId="39" borderId="35" xfId="0" applyFill="1" applyBorder="1"/>
    <xf numFmtId="166" fontId="0" fillId="39" borderId="0" xfId="0" applyNumberFormat="1" applyFill="1"/>
    <xf numFmtId="0" fontId="21" fillId="39" borderId="49" xfId="0" applyFont="1" applyFill="1" applyBorder="1" applyAlignment="1">
      <alignment horizontal="center" vertical="center"/>
    </xf>
    <xf numFmtId="0" fontId="22" fillId="39" borderId="50" xfId="0" applyFont="1" applyFill="1" applyBorder="1" applyAlignment="1">
      <alignment horizontal="center"/>
    </xf>
    <xf numFmtId="0" fontId="21" fillId="39" borderId="48" xfId="0" applyFont="1" applyFill="1" applyBorder="1" applyAlignment="1">
      <alignment horizontal="center"/>
    </xf>
    <xf numFmtId="0" fontId="0" fillId="35" borderId="12" xfId="0" applyFill="1" applyBorder="1" applyAlignment="1">
      <alignment horizontal="center"/>
    </xf>
    <xf numFmtId="0" fontId="0" fillId="35" borderId="13" xfId="0" applyFill="1" applyBorder="1" applyAlignment="1">
      <alignment horizontal="center"/>
    </xf>
    <xf numFmtId="0" fontId="0" fillId="35" borderId="14" xfId="0" applyFill="1" applyBorder="1" applyAlignment="1">
      <alignment horizontal="center"/>
    </xf>
    <xf numFmtId="0" fontId="25" fillId="40" borderId="36" xfId="0" applyFont="1" applyFill="1" applyBorder="1" applyAlignment="1">
      <alignment horizontal="center" indent="3"/>
    </xf>
    <xf numFmtId="0" fontId="25" fillId="40" borderId="37" xfId="0" applyFont="1" applyFill="1" applyBorder="1" applyAlignment="1">
      <alignment horizontal="center" indent="3"/>
    </xf>
    <xf numFmtId="0" fontId="25" fillId="40" borderId="38" xfId="0" applyFont="1" applyFill="1" applyBorder="1" applyAlignment="1">
      <alignment horizontal="center" indent="3"/>
    </xf>
    <xf numFmtId="0" fontId="23" fillId="39" borderId="31" xfId="0" applyFont="1" applyFill="1" applyBorder="1" applyAlignment="1">
      <alignment horizontal="center"/>
    </xf>
    <xf numFmtId="0" fontId="23" fillId="39" borderId="32" xfId="0" applyFont="1" applyFill="1" applyBorder="1" applyAlignment="1">
      <alignment horizontal="center"/>
    </xf>
    <xf numFmtId="0" fontId="23" fillId="39" borderId="33" xfId="0" applyFont="1" applyFill="1" applyBorder="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3"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34">
    <dxf>
      <font>
        <color rgb="FF9C0006"/>
      </font>
      <fill>
        <patternFill>
          <bgColor theme="0" tint="-0.24994659260841701"/>
        </patternFill>
      </fill>
    </dxf>
    <dxf>
      <fill>
        <patternFill>
          <bgColor theme="8" tint="0.39994506668294322"/>
        </patternFill>
      </fill>
    </dxf>
    <dxf>
      <fill>
        <patternFill>
          <bgColor theme="5" tint="0.79998168889431442"/>
        </patternFill>
      </fill>
    </dxf>
    <dxf>
      <font>
        <color rgb="FF9C0006"/>
      </font>
      <fill>
        <patternFill>
          <bgColor theme="0" tint="-0.24994659260841701"/>
        </patternFill>
      </fill>
    </dxf>
    <dxf>
      <font>
        <color rgb="FF9C0006"/>
      </font>
      <fill>
        <patternFill>
          <bgColor theme="0" tint="-0.24994659260841701"/>
        </patternFill>
      </fill>
    </dxf>
    <dxf>
      <font>
        <b val="0"/>
        <i val="0"/>
        <strike val="0"/>
        <condense val="0"/>
        <extend val="0"/>
        <outline val="0"/>
        <shadow val="0"/>
        <u val="none"/>
        <vertAlign val="baseline"/>
        <sz val="11"/>
        <color theme="1"/>
        <name val="Tw Cen MT"/>
        <family val="2"/>
        <scheme val="minor"/>
      </font>
      <numFmt numFmtId="165" formatCode="&quot;₹&quot;\ #,##0"/>
      <border diagonalUp="0" diagonalDown="0">
        <left/>
        <right/>
        <top style="thin">
          <color theme="7" tint="0.39997558519241921"/>
        </top>
        <bottom/>
        <vertical/>
        <horizontal/>
      </border>
    </dxf>
    <dxf>
      <font>
        <b val="0"/>
        <i val="0"/>
        <strike val="0"/>
        <condense val="0"/>
        <extend val="0"/>
        <outline val="0"/>
        <shadow val="0"/>
        <u val="none"/>
        <vertAlign val="baseline"/>
        <sz val="11"/>
        <color theme="1"/>
        <name val="Tw Cen MT"/>
        <family val="2"/>
        <scheme val="minor"/>
      </font>
      <numFmt numFmtId="166" formatCode="&quot;₹&quot;\ #,##0.00"/>
      <border diagonalUp="0" diagonalDown="0">
        <left/>
        <right/>
        <top style="thin">
          <color theme="7" tint="0.39997558519241921"/>
        </top>
        <bottom/>
        <vertical/>
        <horizontal/>
      </border>
    </dxf>
    <dxf>
      <font>
        <b val="0"/>
        <i val="0"/>
        <strike val="0"/>
        <condense val="0"/>
        <extend val="0"/>
        <outline val="0"/>
        <shadow val="0"/>
        <u val="none"/>
        <vertAlign val="baseline"/>
        <sz val="11"/>
        <color theme="1"/>
        <name val="Tw Cen MT"/>
        <family val="2"/>
        <scheme val="minor"/>
      </font>
      <border diagonalUp="0" diagonalDown="0">
        <left/>
        <right/>
        <top style="thin">
          <color theme="7" tint="0.39997558519241921"/>
        </top>
        <bottom/>
        <vertical/>
        <horizontal/>
      </border>
    </dxf>
    <dxf>
      <font>
        <b val="0"/>
        <i val="0"/>
        <strike val="0"/>
        <condense val="0"/>
        <extend val="0"/>
        <outline val="0"/>
        <shadow val="0"/>
        <u val="none"/>
        <vertAlign val="baseline"/>
        <sz val="11"/>
        <color theme="1"/>
        <name val="Tw Cen MT"/>
        <family val="2"/>
        <scheme val="minor"/>
      </font>
      <numFmt numFmtId="13" formatCode="0%"/>
      <border diagonalUp="0" diagonalDown="0">
        <left/>
        <right/>
        <top style="thin">
          <color theme="7" tint="0.39997558519241921"/>
        </top>
        <bottom/>
        <vertical/>
        <horizontal/>
      </border>
    </dxf>
    <dxf>
      <font>
        <b val="0"/>
        <i val="0"/>
        <strike val="0"/>
        <condense val="0"/>
        <extend val="0"/>
        <outline val="0"/>
        <shadow val="0"/>
        <u val="none"/>
        <vertAlign val="baseline"/>
        <sz val="11"/>
        <color theme="1"/>
        <name val="Tw Cen MT"/>
        <family val="2"/>
        <scheme val="minor"/>
      </font>
      <border diagonalUp="0" diagonalDown="0" outline="0">
        <left/>
        <right/>
        <top style="thin">
          <color theme="7" tint="0.39997558519241921"/>
        </top>
        <bottom/>
      </border>
    </dxf>
    <dxf>
      <font>
        <b val="0"/>
        <i val="0"/>
        <strike val="0"/>
        <condense val="0"/>
        <extend val="0"/>
        <outline val="0"/>
        <shadow val="0"/>
        <u val="none"/>
        <vertAlign val="baseline"/>
        <sz val="11"/>
        <color theme="1"/>
        <name val="Tw Cen MT"/>
        <family val="2"/>
        <scheme val="minor"/>
      </font>
      <numFmt numFmtId="0" formatCode="General"/>
      <border diagonalUp="0" diagonalDown="0" outline="0">
        <left/>
        <right/>
        <top style="thin">
          <color theme="7" tint="0.39997558519241921"/>
        </top>
        <bottom/>
      </border>
    </dxf>
    <dxf>
      <font>
        <b val="0"/>
        <i val="0"/>
        <strike val="0"/>
        <condense val="0"/>
        <extend val="0"/>
        <outline val="0"/>
        <shadow val="0"/>
        <u val="none"/>
        <vertAlign val="baseline"/>
        <sz val="11"/>
        <color theme="1"/>
        <name val="Tw Cen MT"/>
        <family val="2"/>
        <scheme val="minor"/>
      </font>
      <border diagonalUp="0" diagonalDown="0" outline="0">
        <left/>
        <right/>
        <top style="thin">
          <color theme="7" tint="0.39997558519241921"/>
        </top>
        <bottom/>
      </border>
    </dxf>
    <dxf>
      <font>
        <b val="0"/>
        <i val="0"/>
        <strike val="0"/>
        <condense val="0"/>
        <extend val="0"/>
        <outline val="0"/>
        <shadow val="0"/>
        <u val="none"/>
        <vertAlign val="baseline"/>
        <sz val="11"/>
        <color theme="1"/>
        <name val="Tw Cen MT"/>
        <family val="2"/>
        <scheme val="minor"/>
      </font>
      <border diagonalUp="0" diagonalDown="0">
        <left/>
        <right/>
        <top style="thin">
          <color theme="7" tint="0.39997558519241921"/>
        </top>
        <bottom/>
        <vertical/>
        <horizontal/>
      </border>
    </dxf>
    <dxf>
      <font>
        <b val="0"/>
        <i val="0"/>
        <strike val="0"/>
        <condense val="0"/>
        <extend val="0"/>
        <outline val="0"/>
        <shadow val="0"/>
        <u val="none"/>
        <vertAlign val="baseline"/>
        <sz val="11"/>
        <color theme="1"/>
        <name val="Tw Cen MT"/>
        <family val="2"/>
        <scheme val="minor"/>
      </font>
      <border diagonalUp="0" diagonalDown="0">
        <left/>
        <right/>
        <top style="thin">
          <color theme="7" tint="0.39997558519241921"/>
        </top>
        <bottom/>
        <vertical/>
        <horizontal/>
      </border>
    </dxf>
    <dxf>
      <font>
        <b val="0"/>
        <i val="0"/>
        <strike val="0"/>
        <condense val="0"/>
        <extend val="0"/>
        <outline val="0"/>
        <shadow val="0"/>
        <u val="none"/>
        <vertAlign val="baseline"/>
        <sz val="11"/>
        <color theme="1"/>
        <name val="Tw Cen MT"/>
        <family val="2"/>
        <scheme val="minor"/>
      </font>
      <border diagonalUp="0" diagonalDown="0">
        <left/>
        <right/>
        <top style="thin">
          <color theme="7" tint="0.39997558519241921"/>
        </top>
        <bottom/>
        <vertical/>
        <horizontal/>
      </border>
    </dxf>
    <dxf>
      <font>
        <b val="0"/>
        <i val="0"/>
        <strike val="0"/>
        <condense val="0"/>
        <extend val="0"/>
        <outline val="0"/>
        <shadow val="0"/>
        <u val="none"/>
        <vertAlign val="baseline"/>
        <sz val="11"/>
        <color theme="1"/>
        <name val="Tw Cen MT"/>
        <family val="2"/>
        <scheme val="minor"/>
      </font>
      <border diagonalUp="0" diagonalDown="0">
        <left/>
        <right/>
        <top style="thin">
          <color theme="7" tint="0.39997558519241921"/>
        </top>
        <bottom/>
        <vertical/>
        <horizontal/>
      </border>
    </dxf>
    <dxf>
      <font>
        <b val="0"/>
        <i val="0"/>
        <strike val="0"/>
        <condense val="0"/>
        <extend val="0"/>
        <outline val="0"/>
        <shadow val="0"/>
        <u val="none"/>
        <vertAlign val="baseline"/>
        <sz val="11"/>
        <color theme="1"/>
        <name val="Tw Cen MT"/>
        <family val="2"/>
        <scheme val="minor"/>
      </font>
      <border diagonalUp="0" diagonalDown="0">
        <left/>
        <right/>
        <top style="thin">
          <color theme="7" tint="0.39997558519241921"/>
        </top>
        <bottom/>
        <vertical/>
        <horizontal/>
      </border>
    </dxf>
    <dxf>
      <font>
        <b val="0"/>
        <i val="0"/>
        <strike val="0"/>
        <condense val="0"/>
        <extend val="0"/>
        <outline val="0"/>
        <shadow val="0"/>
        <u val="none"/>
        <vertAlign val="baseline"/>
        <sz val="11"/>
        <color theme="1"/>
        <name val="Tw Cen MT"/>
        <family val="2"/>
        <scheme val="minor"/>
      </font>
      <border diagonalUp="0" diagonalDown="0">
        <left/>
        <right/>
        <top style="thin">
          <color theme="7" tint="0.39997558519241921"/>
        </top>
        <bottom/>
        <vertical/>
        <horizontal/>
      </border>
    </dxf>
    <dxf>
      <font>
        <b val="0"/>
        <i val="0"/>
        <strike val="0"/>
        <condense val="0"/>
        <extend val="0"/>
        <outline val="0"/>
        <shadow val="0"/>
        <u val="none"/>
        <vertAlign val="baseline"/>
        <sz val="11"/>
        <color theme="1"/>
        <name val="Tw Cen MT"/>
        <family val="2"/>
        <scheme val="minor"/>
      </font>
      <fill>
        <patternFill patternType="solid">
          <fgColor theme="7" tint="0.79998168889431442"/>
          <bgColor theme="7" tint="0.79998168889431442"/>
        </patternFill>
      </fill>
      <border diagonalUp="0" diagonalDown="0">
        <left/>
        <right/>
        <top style="thin">
          <color theme="7" tint="0.39997558519241921"/>
        </top>
        <bottom/>
        <vertical/>
        <horizontal/>
      </border>
    </dxf>
    <dxf>
      <font>
        <b val="0"/>
        <i val="0"/>
        <strike val="0"/>
        <condense val="0"/>
        <extend val="0"/>
        <outline val="0"/>
        <shadow val="0"/>
        <u val="none"/>
        <vertAlign val="baseline"/>
        <sz val="11"/>
        <color theme="1"/>
        <name val="Tw Cen MT"/>
        <family val="2"/>
        <scheme val="minor"/>
      </font>
      <border diagonalUp="0" diagonalDown="0">
        <left/>
        <right/>
        <top style="thin">
          <color theme="7" tint="0.39997558519241921"/>
        </top>
        <bottom/>
        <vertical/>
        <horizontal/>
      </border>
    </dxf>
    <dxf>
      <border outline="0">
        <left style="thin">
          <color theme="7" tint="0.39997558519241921"/>
        </left>
        <right style="thin">
          <color theme="7" tint="0.39997558519241921"/>
        </right>
        <top style="thin">
          <color theme="7" tint="0.39997558519241921"/>
        </top>
      </border>
    </dxf>
    <dxf>
      <font>
        <b val="0"/>
        <i val="0"/>
        <strike val="0"/>
        <condense val="0"/>
        <extend val="0"/>
        <outline val="0"/>
        <shadow val="0"/>
        <u val="none"/>
        <vertAlign val="baseline"/>
        <sz val="11"/>
        <color theme="1"/>
        <name val="Tw Cen MT"/>
        <family val="2"/>
        <scheme val="minor"/>
      </font>
    </dxf>
    <dxf>
      <font>
        <b/>
        <i val="0"/>
        <strike val="0"/>
        <condense val="0"/>
        <extend val="0"/>
        <outline val="0"/>
        <shadow val="0"/>
        <u val="none"/>
        <vertAlign val="baseline"/>
        <sz val="11"/>
        <color theme="0"/>
        <name val="Tw Cen MT"/>
        <family val="2"/>
        <scheme val="minor"/>
      </font>
      <fill>
        <patternFill patternType="solid">
          <fgColor theme="7"/>
          <bgColor theme="7"/>
        </patternFill>
      </fill>
    </dxf>
    <dxf>
      <numFmt numFmtId="165" formatCode="&quot;₹&quot;\ #,##0"/>
    </dxf>
    <dxf>
      <numFmt numFmtId="165" formatCode="&quot;₹&quot;\ #,##0"/>
    </dxf>
    <dxf>
      <numFmt numFmtId="164" formatCode="_ [$₹-4009]\ * #,##0_ ;_ [$₹-4009]\ * \-#,##0_ ;_ [$₹-4009]\ * &quot;-&quot;??_ ;_ @_ "/>
    </dxf>
    <dxf>
      <numFmt numFmtId="14" formatCode="0.00%"/>
    </dxf>
    <dxf>
      <numFmt numFmtId="164" formatCode="_ [$₹-4009]\ * #,##0_ ;_ [$₹-4009]\ * \-#,##0_ ;_ [$₹-4009]\ * &quot;-&quot;??_ ;_ @_ "/>
    </dxf>
    <dxf>
      <numFmt numFmtId="164" formatCode="_ [$₹-4009]\ * #,##0_ ;_ [$₹-4009]\ * \-#,##0_ ;_ [$₹-4009]\ * &quot;-&quot;??_ ;_ @_ "/>
    </dxf>
    <dxf>
      <numFmt numFmtId="167" formatCode="_ * #,##0_ ;_ * \-#,##0_ ;_ * &quot;-&quot;??_ ;_ @_ "/>
    </dxf>
    <dxf>
      <numFmt numFmtId="13" formatCode="0%"/>
    </dxf>
    <dxf>
      <numFmt numFmtId="164" formatCode="_ [$₹-4009]\ * #,##0_ ;_ [$₹-4009]\ * \-#,##0_ ;_ [$₹-4009]\ * &quot;-&quot;??_ ;_ @_ "/>
    </dxf>
    <dxf>
      <font>
        <b val="0"/>
        <i val="0"/>
        <sz val="10"/>
        <color theme="0"/>
        <name val="Segoe UI Semibold"/>
        <family val="2"/>
        <scheme val="none"/>
      </font>
      <fill>
        <patternFill>
          <bgColor theme="3"/>
        </patternFill>
      </fill>
      <border>
        <left style="medium">
          <color theme="0"/>
        </left>
        <right style="medium">
          <color theme="0"/>
        </right>
        <top style="medium">
          <color theme="0"/>
        </top>
        <bottom style="medium">
          <color theme="0"/>
        </bottom>
        <vertical/>
        <horizontal style="medium">
          <color theme="3"/>
        </horizontal>
      </border>
    </dxf>
    <dxf>
      <fill>
        <patternFill>
          <bgColor theme="3"/>
        </patternFill>
      </fill>
    </dxf>
  </dxfs>
  <tableStyles count="1" defaultTableStyle="TableStyleMedium2" defaultPivotStyle="PivotStyleLight16">
    <tableStyle name="Slicer Style 1" pivot="0" table="0" count="10" xr9:uid="{B0DFA631-2725-45E0-BB84-01CED79F7347}">
      <tableStyleElement type="wholeTable" dxfId="33"/>
      <tableStyleElement type="headerRow" dxfId="32"/>
    </tableStyle>
  </tableStyles>
  <colors>
    <mruColors>
      <color rgb="FFCC0000"/>
      <color rgb="FFFF7C80"/>
      <color rgb="FFFF5050"/>
      <color rgb="FFFF0000"/>
    </mruColors>
  </colors>
  <extLst>
    <ext xmlns:x14="http://schemas.microsoft.com/office/spreadsheetml/2009/9/main" uri="{46F421CA-312F-682f-3DD2-61675219B42D}">
      <x14:dxfs count="8">
        <dxf>
          <font>
            <b val="0"/>
            <i val="0"/>
            <color theme="0" tint="-4.9989318521683403E-2"/>
            <name val="Sitka Banner Semibold"/>
            <scheme val="none"/>
          </font>
          <fill>
            <patternFill>
              <bgColor theme="4" tint="0.79998168889431442"/>
            </patternFill>
          </fill>
          <border>
            <left style="medium">
              <color auto="1"/>
            </left>
            <right style="medium">
              <color auto="1"/>
            </right>
            <top style="medium">
              <color auto="1"/>
            </top>
            <bottom style="medium">
              <color auto="1"/>
            </bottom>
          </border>
        </dxf>
        <dxf>
          <font>
            <b val="0"/>
            <i val="0"/>
            <sz val="10"/>
            <color theme="1"/>
            <name val="Sitka Subheading Semibold"/>
            <scheme val="none"/>
          </font>
          <fill>
            <patternFill>
              <bgColor theme="3" tint="0.79998168889431442"/>
            </patternFill>
          </fill>
          <border>
            <left style="medium">
              <color auto="1"/>
            </left>
            <right style="medium">
              <color auto="1"/>
            </right>
            <top style="medium">
              <color auto="1"/>
            </top>
            <bottom style="medium">
              <color auto="1"/>
            </bottom>
          </border>
        </dxf>
        <dxf>
          <font>
            <b val="0"/>
            <i val="0"/>
            <sz val="10"/>
            <color theme="1"/>
            <name val="Sitka Subheading Semibold"/>
            <scheme val="none"/>
          </font>
          <fill>
            <patternFill>
              <fgColor theme="3"/>
              <bgColor theme="0" tint="-0.14993743705557422"/>
            </patternFill>
          </fill>
          <border>
            <left style="medium">
              <color auto="1"/>
            </left>
            <right style="medium">
              <color auto="1"/>
            </right>
            <top style="medium">
              <color auto="1"/>
            </top>
            <bottom style="medium">
              <color auto="1"/>
            </bottom>
          </border>
        </dxf>
        <dxf>
          <font>
            <b val="0"/>
            <i val="0"/>
            <sz val="10"/>
            <color theme="1"/>
            <name val="Sitka Heading Semibold"/>
            <scheme val="none"/>
          </font>
          <fill>
            <patternFill>
              <bgColor theme="3" tint="0.79998168889431442"/>
            </patternFill>
          </fill>
          <border>
            <left style="medium">
              <color auto="1"/>
            </left>
            <right style="medium">
              <color auto="1"/>
            </right>
            <top style="medium">
              <color auto="1"/>
            </top>
            <bottom style="medium">
              <color auto="1"/>
            </bottom>
          </border>
        </dxf>
        <dxf>
          <font>
            <b val="0"/>
            <i val="0"/>
            <sz val="10"/>
            <color theme="0"/>
            <name val="Sitka Banner Semibold"/>
            <scheme val="none"/>
          </font>
          <fill>
            <patternFill>
              <bgColor theme="3" tint="0.59996337778862885"/>
            </patternFill>
          </fill>
          <border>
            <left style="medium">
              <color auto="1"/>
            </left>
            <right style="medium">
              <color auto="1"/>
            </right>
            <top style="medium">
              <color auto="1"/>
            </top>
            <bottom style="medium">
              <color auto="1"/>
            </bottom>
          </border>
        </dxf>
        <dxf>
          <font>
            <b val="0"/>
            <i val="0"/>
            <sz val="10"/>
            <color theme="0"/>
            <name val="Sitka Small Semibold"/>
            <scheme val="none"/>
          </font>
          <fill>
            <patternFill patternType="solid">
              <fgColor theme="4" tint="0.59996337778862885"/>
              <bgColor theme="3"/>
            </patternFill>
          </fill>
          <border>
            <left style="medium">
              <color theme="0"/>
            </left>
            <right style="medium">
              <color theme="0"/>
            </right>
            <top style="medium">
              <color theme="0"/>
            </top>
            <bottom style="medium">
              <color theme="0"/>
            </bottom>
          </border>
        </dxf>
        <dxf>
          <font>
            <b val="0"/>
            <i val="0"/>
            <sz val="10"/>
            <color theme="1"/>
            <name val="Sitka Subheading Semibold"/>
            <scheme val="none"/>
          </font>
          <fill>
            <patternFill>
              <fgColor theme="4" tint="0.79998168889431442"/>
              <bgColor theme="3"/>
            </patternFill>
          </fill>
          <border>
            <left style="medium">
              <color auto="1"/>
            </left>
            <right style="medium">
              <color auto="1"/>
            </right>
            <top style="medium">
              <color auto="1"/>
            </top>
            <bottom style="medium">
              <color auto="1"/>
            </bottom>
          </border>
        </dxf>
        <dxf>
          <font>
            <b val="0"/>
            <i val="0"/>
            <sz val="10"/>
            <color theme="1"/>
            <name val="Sitka Subheading Semibold"/>
            <scheme val="none"/>
          </font>
          <fill>
            <patternFill>
              <bgColor theme="3"/>
            </patternFill>
          </fill>
          <border>
            <left style="medium">
              <color auto="1"/>
            </left>
            <right style="medium">
              <color auto="1"/>
            </right>
            <top style="medium">
              <color auto="1"/>
            </top>
            <bottom style="medium">
              <color auto="1"/>
            </bottom>
          </border>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6.xml"/><Relationship Id="rId18" Type="http://schemas.microsoft.com/office/2007/relationships/slicerCache" Target="slicerCaches/slicerCache2.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styles" Target="styles.xml"/><Relationship Id="rId34" Type="http://schemas.openxmlformats.org/officeDocument/2006/relationships/customXml" Target="../customXml/item9.xml"/><Relationship Id="rId7" Type="http://schemas.openxmlformats.org/officeDocument/2006/relationships/worksheet" Target="worksheets/sheet7.xml"/><Relationship Id="rId12" Type="http://schemas.openxmlformats.org/officeDocument/2006/relationships/pivotCacheDefinition" Target="pivotCache/pivotCacheDefinition5.xml"/><Relationship Id="rId17" Type="http://schemas.microsoft.com/office/2007/relationships/slicerCache" Target="slicerCaches/slicerCache1.xml"/><Relationship Id="rId25" Type="http://schemas.openxmlformats.org/officeDocument/2006/relationships/calcChain" Target="calcChain.xml"/><Relationship Id="rId33" Type="http://schemas.openxmlformats.org/officeDocument/2006/relationships/customXml" Target="../customXml/item8.xml"/><Relationship Id="rId2" Type="http://schemas.openxmlformats.org/officeDocument/2006/relationships/worksheet" Target="worksheets/sheet2.xml"/><Relationship Id="rId16" Type="http://schemas.openxmlformats.org/officeDocument/2006/relationships/pivotCacheDefinition" Target="pivotCache/pivotCacheDefinition9.xml"/><Relationship Id="rId20" Type="http://schemas.openxmlformats.org/officeDocument/2006/relationships/connections" Target="connections.xml"/><Relationship Id="rId29"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24" Type="http://schemas.openxmlformats.org/officeDocument/2006/relationships/powerPivotData" Target="model/item.data"/><Relationship Id="rId32" Type="http://schemas.openxmlformats.org/officeDocument/2006/relationships/customXml" Target="../customXml/item7.xml"/><Relationship Id="rId5" Type="http://schemas.openxmlformats.org/officeDocument/2006/relationships/worksheet" Target="worksheets/sheet5.xml"/><Relationship Id="rId15" Type="http://schemas.openxmlformats.org/officeDocument/2006/relationships/pivotCacheDefinition" Target="pivotCache/pivotCacheDefinition8.xml"/><Relationship Id="rId23" Type="http://schemas.openxmlformats.org/officeDocument/2006/relationships/sheetMetadata" Target="metadata.xml"/><Relationship Id="rId28" Type="http://schemas.openxmlformats.org/officeDocument/2006/relationships/customXml" Target="../customXml/item3.xml"/><Relationship Id="rId36" Type="http://schemas.openxmlformats.org/officeDocument/2006/relationships/customXml" Target="../customXml/item11.xml"/><Relationship Id="rId10" Type="http://schemas.openxmlformats.org/officeDocument/2006/relationships/pivotCacheDefinition" Target="pivotCache/pivotCacheDefinition3.xml"/><Relationship Id="rId19" Type="http://schemas.openxmlformats.org/officeDocument/2006/relationships/theme" Target="theme/theme1.xml"/><Relationship Id="rId31" Type="http://schemas.openxmlformats.org/officeDocument/2006/relationships/customXml" Target="../customXml/item6.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pivotCacheDefinition" Target="pivotCache/pivotCacheDefinition7.xml"/><Relationship Id="rId22" Type="http://schemas.openxmlformats.org/officeDocument/2006/relationships/sharedStrings" Target="sharedStrings.xml"/><Relationship Id="rId27" Type="http://schemas.openxmlformats.org/officeDocument/2006/relationships/customXml" Target="../customXml/item2.xml"/><Relationship Id="rId30" Type="http://schemas.openxmlformats.org/officeDocument/2006/relationships/customXml" Target="../customXml/item5.xml"/><Relationship Id="rId35" Type="http://schemas.openxmlformats.org/officeDocument/2006/relationships/customXml" Target="../customXml/item10.xml"/><Relationship Id="rId8"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8.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3.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explosion val="10"/>
          <c:dPt>
            <c:idx val="0"/>
            <c:bubble3D val="0"/>
            <c:spPr>
              <a:solidFill>
                <a:schemeClr val="accent1">
                  <a:tint val="43000"/>
                </a:schemeClr>
              </a:solidFill>
              <a:ln w="19050">
                <a:solidFill>
                  <a:schemeClr val="lt1"/>
                </a:solidFill>
              </a:ln>
              <a:effectLst/>
            </c:spPr>
            <c:extLst>
              <c:ext xmlns:c16="http://schemas.microsoft.com/office/drawing/2014/chart" uri="{C3380CC4-5D6E-409C-BE32-E72D297353CC}">
                <c16:uniqueId val="{00000001-D1B7-4100-96DF-B10368F9F90D}"/>
              </c:ext>
            </c:extLst>
          </c:dPt>
          <c:dPt>
            <c:idx val="1"/>
            <c:bubble3D val="0"/>
            <c:spPr>
              <a:solidFill>
                <a:schemeClr val="accent1">
                  <a:tint val="56000"/>
                </a:schemeClr>
              </a:solidFill>
              <a:ln w="19050">
                <a:solidFill>
                  <a:schemeClr val="lt1"/>
                </a:solidFill>
              </a:ln>
              <a:effectLst/>
            </c:spPr>
            <c:extLst>
              <c:ext xmlns:c16="http://schemas.microsoft.com/office/drawing/2014/chart" uri="{C3380CC4-5D6E-409C-BE32-E72D297353CC}">
                <c16:uniqueId val="{00000003-D1B7-4100-96DF-B10368F9F90D}"/>
              </c:ext>
            </c:extLst>
          </c:dPt>
          <c:dPt>
            <c:idx val="2"/>
            <c:bubble3D val="0"/>
            <c:spPr>
              <a:solidFill>
                <a:schemeClr val="accent1">
                  <a:tint val="69000"/>
                </a:schemeClr>
              </a:solidFill>
              <a:ln w="19050">
                <a:solidFill>
                  <a:schemeClr val="lt1"/>
                </a:solidFill>
              </a:ln>
              <a:effectLst/>
            </c:spPr>
            <c:extLst>
              <c:ext xmlns:c16="http://schemas.microsoft.com/office/drawing/2014/chart" uri="{C3380CC4-5D6E-409C-BE32-E72D297353CC}">
                <c16:uniqueId val="{00000005-D1B7-4100-96DF-B10368F9F90D}"/>
              </c:ext>
            </c:extLst>
          </c:dPt>
          <c:dPt>
            <c:idx val="3"/>
            <c:bubble3D val="0"/>
            <c:spPr>
              <a:solidFill>
                <a:schemeClr val="accent1">
                  <a:tint val="81000"/>
                </a:schemeClr>
              </a:solidFill>
              <a:ln w="19050">
                <a:solidFill>
                  <a:schemeClr val="lt1"/>
                </a:solidFill>
              </a:ln>
              <a:effectLst/>
            </c:spPr>
            <c:extLst>
              <c:ext xmlns:c16="http://schemas.microsoft.com/office/drawing/2014/chart" uri="{C3380CC4-5D6E-409C-BE32-E72D297353CC}">
                <c16:uniqueId val="{00000007-D1B7-4100-96DF-B10368F9F90D}"/>
              </c:ext>
            </c:extLst>
          </c:dPt>
          <c:dPt>
            <c:idx val="4"/>
            <c:bubble3D val="0"/>
            <c:spPr>
              <a:solidFill>
                <a:schemeClr val="accent1">
                  <a:tint val="94000"/>
                </a:schemeClr>
              </a:solidFill>
              <a:ln w="19050">
                <a:solidFill>
                  <a:schemeClr val="lt1"/>
                </a:solidFill>
              </a:ln>
              <a:effectLst/>
            </c:spPr>
            <c:extLst>
              <c:ext xmlns:c16="http://schemas.microsoft.com/office/drawing/2014/chart" uri="{C3380CC4-5D6E-409C-BE32-E72D297353CC}">
                <c16:uniqueId val="{00000009-D1B7-4100-96DF-B10368F9F90D}"/>
              </c:ext>
            </c:extLst>
          </c:dPt>
          <c:dPt>
            <c:idx val="5"/>
            <c:bubble3D val="0"/>
            <c:spPr>
              <a:solidFill>
                <a:schemeClr val="accent1">
                  <a:shade val="93000"/>
                </a:schemeClr>
              </a:solidFill>
              <a:ln w="19050">
                <a:solidFill>
                  <a:schemeClr val="lt1"/>
                </a:solidFill>
              </a:ln>
              <a:effectLst/>
            </c:spPr>
            <c:extLst>
              <c:ext xmlns:c16="http://schemas.microsoft.com/office/drawing/2014/chart" uri="{C3380CC4-5D6E-409C-BE32-E72D297353CC}">
                <c16:uniqueId val="{0000000B-D1B7-4100-96DF-B10368F9F90D}"/>
              </c:ext>
            </c:extLst>
          </c:dPt>
          <c:dPt>
            <c:idx val="6"/>
            <c:bubble3D val="0"/>
            <c:spPr>
              <a:solidFill>
                <a:schemeClr val="accent1">
                  <a:shade val="80000"/>
                </a:schemeClr>
              </a:solidFill>
              <a:ln w="19050">
                <a:solidFill>
                  <a:schemeClr val="lt1"/>
                </a:solidFill>
              </a:ln>
              <a:effectLst/>
            </c:spPr>
            <c:extLst>
              <c:ext xmlns:c16="http://schemas.microsoft.com/office/drawing/2014/chart" uri="{C3380CC4-5D6E-409C-BE32-E72D297353CC}">
                <c16:uniqueId val="{0000000D-D1B7-4100-96DF-B10368F9F90D}"/>
              </c:ext>
            </c:extLst>
          </c:dPt>
          <c:dPt>
            <c:idx val="7"/>
            <c:bubble3D val="0"/>
            <c:spPr>
              <a:solidFill>
                <a:schemeClr val="accent1">
                  <a:shade val="68000"/>
                </a:schemeClr>
              </a:solidFill>
              <a:ln w="19050">
                <a:solidFill>
                  <a:schemeClr val="lt1"/>
                </a:solidFill>
              </a:ln>
              <a:effectLst/>
            </c:spPr>
            <c:extLst>
              <c:ext xmlns:c16="http://schemas.microsoft.com/office/drawing/2014/chart" uri="{C3380CC4-5D6E-409C-BE32-E72D297353CC}">
                <c16:uniqueId val="{0000000F-D1B7-4100-96DF-B10368F9F90D}"/>
              </c:ext>
            </c:extLst>
          </c:dPt>
          <c:dPt>
            <c:idx val="8"/>
            <c:bubble3D val="0"/>
            <c:spPr>
              <a:solidFill>
                <a:schemeClr val="accent1">
                  <a:shade val="55000"/>
                </a:schemeClr>
              </a:solidFill>
              <a:ln w="19050">
                <a:solidFill>
                  <a:schemeClr val="lt1"/>
                </a:solidFill>
              </a:ln>
              <a:effectLst/>
            </c:spPr>
            <c:extLst>
              <c:ext xmlns:c16="http://schemas.microsoft.com/office/drawing/2014/chart" uri="{C3380CC4-5D6E-409C-BE32-E72D297353CC}">
                <c16:uniqueId val="{00000011-D1B7-4100-96DF-B10368F9F90D}"/>
              </c:ext>
            </c:extLst>
          </c:dPt>
          <c:dPt>
            <c:idx val="9"/>
            <c:bubble3D val="0"/>
            <c:spPr>
              <a:solidFill>
                <a:schemeClr val="accent1">
                  <a:shade val="42000"/>
                </a:schemeClr>
              </a:solidFill>
              <a:ln w="19050">
                <a:solidFill>
                  <a:schemeClr val="lt1"/>
                </a:solidFill>
              </a:ln>
              <a:effectLst/>
            </c:spPr>
            <c:extLst>
              <c:ext xmlns:c16="http://schemas.microsoft.com/office/drawing/2014/chart" uri="{C3380CC4-5D6E-409C-BE32-E72D297353CC}">
                <c16:uniqueId val="{00000013-D1B7-4100-96DF-B10368F9F90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alpha val="90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1 '!$L$46:$L$55</c:f>
              <c:strCache>
                <c:ptCount val="10"/>
                <c:pt idx="0">
                  <c:v>Haier</c:v>
                </c:pt>
                <c:pt idx="1">
                  <c:v>Iffalcon By Tcl</c:v>
                </c:pt>
                <c:pt idx="2">
                  <c:v>Lg</c:v>
                </c:pt>
                <c:pt idx="3">
                  <c:v>Lloyd</c:v>
                </c:pt>
                <c:pt idx="4">
                  <c:v>Panasonic</c:v>
                </c:pt>
                <c:pt idx="5">
                  <c:v>Philips</c:v>
                </c:pt>
                <c:pt idx="6">
                  <c:v>Samsung</c:v>
                </c:pt>
                <c:pt idx="7">
                  <c:v>Sony</c:v>
                </c:pt>
                <c:pt idx="8">
                  <c:v>Tcl</c:v>
                </c:pt>
                <c:pt idx="9">
                  <c:v>Vu</c:v>
                </c:pt>
              </c:strCache>
            </c:strRef>
          </c:cat>
          <c:val>
            <c:numRef>
              <c:f>'Pivot 1 '!$M$46:$M$55</c:f>
              <c:numCache>
                <c:formatCode>_ * #,##0_ ;_ * \-#,##0_ ;_ * "-"??_ ;_ @_ </c:formatCode>
                <c:ptCount val="10"/>
                <c:pt idx="0">
                  <c:v>330489</c:v>
                </c:pt>
                <c:pt idx="1">
                  <c:v>869365</c:v>
                </c:pt>
                <c:pt idx="2">
                  <c:v>4694988</c:v>
                </c:pt>
                <c:pt idx="3">
                  <c:v>408984</c:v>
                </c:pt>
                <c:pt idx="4">
                  <c:v>654011</c:v>
                </c:pt>
                <c:pt idx="5">
                  <c:v>507905</c:v>
                </c:pt>
                <c:pt idx="6">
                  <c:v>3591973</c:v>
                </c:pt>
                <c:pt idx="7">
                  <c:v>2545139</c:v>
                </c:pt>
                <c:pt idx="8">
                  <c:v>1916728</c:v>
                </c:pt>
                <c:pt idx="9">
                  <c:v>448537</c:v>
                </c:pt>
              </c:numCache>
            </c:numRef>
          </c:val>
          <c:extLst>
            <c:ext xmlns:c16="http://schemas.microsoft.com/office/drawing/2014/chart" uri="{C3380CC4-5D6E-409C-BE32-E72D297353CC}">
              <c16:uniqueId val="{00000000-F643-4ADC-803D-FBE143132125}"/>
            </c:ext>
          </c:extLst>
        </c:ser>
        <c:dLbls>
          <c:showLegendKey val="0"/>
          <c:showVal val="0"/>
          <c:showCatName val="0"/>
          <c:showSerName val="0"/>
          <c:showPercent val="1"/>
          <c:showBubbleSize val="0"/>
          <c:showLeaderLines val="1"/>
        </c:dLbls>
        <c:firstSliceAng val="0"/>
        <c:holeSize val="58"/>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TV Dashboard.xlsx]Sheet1!PivotTable1</c:name>
    <c:fmtId val="0"/>
  </c:pivotSource>
  <c:chart>
    <c:autoTitleDeleted val="0"/>
    <c:pivotFmts>
      <c:pivotFmt>
        <c:idx val="0"/>
        <c:spPr>
          <a:solidFill>
            <a:schemeClr val="bg1">
              <a:lumMod val="85000"/>
            </a:schemeClr>
          </a:solidFill>
          <a:ln>
            <a:noFill/>
          </a:ln>
          <a:effectLst>
            <a:outerShdw blurRad="50800" dist="50800" dir="5400000" algn="ctr" rotWithShape="0">
              <a:schemeClr val="bg1">
                <a:lumMod val="85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tx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tx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tx2"/>
          </a:solidFill>
          <a:ln>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913517060367454"/>
          <c:y val="7.0682779235928847E-2"/>
          <c:w val="0.80999671916010496"/>
          <c:h val="0.85322105570137063"/>
        </c:manualLayout>
      </c:layout>
      <c:areaChart>
        <c:grouping val="stacked"/>
        <c:varyColors val="0"/>
        <c:ser>
          <c:idx val="0"/>
          <c:order val="0"/>
          <c:tx>
            <c:strRef>
              <c:f>Sheet1!$I$35:$I$36</c:f>
              <c:strCache>
                <c:ptCount val="1"/>
                <c:pt idx="0">
                  <c:v>Full HD LED</c:v>
                </c:pt>
              </c:strCache>
            </c:strRef>
          </c:tx>
          <c:spPr>
            <a:solidFill>
              <a:schemeClr val="bg1">
                <a:lumMod val="85000"/>
              </a:schemeClr>
            </a:solidFill>
            <a:ln>
              <a:noFill/>
            </a:ln>
            <a:effectLst>
              <a:outerShdw blurRad="50800" dist="50800" dir="5400000" algn="ctr" rotWithShape="0">
                <a:schemeClr val="bg1">
                  <a:lumMod val="85000"/>
                </a:schemeClr>
              </a:outerShdw>
            </a:effectLst>
          </c:spPr>
          <c:cat>
            <c:strRef>
              <c:f>Sheet1!$H$37:$H$45</c:f>
              <c:strCache>
                <c:ptCount val="8"/>
                <c:pt idx="0">
                  <c:v>0%</c:v>
                </c:pt>
                <c:pt idx="1">
                  <c:v>10%</c:v>
                </c:pt>
                <c:pt idx="2">
                  <c:v>20%</c:v>
                </c:pt>
                <c:pt idx="3">
                  <c:v>30%</c:v>
                </c:pt>
                <c:pt idx="4">
                  <c:v>40%</c:v>
                </c:pt>
                <c:pt idx="5">
                  <c:v>50%</c:v>
                </c:pt>
                <c:pt idx="6">
                  <c:v>60%</c:v>
                </c:pt>
                <c:pt idx="7">
                  <c:v>70%</c:v>
                </c:pt>
              </c:strCache>
            </c:strRef>
          </c:cat>
          <c:val>
            <c:numRef>
              <c:f>Sheet1!$I$37:$I$45</c:f>
              <c:numCache>
                <c:formatCode>General</c:formatCode>
                <c:ptCount val="8"/>
                <c:pt idx="0">
                  <c:v>7182990</c:v>
                </c:pt>
                <c:pt idx="1">
                  <c:v>948599</c:v>
                </c:pt>
                <c:pt idx="2">
                  <c:v>1390376</c:v>
                </c:pt>
                <c:pt idx="3">
                  <c:v>1232486</c:v>
                </c:pt>
                <c:pt idx="4">
                  <c:v>1482054</c:v>
                </c:pt>
                <c:pt idx="5">
                  <c:v>972646</c:v>
                </c:pt>
                <c:pt idx="6">
                  <c:v>503940</c:v>
                </c:pt>
                <c:pt idx="7">
                  <c:v>47990</c:v>
                </c:pt>
              </c:numCache>
            </c:numRef>
          </c:val>
          <c:extLst>
            <c:ext xmlns:c16="http://schemas.microsoft.com/office/drawing/2014/chart" uri="{C3380CC4-5D6E-409C-BE32-E72D297353CC}">
              <c16:uniqueId val="{00000000-60B1-4DEB-9605-46255120A558}"/>
            </c:ext>
          </c:extLst>
        </c:ser>
        <c:ser>
          <c:idx val="1"/>
          <c:order val="1"/>
          <c:tx>
            <c:strRef>
              <c:f>Sheet1!$J$35:$J$36</c:f>
              <c:strCache>
                <c:ptCount val="1"/>
                <c:pt idx="0">
                  <c:v>HD LED</c:v>
                </c:pt>
              </c:strCache>
            </c:strRef>
          </c:tx>
          <c:spPr>
            <a:solidFill>
              <a:schemeClr val="tx2">
                <a:lumMod val="40000"/>
                <a:lumOff val="60000"/>
              </a:schemeClr>
            </a:solidFill>
            <a:ln>
              <a:noFill/>
            </a:ln>
            <a:effectLst/>
          </c:spPr>
          <c:cat>
            <c:strRef>
              <c:f>Sheet1!$H$37:$H$45</c:f>
              <c:strCache>
                <c:ptCount val="8"/>
                <c:pt idx="0">
                  <c:v>0%</c:v>
                </c:pt>
                <c:pt idx="1">
                  <c:v>10%</c:v>
                </c:pt>
                <c:pt idx="2">
                  <c:v>20%</c:v>
                </c:pt>
                <c:pt idx="3">
                  <c:v>30%</c:v>
                </c:pt>
                <c:pt idx="4">
                  <c:v>40%</c:v>
                </c:pt>
                <c:pt idx="5">
                  <c:v>50%</c:v>
                </c:pt>
                <c:pt idx="6">
                  <c:v>60%</c:v>
                </c:pt>
                <c:pt idx="7">
                  <c:v>70%</c:v>
                </c:pt>
              </c:strCache>
            </c:strRef>
          </c:cat>
          <c:val>
            <c:numRef>
              <c:f>Sheet1!$J$37:$J$45</c:f>
              <c:numCache>
                <c:formatCode>General</c:formatCode>
                <c:ptCount val="8"/>
                <c:pt idx="0">
                  <c:v>565016</c:v>
                </c:pt>
                <c:pt idx="1">
                  <c:v>637155</c:v>
                </c:pt>
                <c:pt idx="2">
                  <c:v>785389</c:v>
                </c:pt>
                <c:pt idx="3">
                  <c:v>1111290</c:v>
                </c:pt>
                <c:pt idx="4">
                  <c:v>846158</c:v>
                </c:pt>
                <c:pt idx="5">
                  <c:v>736967</c:v>
                </c:pt>
                <c:pt idx="6">
                  <c:v>203158</c:v>
                </c:pt>
                <c:pt idx="7">
                  <c:v>86970</c:v>
                </c:pt>
              </c:numCache>
            </c:numRef>
          </c:val>
          <c:extLst>
            <c:ext xmlns:c16="http://schemas.microsoft.com/office/drawing/2014/chart" uri="{C3380CC4-5D6E-409C-BE32-E72D297353CC}">
              <c16:uniqueId val="{00000001-60B1-4DEB-9605-46255120A558}"/>
            </c:ext>
          </c:extLst>
        </c:ser>
        <c:ser>
          <c:idx val="2"/>
          <c:order val="2"/>
          <c:tx>
            <c:strRef>
              <c:f>Sheet1!$K$35:$K$36</c:f>
              <c:strCache>
                <c:ptCount val="1"/>
                <c:pt idx="0">
                  <c:v>HD Plasma</c:v>
                </c:pt>
              </c:strCache>
            </c:strRef>
          </c:tx>
          <c:spPr>
            <a:solidFill>
              <a:schemeClr val="accent3"/>
            </a:solidFill>
            <a:ln>
              <a:noFill/>
            </a:ln>
            <a:effectLst/>
          </c:spPr>
          <c:cat>
            <c:strRef>
              <c:f>Sheet1!$H$37:$H$45</c:f>
              <c:strCache>
                <c:ptCount val="8"/>
                <c:pt idx="0">
                  <c:v>0%</c:v>
                </c:pt>
                <c:pt idx="1">
                  <c:v>10%</c:v>
                </c:pt>
                <c:pt idx="2">
                  <c:v>20%</c:v>
                </c:pt>
                <c:pt idx="3">
                  <c:v>30%</c:v>
                </c:pt>
                <c:pt idx="4">
                  <c:v>40%</c:v>
                </c:pt>
                <c:pt idx="5">
                  <c:v>50%</c:v>
                </c:pt>
                <c:pt idx="6">
                  <c:v>60%</c:v>
                </c:pt>
                <c:pt idx="7">
                  <c:v>70%</c:v>
                </c:pt>
              </c:strCache>
            </c:strRef>
          </c:cat>
          <c:val>
            <c:numRef>
              <c:f>Sheet1!$K$37:$K$45</c:f>
              <c:numCache>
                <c:formatCode>General</c:formatCode>
                <c:ptCount val="8"/>
                <c:pt idx="0">
                  <c:v>228980</c:v>
                </c:pt>
              </c:numCache>
            </c:numRef>
          </c:val>
          <c:extLst>
            <c:ext xmlns:c16="http://schemas.microsoft.com/office/drawing/2014/chart" uri="{C3380CC4-5D6E-409C-BE32-E72D297353CC}">
              <c16:uniqueId val="{00000002-60B1-4DEB-9605-46255120A558}"/>
            </c:ext>
          </c:extLst>
        </c:ser>
        <c:ser>
          <c:idx val="3"/>
          <c:order val="3"/>
          <c:tx>
            <c:strRef>
              <c:f>Sheet1!$L$35:$L$36</c:f>
              <c:strCache>
                <c:ptCount val="1"/>
                <c:pt idx="0">
                  <c:v>QLED Ultra HD</c:v>
                </c:pt>
              </c:strCache>
            </c:strRef>
          </c:tx>
          <c:spPr>
            <a:solidFill>
              <a:schemeClr val="tx2">
                <a:lumMod val="60000"/>
                <a:lumOff val="40000"/>
              </a:schemeClr>
            </a:solidFill>
            <a:ln>
              <a:noFill/>
            </a:ln>
            <a:effectLst/>
          </c:spPr>
          <c:cat>
            <c:strRef>
              <c:f>Sheet1!$H$37:$H$45</c:f>
              <c:strCache>
                <c:ptCount val="8"/>
                <c:pt idx="0">
                  <c:v>0%</c:v>
                </c:pt>
                <c:pt idx="1">
                  <c:v>10%</c:v>
                </c:pt>
                <c:pt idx="2">
                  <c:v>20%</c:v>
                </c:pt>
                <c:pt idx="3">
                  <c:v>30%</c:v>
                </c:pt>
                <c:pt idx="4">
                  <c:v>40%</c:v>
                </c:pt>
                <c:pt idx="5">
                  <c:v>50%</c:v>
                </c:pt>
                <c:pt idx="6">
                  <c:v>60%</c:v>
                </c:pt>
                <c:pt idx="7">
                  <c:v>70%</c:v>
                </c:pt>
              </c:strCache>
            </c:strRef>
          </c:cat>
          <c:val>
            <c:numRef>
              <c:f>Sheet1!$L$37:$L$45</c:f>
              <c:numCache>
                <c:formatCode>General</c:formatCode>
                <c:ptCount val="8"/>
                <c:pt idx="0">
                  <c:v>1777679</c:v>
                </c:pt>
                <c:pt idx="1">
                  <c:v>626679</c:v>
                </c:pt>
                <c:pt idx="2">
                  <c:v>1696289</c:v>
                </c:pt>
                <c:pt idx="3">
                  <c:v>2142359</c:v>
                </c:pt>
                <c:pt idx="4">
                  <c:v>2257969</c:v>
                </c:pt>
                <c:pt idx="5">
                  <c:v>899680</c:v>
                </c:pt>
                <c:pt idx="6">
                  <c:v>1226940</c:v>
                </c:pt>
                <c:pt idx="7">
                  <c:v>189990</c:v>
                </c:pt>
              </c:numCache>
            </c:numRef>
          </c:val>
          <c:extLst>
            <c:ext xmlns:c16="http://schemas.microsoft.com/office/drawing/2014/chart" uri="{C3380CC4-5D6E-409C-BE32-E72D297353CC}">
              <c16:uniqueId val="{00000003-60B1-4DEB-9605-46255120A558}"/>
            </c:ext>
          </c:extLst>
        </c:ser>
        <c:ser>
          <c:idx val="4"/>
          <c:order val="4"/>
          <c:tx>
            <c:strRef>
              <c:f>Sheet1!$M$35:$M$36</c:f>
              <c:strCache>
                <c:ptCount val="1"/>
                <c:pt idx="0">
                  <c:v>Ultra HD LED</c:v>
                </c:pt>
              </c:strCache>
            </c:strRef>
          </c:tx>
          <c:spPr>
            <a:solidFill>
              <a:schemeClr val="tx2"/>
            </a:solidFill>
            <a:ln>
              <a:noFill/>
            </a:ln>
            <a:effectLst>
              <a:outerShdw blurRad="50800" dist="38100" dir="2700000" algn="tl" rotWithShape="0">
                <a:prstClr val="black">
                  <a:alpha val="40000"/>
                </a:prstClr>
              </a:outerShdw>
            </a:effectLst>
          </c:spPr>
          <c:cat>
            <c:strRef>
              <c:f>Sheet1!$H$37:$H$45</c:f>
              <c:strCache>
                <c:ptCount val="8"/>
                <c:pt idx="0">
                  <c:v>0%</c:v>
                </c:pt>
                <c:pt idx="1">
                  <c:v>10%</c:v>
                </c:pt>
                <c:pt idx="2">
                  <c:v>20%</c:v>
                </c:pt>
                <c:pt idx="3">
                  <c:v>30%</c:v>
                </c:pt>
                <c:pt idx="4">
                  <c:v>40%</c:v>
                </c:pt>
                <c:pt idx="5">
                  <c:v>50%</c:v>
                </c:pt>
                <c:pt idx="6">
                  <c:v>60%</c:v>
                </c:pt>
                <c:pt idx="7">
                  <c:v>70%</c:v>
                </c:pt>
              </c:strCache>
            </c:strRef>
          </c:cat>
          <c:val>
            <c:numRef>
              <c:f>Sheet1!$M$37:$M$45</c:f>
              <c:numCache>
                <c:formatCode>General</c:formatCode>
                <c:ptCount val="8"/>
                <c:pt idx="0">
                  <c:v>6296997</c:v>
                </c:pt>
                <c:pt idx="1">
                  <c:v>1832412</c:v>
                </c:pt>
                <c:pt idx="2">
                  <c:v>5762579</c:v>
                </c:pt>
                <c:pt idx="3">
                  <c:v>11356921</c:v>
                </c:pt>
                <c:pt idx="4">
                  <c:v>10669947</c:v>
                </c:pt>
                <c:pt idx="5">
                  <c:v>7302410</c:v>
                </c:pt>
                <c:pt idx="6">
                  <c:v>1496400</c:v>
                </c:pt>
                <c:pt idx="7">
                  <c:v>263980</c:v>
                </c:pt>
              </c:numCache>
            </c:numRef>
          </c:val>
          <c:extLst>
            <c:ext xmlns:c16="http://schemas.microsoft.com/office/drawing/2014/chart" uri="{C3380CC4-5D6E-409C-BE32-E72D297353CC}">
              <c16:uniqueId val="{00000004-60B1-4DEB-9605-46255120A558}"/>
            </c:ext>
          </c:extLst>
        </c:ser>
        <c:dLbls>
          <c:showLegendKey val="0"/>
          <c:showVal val="0"/>
          <c:showCatName val="0"/>
          <c:showSerName val="0"/>
          <c:showPercent val="0"/>
          <c:showBubbleSize val="0"/>
        </c:dLbls>
        <c:axId val="307201583"/>
        <c:axId val="307204463"/>
      </c:areaChart>
      <c:catAx>
        <c:axId val="30720158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7204463"/>
        <c:crosses val="autoZero"/>
        <c:auto val="1"/>
        <c:lblAlgn val="ctr"/>
        <c:lblOffset val="100"/>
        <c:noMultiLvlLbl val="0"/>
      </c:catAx>
      <c:valAx>
        <c:axId val="307204463"/>
        <c:scaling>
          <c:orientation val="minMax"/>
        </c:scaling>
        <c:delete val="0"/>
        <c:axPos val="l"/>
        <c:numFmt formatCode="&quot;₹&quot;\ 0,,\ &quot;M&quot;" sourceLinked="0"/>
        <c:majorTickMark val="out"/>
        <c:minorTickMark val="out"/>
        <c:tickLblPos val="nextTo"/>
        <c:spPr>
          <a:noFill/>
          <a:ln>
            <a:solidFill>
              <a:schemeClr val="accent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7201583"/>
        <c:crosses val="autoZero"/>
        <c:crossBetween val="midCat"/>
      </c:valAx>
      <c:spPr>
        <a:noFill/>
        <a:ln>
          <a:noFill/>
        </a:ln>
        <a:effectLst/>
      </c:spPr>
    </c:plotArea>
    <c:legend>
      <c:legendPos val="r"/>
      <c:layout>
        <c:manualLayout>
          <c:xMode val="edge"/>
          <c:yMode val="edge"/>
          <c:x val="0.72986001749781282"/>
          <c:y val="3.5856663750364545E-2"/>
          <c:w val="0.25347331583552057"/>
          <c:h val="0.29865667833187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875968992248062E-2"/>
          <c:y val="0.14408866995073893"/>
          <c:w val="0.96124035698905752"/>
          <c:h val="0.84210369746319258"/>
        </c:manualLayout>
      </c:layout>
      <c:barChart>
        <c:barDir val="bar"/>
        <c:grouping val="stacked"/>
        <c:varyColors val="0"/>
        <c:ser>
          <c:idx val="0"/>
          <c:order val="0"/>
          <c:spPr>
            <a:solidFill>
              <a:schemeClr val="tx2"/>
            </a:solidFill>
            <a:ln>
              <a:solidFill>
                <a:sysClr val="windowText" lastClr="000000"/>
              </a:solidFill>
            </a:ln>
            <a:effectLst/>
          </c:spPr>
          <c:invertIfNegative val="0"/>
          <c:dLbls>
            <c:numFmt formatCode="&quot;₹&quot;\ #,##0" sourceLinked="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lang="en-US" sz="10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accentCallout1">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'Top 5 selling and original pric'!$E$4:$E$8</c:f>
              <c:strCache>
                <c:ptCount val="5"/>
                <c:pt idx="0">
                  <c:v>Hisense</c:v>
                </c:pt>
                <c:pt idx="1">
                  <c:v>Samsung</c:v>
                </c:pt>
                <c:pt idx="2">
                  <c:v>Sony </c:v>
                </c:pt>
                <c:pt idx="3">
                  <c:v>Sharp </c:v>
                </c:pt>
                <c:pt idx="4">
                  <c:v>Samsung</c:v>
                </c:pt>
              </c:strCache>
            </c:strRef>
          </c:cat>
          <c:val>
            <c:numRef>
              <c:f>'Top 5 selling and original pric'!$F$4:$F$8</c:f>
              <c:numCache>
                <c:formatCode>General</c:formatCode>
                <c:ptCount val="5"/>
                <c:pt idx="0">
                  <c:v>499990</c:v>
                </c:pt>
                <c:pt idx="1">
                  <c:v>470900</c:v>
                </c:pt>
                <c:pt idx="2">
                  <c:v>469999</c:v>
                </c:pt>
                <c:pt idx="3">
                  <c:v>449900</c:v>
                </c:pt>
                <c:pt idx="4">
                  <c:v>419900</c:v>
                </c:pt>
              </c:numCache>
            </c:numRef>
          </c:val>
          <c:extLst>
            <c:ext xmlns:c16="http://schemas.microsoft.com/office/drawing/2014/chart" uri="{C3380CC4-5D6E-409C-BE32-E72D297353CC}">
              <c16:uniqueId val="{00000000-734F-42B5-B3F6-BB0C4EE3B745}"/>
            </c:ext>
          </c:extLst>
        </c:ser>
        <c:dLbls>
          <c:showLegendKey val="0"/>
          <c:showVal val="0"/>
          <c:showCatName val="0"/>
          <c:showSerName val="0"/>
          <c:showPercent val="0"/>
          <c:showBubbleSize val="0"/>
        </c:dLbls>
        <c:gapWidth val="150"/>
        <c:overlap val="100"/>
        <c:axId val="1603335664"/>
        <c:axId val="1603332784"/>
      </c:barChart>
      <c:catAx>
        <c:axId val="1603335664"/>
        <c:scaling>
          <c:orientation val="maxMin"/>
        </c:scaling>
        <c:delete val="1"/>
        <c:axPos val="l"/>
        <c:numFmt formatCode="General" sourceLinked="1"/>
        <c:majorTickMark val="none"/>
        <c:minorTickMark val="none"/>
        <c:tickLblPos val="nextTo"/>
        <c:crossAx val="1603332784"/>
        <c:crosses val="autoZero"/>
        <c:auto val="1"/>
        <c:lblAlgn val="ctr"/>
        <c:lblOffset val="100"/>
        <c:noMultiLvlLbl val="0"/>
      </c:catAx>
      <c:valAx>
        <c:axId val="1603332784"/>
        <c:scaling>
          <c:orientation val="minMax"/>
        </c:scaling>
        <c:delete val="1"/>
        <c:axPos val="t"/>
        <c:majorGridlines>
          <c:spPr>
            <a:ln w="9525" cap="flat" cmpd="sng" algn="ctr">
              <a:noFill/>
              <a:round/>
            </a:ln>
            <a:effectLst/>
          </c:spPr>
        </c:majorGridlines>
        <c:numFmt formatCode="General" sourceLinked="1"/>
        <c:majorTickMark val="none"/>
        <c:minorTickMark val="none"/>
        <c:tickLblPos val="nextTo"/>
        <c:crossAx val="16033356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noFill/>
      <a:round/>
    </a:ln>
    <a:effectLst>
      <a:outerShdw blurRad="50800" dist="38100" dir="2700000" algn="tl" rotWithShape="0">
        <a:prstClr val="black">
          <a:alpha val="40000"/>
        </a:prstClr>
      </a:outerShdw>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3333283897959462E-2"/>
          <c:y val="0.10619054707893814"/>
          <c:w val="0.95725187331164729"/>
          <c:h val="0.86905434556186245"/>
        </c:manualLayout>
      </c:layout>
      <c:barChart>
        <c:barDir val="bar"/>
        <c:grouping val="stacked"/>
        <c:varyColors val="0"/>
        <c:ser>
          <c:idx val="0"/>
          <c:order val="0"/>
          <c:spPr>
            <a:solidFill>
              <a:schemeClr val="tx2"/>
            </a:solidFill>
            <a:ln>
              <a:noFill/>
            </a:ln>
            <a:effectLst/>
          </c:spPr>
          <c:invertIfNegative val="0"/>
          <c:dLbls>
            <c:dLbl>
              <c:idx val="0"/>
              <c:dLblPos val="in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975D-433B-A3AE-08E7B3D1D3C4}"/>
                </c:ext>
              </c:extLst>
            </c:dLbl>
            <c:numFmt formatCode="&quot;₹&quot;\ #,##0" sourceLinked="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dk1">
                        <a:lumMod val="65000"/>
                        <a:lumOff val="35000"/>
                      </a:schemeClr>
                    </a:solidFill>
                    <a:latin typeface="Segoe UI Semibold" panose="020B0702040204020203" pitchFamily="34" charset="0"/>
                    <a:ea typeface="+mn-ea"/>
                    <a:cs typeface="+mn-cs"/>
                  </a:defRPr>
                </a:pPr>
                <a:endParaRPr lang="en-US"/>
              </a:p>
            </c:txPr>
            <c:dLblPos val="inEnd"/>
            <c:showLegendKey val="0"/>
            <c:showVal val="1"/>
            <c:showCatName val="0"/>
            <c:showSerName val="0"/>
            <c:showPercent val="0"/>
            <c:showBubbleSize val="0"/>
            <c:separator>, </c:separator>
            <c:showLeaderLines val="0"/>
            <c:extLst>
              <c:ext xmlns:c15="http://schemas.microsoft.com/office/drawing/2012/chart" uri="{CE6537A1-D6FC-4f65-9D91-7224C49458BB}">
                <c15:spPr xmlns:c15="http://schemas.microsoft.com/office/drawing/2012/chart">
                  <a:prstGeom prst="accentCallout1">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'Top 5 selling and original pric'!$E$11:$E$15</c:f>
              <c:strCache>
                <c:ptCount val="5"/>
                <c:pt idx="0">
                  <c:v>Lg </c:v>
                </c:pt>
                <c:pt idx="1">
                  <c:v>Sony </c:v>
                </c:pt>
                <c:pt idx="2">
                  <c:v>Lg </c:v>
                </c:pt>
                <c:pt idx="3">
                  <c:v>Hisense</c:v>
                </c:pt>
                <c:pt idx="4">
                  <c:v>Sony </c:v>
                </c:pt>
              </c:strCache>
            </c:strRef>
          </c:cat>
          <c:val>
            <c:numRef>
              <c:f>'Top 5 selling and original pric'!$F$11:$F$15</c:f>
              <c:numCache>
                <c:formatCode>General</c:formatCode>
                <c:ptCount val="5"/>
                <c:pt idx="0">
                  <c:v>549990</c:v>
                </c:pt>
                <c:pt idx="1">
                  <c:v>529900</c:v>
                </c:pt>
                <c:pt idx="2">
                  <c:v>499990</c:v>
                </c:pt>
                <c:pt idx="3">
                  <c:v>499990</c:v>
                </c:pt>
                <c:pt idx="4">
                  <c:v>499900</c:v>
                </c:pt>
              </c:numCache>
            </c:numRef>
          </c:val>
          <c:extLst>
            <c:ext xmlns:c16="http://schemas.microsoft.com/office/drawing/2014/chart" uri="{C3380CC4-5D6E-409C-BE32-E72D297353CC}">
              <c16:uniqueId val="{00000001-975D-433B-A3AE-08E7B3D1D3C4}"/>
            </c:ext>
          </c:extLst>
        </c:ser>
        <c:dLbls>
          <c:showLegendKey val="0"/>
          <c:showVal val="0"/>
          <c:showCatName val="0"/>
          <c:showSerName val="0"/>
          <c:showPercent val="0"/>
          <c:showBubbleSize val="0"/>
        </c:dLbls>
        <c:gapWidth val="150"/>
        <c:overlap val="100"/>
        <c:axId val="1645806960"/>
        <c:axId val="1645802640"/>
      </c:barChart>
      <c:catAx>
        <c:axId val="1645806960"/>
        <c:scaling>
          <c:orientation val="maxMin"/>
        </c:scaling>
        <c:delete val="1"/>
        <c:axPos val="l"/>
        <c:numFmt formatCode="General" sourceLinked="1"/>
        <c:majorTickMark val="none"/>
        <c:minorTickMark val="none"/>
        <c:tickLblPos val="nextTo"/>
        <c:crossAx val="1645802640"/>
        <c:crosses val="autoZero"/>
        <c:auto val="1"/>
        <c:lblAlgn val="ctr"/>
        <c:lblOffset val="100"/>
        <c:noMultiLvlLbl val="0"/>
      </c:catAx>
      <c:valAx>
        <c:axId val="1645802640"/>
        <c:scaling>
          <c:orientation val="minMax"/>
        </c:scaling>
        <c:delete val="1"/>
        <c:axPos val="t"/>
        <c:majorGridlines>
          <c:spPr>
            <a:ln w="9525" cap="flat" cmpd="sng" algn="ctr">
              <a:noFill/>
              <a:round/>
            </a:ln>
            <a:effectLst/>
          </c:spPr>
        </c:majorGridlines>
        <c:numFmt formatCode="General" sourceLinked="1"/>
        <c:majorTickMark val="none"/>
        <c:minorTickMark val="none"/>
        <c:tickLblPos val="nextTo"/>
        <c:crossAx val="16458069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50800" dist="38100" dir="8100000" algn="tr" rotWithShape="0">
        <a:prstClr val="black">
          <a:alpha val="40000"/>
        </a:prstClr>
      </a:outerShdw>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tx>
        <c:strRef>
          <c:f>'Pivot 1 '!$E$70</c:f>
          <c:strCache>
            <c:ptCount val="1"/>
            <c:pt idx="0">
              <c:v>Total Selling &amp; Original Prices For : Total Brand</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Arial Rounded MT Bold" panose="020F0704030504030204" pitchFamily="34" charset="0"/>
              <a:ea typeface="+mn-ea"/>
              <a:cs typeface="+mn-cs"/>
            </a:defRPr>
          </a:pPr>
          <a:endParaRPr lang="en-US"/>
        </a:p>
      </c:txPr>
    </c:title>
    <c:autoTitleDeleted val="0"/>
    <c:plotArea>
      <c:layout/>
      <c:barChart>
        <c:barDir val="bar"/>
        <c:grouping val="percentStacked"/>
        <c:varyColors val="0"/>
        <c:ser>
          <c:idx val="0"/>
          <c:order val="0"/>
          <c:tx>
            <c:strRef>
              <c:f>Dashboard!$J$181</c:f>
              <c:strCache>
                <c:ptCount val="1"/>
                <c:pt idx="0">
                  <c:v>Selling Price</c:v>
                </c:pt>
              </c:strCache>
            </c:strRef>
          </c:tx>
          <c:spPr>
            <a:solidFill>
              <a:schemeClr val="tx2"/>
            </a:solidFill>
            <a:ln>
              <a:solidFill>
                <a:sysClr val="windowText" lastClr="000000">
                  <a:lumMod val="25000"/>
                  <a:lumOff val="75000"/>
                  <a:alpha val="98000"/>
                </a:sysClr>
              </a:solidFill>
            </a:ln>
            <a:effectLst/>
          </c:spPr>
          <c:invertIfNegative val="0"/>
          <c:cat>
            <c:strRef>
              <c:f>Dashboard!$I$182:$I$196</c:f>
              <c:strCache>
                <c:ptCount val="15"/>
                <c:pt idx="0">
                  <c:v>Samsung</c:v>
                </c:pt>
                <c:pt idx="1">
                  <c:v>Lg</c:v>
                </c:pt>
                <c:pt idx="2">
                  <c:v>Sony</c:v>
                </c:pt>
                <c:pt idx="3">
                  <c:v>Tcl</c:v>
                </c:pt>
                <c:pt idx="4">
                  <c:v>Panasonic</c:v>
                </c:pt>
                <c:pt idx="5">
                  <c:v>Sharp</c:v>
                </c:pt>
                <c:pt idx="6">
                  <c:v>Vu</c:v>
                </c:pt>
                <c:pt idx="7">
                  <c:v>Iffalcon By Tcl</c:v>
                </c:pt>
                <c:pt idx="8">
                  <c:v>Hisense</c:v>
                </c:pt>
                <c:pt idx="9">
                  <c:v>Lloyd</c:v>
                </c:pt>
                <c:pt idx="10">
                  <c:v>Sansui</c:v>
                </c:pt>
                <c:pt idx="11">
                  <c:v>Micromax</c:v>
                </c:pt>
                <c:pt idx="12">
                  <c:v>Haier</c:v>
                </c:pt>
                <c:pt idx="13">
                  <c:v>Mi</c:v>
                </c:pt>
                <c:pt idx="14">
                  <c:v>Philips</c:v>
                </c:pt>
              </c:strCache>
            </c:strRef>
          </c:cat>
          <c:val>
            <c:numRef>
              <c:f>Dashboard!$J$182:$J$196</c:f>
              <c:numCache>
                <c:formatCode>"₹"\ #,##0</c:formatCode>
                <c:ptCount val="15"/>
                <c:pt idx="0">
                  <c:v>15627072</c:v>
                </c:pt>
                <c:pt idx="1">
                  <c:v>11823557</c:v>
                </c:pt>
                <c:pt idx="2">
                  <c:v>5539256</c:v>
                </c:pt>
                <c:pt idx="3">
                  <c:v>2455126</c:v>
                </c:pt>
                <c:pt idx="4">
                  <c:v>1604819</c:v>
                </c:pt>
                <c:pt idx="5">
                  <c:v>1197376</c:v>
                </c:pt>
                <c:pt idx="6">
                  <c:v>1072947</c:v>
                </c:pt>
                <c:pt idx="7">
                  <c:v>1030454</c:v>
                </c:pt>
                <c:pt idx="8">
                  <c:v>897954</c:v>
                </c:pt>
                <c:pt idx="9">
                  <c:v>751560</c:v>
                </c:pt>
                <c:pt idx="10">
                  <c:v>678095</c:v>
                </c:pt>
                <c:pt idx="11">
                  <c:v>671739</c:v>
                </c:pt>
                <c:pt idx="12">
                  <c:v>659092</c:v>
                </c:pt>
                <c:pt idx="13">
                  <c:v>584954</c:v>
                </c:pt>
                <c:pt idx="14">
                  <c:v>579935</c:v>
                </c:pt>
              </c:numCache>
            </c:numRef>
          </c:val>
          <c:extLst>
            <c:ext xmlns:c16="http://schemas.microsoft.com/office/drawing/2014/chart" uri="{C3380CC4-5D6E-409C-BE32-E72D297353CC}">
              <c16:uniqueId val="{00000000-C678-4173-9759-0388C9EB4B08}"/>
            </c:ext>
          </c:extLst>
        </c:ser>
        <c:ser>
          <c:idx val="1"/>
          <c:order val="1"/>
          <c:tx>
            <c:strRef>
              <c:f>Dashboard!$K$181</c:f>
              <c:strCache>
                <c:ptCount val="1"/>
                <c:pt idx="0">
                  <c:v>Original Price</c:v>
                </c:pt>
              </c:strCache>
            </c:strRef>
          </c:tx>
          <c:spPr>
            <a:solidFill>
              <a:schemeClr val="bg1"/>
            </a:solidFill>
            <a:ln>
              <a:noFill/>
            </a:ln>
            <a:effectLst/>
          </c:spPr>
          <c:invertIfNegative val="0"/>
          <c:cat>
            <c:strRef>
              <c:f>Dashboard!$I$182:$I$196</c:f>
              <c:strCache>
                <c:ptCount val="15"/>
                <c:pt idx="0">
                  <c:v>Samsung</c:v>
                </c:pt>
                <c:pt idx="1">
                  <c:v>Lg</c:v>
                </c:pt>
                <c:pt idx="2">
                  <c:v>Sony</c:v>
                </c:pt>
                <c:pt idx="3">
                  <c:v>Tcl</c:v>
                </c:pt>
                <c:pt idx="4">
                  <c:v>Panasonic</c:v>
                </c:pt>
                <c:pt idx="5">
                  <c:v>Sharp</c:v>
                </c:pt>
                <c:pt idx="6">
                  <c:v>Vu</c:v>
                </c:pt>
                <c:pt idx="7">
                  <c:v>Iffalcon By Tcl</c:v>
                </c:pt>
                <c:pt idx="8">
                  <c:v>Hisense</c:v>
                </c:pt>
                <c:pt idx="9">
                  <c:v>Lloyd</c:v>
                </c:pt>
                <c:pt idx="10">
                  <c:v>Sansui</c:v>
                </c:pt>
                <c:pt idx="11">
                  <c:v>Micromax</c:v>
                </c:pt>
                <c:pt idx="12">
                  <c:v>Haier</c:v>
                </c:pt>
                <c:pt idx="13">
                  <c:v>Mi</c:v>
                </c:pt>
                <c:pt idx="14">
                  <c:v>Philips</c:v>
                </c:pt>
              </c:strCache>
            </c:strRef>
          </c:cat>
          <c:val>
            <c:numRef>
              <c:f>Dashboard!$K$182:$K$196</c:f>
              <c:numCache>
                <c:formatCode>"₹"\ #,##0</c:formatCode>
                <c:ptCount val="15"/>
                <c:pt idx="0">
                  <c:v>19219045</c:v>
                </c:pt>
                <c:pt idx="1">
                  <c:v>16518545</c:v>
                </c:pt>
                <c:pt idx="2">
                  <c:v>8084395</c:v>
                </c:pt>
                <c:pt idx="3">
                  <c:v>4371854</c:v>
                </c:pt>
                <c:pt idx="4">
                  <c:v>2258830</c:v>
                </c:pt>
                <c:pt idx="5">
                  <c:v>1253250</c:v>
                </c:pt>
                <c:pt idx="6">
                  <c:v>1521484</c:v>
                </c:pt>
                <c:pt idx="7">
                  <c:v>1899819</c:v>
                </c:pt>
                <c:pt idx="8">
                  <c:v>1007900</c:v>
                </c:pt>
                <c:pt idx="9">
                  <c:v>1160544</c:v>
                </c:pt>
                <c:pt idx="10">
                  <c:v>807318</c:v>
                </c:pt>
                <c:pt idx="11">
                  <c:v>837938</c:v>
                </c:pt>
                <c:pt idx="12">
                  <c:v>989581</c:v>
                </c:pt>
                <c:pt idx="13">
                  <c:v>713981</c:v>
                </c:pt>
                <c:pt idx="14">
                  <c:v>1087840</c:v>
                </c:pt>
              </c:numCache>
            </c:numRef>
          </c:val>
          <c:extLst>
            <c:ext xmlns:c16="http://schemas.microsoft.com/office/drawing/2014/chart" uri="{C3380CC4-5D6E-409C-BE32-E72D297353CC}">
              <c16:uniqueId val="{00000001-C678-4173-9759-0388C9EB4B08}"/>
            </c:ext>
          </c:extLst>
        </c:ser>
        <c:dLbls>
          <c:showLegendKey val="0"/>
          <c:showVal val="0"/>
          <c:showCatName val="0"/>
          <c:showSerName val="0"/>
          <c:showPercent val="0"/>
          <c:showBubbleSize val="0"/>
        </c:dLbls>
        <c:gapWidth val="188"/>
        <c:overlap val="100"/>
        <c:axId val="1835399600"/>
        <c:axId val="1835388560"/>
      </c:barChart>
      <c:catAx>
        <c:axId val="183539960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crossAx val="1835388560"/>
        <c:crosses val="autoZero"/>
        <c:auto val="1"/>
        <c:lblAlgn val="ctr"/>
        <c:lblOffset val="100"/>
        <c:noMultiLvlLbl val="0"/>
      </c:catAx>
      <c:valAx>
        <c:axId val="1835388560"/>
        <c:scaling>
          <c:orientation val="minMax"/>
        </c:scaling>
        <c:delete val="1"/>
        <c:axPos val="t"/>
        <c:majorGridlines>
          <c:spPr>
            <a:ln w="9525" cap="flat" cmpd="sng" algn="ctr">
              <a:noFill/>
              <a:round/>
            </a:ln>
            <a:effectLst>
              <a:outerShdw blurRad="50800" dist="50800" dir="5400000" algn="ctr" rotWithShape="0">
                <a:srgbClr val="000000"/>
              </a:outerShdw>
            </a:effectLst>
          </c:spPr>
        </c:majorGridlines>
        <c:numFmt formatCode="0%" sourceLinked="1"/>
        <c:majorTickMark val="none"/>
        <c:minorTickMark val="none"/>
        <c:tickLblPos val="nextTo"/>
        <c:crossAx val="1835399600"/>
        <c:crosses val="autoZero"/>
        <c:crossBetween val="between"/>
      </c:valAx>
      <c:spPr>
        <a:noFill/>
        <a:ln>
          <a:noFill/>
        </a:ln>
        <a:effectLst>
          <a:outerShdw blurRad="50800" dist="50800" dir="5400000" algn="ctr" rotWithShape="0">
            <a:srgbClr val="000000"/>
          </a:outerShdw>
        </a:effectLst>
      </c:spPr>
    </c:plotArea>
    <c:legend>
      <c:legendPos val="tr"/>
      <c:layout>
        <c:manualLayout>
          <c:xMode val="edge"/>
          <c:yMode val="edge"/>
          <c:x val="0.80176032842871914"/>
          <c:y val="1.8982317773772303E-3"/>
          <c:w val="0.11186679035526285"/>
          <c:h val="0.11488847754031423"/>
        </c:manualLayout>
      </c:layout>
      <c:overlay val="1"/>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Segoe UI Semibold" panose="020B0702040204020203"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glow rad="114300">
        <a:schemeClr val="accent1">
          <a:alpha val="40000"/>
        </a:schemeClr>
      </a:glow>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manualLayout>
          <c:layoutTarget val="inner"/>
          <c:xMode val="edge"/>
          <c:yMode val="edge"/>
          <c:x val="8.8834215645352741E-4"/>
          <c:y val="0.109089470825219"/>
          <c:w val="0.92142966609806887"/>
          <c:h val="0.54943222707899986"/>
        </c:manualLayout>
      </c:layout>
      <c:doughnutChart>
        <c:varyColors val="1"/>
        <c:ser>
          <c:idx val="0"/>
          <c:order val="0"/>
          <c:explosion val="10"/>
          <c:dPt>
            <c:idx val="0"/>
            <c:bubble3D val="0"/>
            <c:spPr>
              <a:solidFill>
                <a:schemeClr val="accent1">
                  <a:tint val="43000"/>
                </a:schemeClr>
              </a:solidFill>
              <a:ln w="19050">
                <a:solidFill>
                  <a:schemeClr val="lt1"/>
                </a:solidFill>
              </a:ln>
              <a:effectLst/>
            </c:spPr>
            <c:extLst>
              <c:ext xmlns:c16="http://schemas.microsoft.com/office/drawing/2014/chart" uri="{C3380CC4-5D6E-409C-BE32-E72D297353CC}">
                <c16:uniqueId val="{00000001-5B2E-4357-A128-9F8903734CDA}"/>
              </c:ext>
            </c:extLst>
          </c:dPt>
          <c:dPt>
            <c:idx val="1"/>
            <c:bubble3D val="0"/>
            <c:spPr>
              <a:solidFill>
                <a:schemeClr val="accent1">
                  <a:tint val="56000"/>
                </a:schemeClr>
              </a:solidFill>
              <a:ln w="19050">
                <a:solidFill>
                  <a:schemeClr val="lt1"/>
                </a:solidFill>
              </a:ln>
              <a:effectLst/>
            </c:spPr>
            <c:extLst>
              <c:ext xmlns:c16="http://schemas.microsoft.com/office/drawing/2014/chart" uri="{C3380CC4-5D6E-409C-BE32-E72D297353CC}">
                <c16:uniqueId val="{00000003-5B2E-4357-A128-9F8903734CDA}"/>
              </c:ext>
            </c:extLst>
          </c:dPt>
          <c:dPt>
            <c:idx val="2"/>
            <c:bubble3D val="0"/>
            <c:spPr>
              <a:solidFill>
                <a:schemeClr val="accent1">
                  <a:tint val="69000"/>
                </a:schemeClr>
              </a:solidFill>
              <a:ln w="19050">
                <a:solidFill>
                  <a:schemeClr val="lt1"/>
                </a:solidFill>
              </a:ln>
              <a:effectLst/>
            </c:spPr>
            <c:extLst>
              <c:ext xmlns:c16="http://schemas.microsoft.com/office/drawing/2014/chart" uri="{C3380CC4-5D6E-409C-BE32-E72D297353CC}">
                <c16:uniqueId val="{00000005-5B2E-4357-A128-9F8903734CDA}"/>
              </c:ext>
            </c:extLst>
          </c:dPt>
          <c:dPt>
            <c:idx val="3"/>
            <c:bubble3D val="0"/>
            <c:spPr>
              <a:solidFill>
                <a:schemeClr val="accent1">
                  <a:tint val="81000"/>
                </a:schemeClr>
              </a:solidFill>
              <a:ln w="19050">
                <a:solidFill>
                  <a:schemeClr val="lt1"/>
                </a:solidFill>
              </a:ln>
              <a:effectLst/>
            </c:spPr>
            <c:extLst>
              <c:ext xmlns:c16="http://schemas.microsoft.com/office/drawing/2014/chart" uri="{C3380CC4-5D6E-409C-BE32-E72D297353CC}">
                <c16:uniqueId val="{00000007-5B2E-4357-A128-9F8903734CDA}"/>
              </c:ext>
            </c:extLst>
          </c:dPt>
          <c:dPt>
            <c:idx val="4"/>
            <c:bubble3D val="0"/>
            <c:spPr>
              <a:solidFill>
                <a:schemeClr val="accent1">
                  <a:tint val="94000"/>
                </a:schemeClr>
              </a:solidFill>
              <a:ln w="19050">
                <a:solidFill>
                  <a:schemeClr val="lt1"/>
                </a:solidFill>
              </a:ln>
              <a:effectLst/>
            </c:spPr>
            <c:extLst>
              <c:ext xmlns:c16="http://schemas.microsoft.com/office/drawing/2014/chart" uri="{C3380CC4-5D6E-409C-BE32-E72D297353CC}">
                <c16:uniqueId val="{00000009-5B2E-4357-A128-9F8903734CDA}"/>
              </c:ext>
            </c:extLst>
          </c:dPt>
          <c:dPt>
            <c:idx val="5"/>
            <c:bubble3D val="0"/>
            <c:spPr>
              <a:solidFill>
                <a:schemeClr val="accent1">
                  <a:shade val="93000"/>
                </a:schemeClr>
              </a:solidFill>
              <a:ln w="19050">
                <a:solidFill>
                  <a:schemeClr val="lt1"/>
                </a:solidFill>
              </a:ln>
              <a:effectLst/>
            </c:spPr>
            <c:extLst>
              <c:ext xmlns:c16="http://schemas.microsoft.com/office/drawing/2014/chart" uri="{C3380CC4-5D6E-409C-BE32-E72D297353CC}">
                <c16:uniqueId val="{0000000B-5B2E-4357-A128-9F8903734CDA}"/>
              </c:ext>
            </c:extLst>
          </c:dPt>
          <c:dPt>
            <c:idx val="6"/>
            <c:bubble3D val="0"/>
            <c:spPr>
              <a:solidFill>
                <a:schemeClr val="accent1">
                  <a:shade val="80000"/>
                </a:schemeClr>
              </a:solidFill>
              <a:ln w="19050">
                <a:solidFill>
                  <a:schemeClr val="lt1"/>
                </a:solidFill>
              </a:ln>
              <a:effectLst/>
            </c:spPr>
            <c:extLst>
              <c:ext xmlns:c16="http://schemas.microsoft.com/office/drawing/2014/chart" uri="{C3380CC4-5D6E-409C-BE32-E72D297353CC}">
                <c16:uniqueId val="{0000000D-5B2E-4357-A128-9F8903734CDA}"/>
              </c:ext>
            </c:extLst>
          </c:dPt>
          <c:dPt>
            <c:idx val="7"/>
            <c:bubble3D val="0"/>
            <c:spPr>
              <a:solidFill>
                <a:schemeClr val="accent1">
                  <a:shade val="68000"/>
                </a:schemeClr>
              </a:solidFill>
              <a:ln w="19050">
                <a:solidFill>
                  <a:schemeClr val="lt1"/>
                </a:solidFill>
              </a:ln>
              <a:effectLst/>
            </c:spPr>
            <c:extLst>
              <c:ext xmlns:c16="http://schemas.microsoft.com/office/drawing/2014/chart" uri="{C3380CC4-5D6E-409C-BE32-E72D297353CC}">
                <c16:uniqueId val="{0000000F-5B2E-4357-A128-9F8903734CDA}"/>
              </c:ext>
            </c:extLst>
          </c:dPt>
          <c:dPt>
            <c:idx val="8"/>
            <c:bubble3D val="0"/>
            <c:spPr>
              <a:solidFill>
                <a:schemeClr val="accent1">
                  <a:shade val="55000"/>
                </a:schemeClr>
              </a:solidFill>
              <a:ln w="19050">
                <a:solidFill>
                  <a:schemeClr val="lt1"/>
                </a:solidFill>
              </a:ln>
              <a:effectLst/>
            </c:spPr>
            <c:extLst>
              <c:ext xmlns:c16="http://schemas.microsoft.com/office/drawing/2014/chart" uri="{C3380CC4-5D6E-409C-BE32-E72D297353CC}">
                <c16:uniqueId val="{00000011-5B2E-4357-A128-9F8903734CDA}"/>
              </c:ext>
            </c:extLst>
          </c:dPt>
          <c:dPt>
            <c:idx val="9"/>
            <c:bubble3D val="0"/>
            <c:spPr>
              <a:solidFill>
                <a:schemeClr val="accent1">
                  <a:shade val="42000"/>
                </a:schemeClr>
              </a:solidFill>
              <a:ln w="19050">
                <a:solidFill>
                  <a:schemeClr val="lt1"/>
                </a:solidFill>
              </a:ln>
              <a:effectLst/>
            </c:spPr>
            <c:extLst>
              <c:ext xmlns:c16="http://schemas.microsoft.com/office/drawing/2014/chart" uri="{C3380CC4-5D6E-409C-BE32-E72D297353CC}">
                <c16:uniqueId val="{00000013-5B2E-4357-A128-9F8903734CD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alpha val="90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1 '!$L$46:$L$55</c:f>
              <c:strCache>
                <c:ptCount val="10"/>
                <c:pt idx="0">
                  <c:v>Haier</c:v>
                </c:pt>
                <c:pt idx="1">
                  <c:v>Iffalcon By Tcl</c:v>
                </c:pt>
                <c:pt idx="2">
                  <c:v>Lg</c:v>
                </c:pt>
                <c:pt idx="3">
                  <c:v>Lloyd</c:v>
                </c:pt>
                <c:pt idx="4">
                  <c:v>Panasonic</c:v>
                </c:pt>
                <c:pt idx="5">
                  <c:v>Philips</c:v>
                </c:pt>
                <c:pt idx="6">
                  <c:v>Samsung</c:v>
                </c:pt>
                <c:pt idx="7">
                  <c:v>Sony</c:v>
                </c:pt>
                <c:pt idx="8">
                  <c:v>Tcl</c:v>
                </c:pt>
                <c:pt idx="9">
                  <c:v>Vu</c:v>
                </c:pt>
              </c:strCache>
            </c:strRef>
          </c:cat>
          <c:val>
            <c:numRef>
              <c:f>'Pivot 1 '!$M$46:$M$55</c:f>
              <c:numCache>
                <c:formatCode>_ * #,##0_ ;_ * \-#,##0_ ;_ * "-"??_ ;_ @_ </c:formatCode>
                <c:ptCount val="10"/>
                <c:pt idx="0">
                  <c:v>330489</c:v>
                </c:pt>
                <c:pt idx="1">
                  <c:v>869365</c:v>
                </c:pt>
                <c:pt idx="2">
                  <c:v>4694988</c:v>
                </c:pt>
                <c:pt idx="3">
                  <c:v>408984</c:v>
                </c:pt>
                <c:pt idx="4">
                  <c:v>654011</c:v>
                </c:pt>
                <c:pt idx="5">
                  <c:v>507905</c:v>
                </c:pt>
                <c:pt idx="6">
                  <c:v>3591973</c:v>
                </c:pt>
                <c:pt idx="7">
                  <c:v>2545139</c:v>
                </c:pt>
                <c:pt idx="8">
                  <c:v>1916728</c:v>
                </c:pt>
                <c:pt idx="9">
                  <c:v>448537</c:v>
                </c:pt>
              </c:numCache>
            </c:numRef>
          </c:val>
          <c:extLst>
            <c:ext xmlns:c16="http://schemas.microsoft.com/office/drawing/2014/chart" uri="{C3380CC4-5D6E-409C-BE32-E72D297353CC}">
              <c16:uniqueId val="{00000014-5B2E-4357-A128-9F8903734CDA}"/>
            </c:ext>
          </c:extLst>
        </c:ser>
        <c:dLbls>
          <c:showLegendKey val="0"/>
          <c:showVal val="0"/>
          <c:showCatName val="0"/>
          <c:showSerName val="0"/>
          <c:showPercent val="1"/>
          <c:showBubbleSize val="0"/>
          <c:showLeaderLines val="1"/>
        </c:dLbls>
        <c:firstSliceAng val="0"/>
        <c:holeSize val="58"/>
      </c:doughnutChart>
      <c:spPr>
        <a:noFill/>
        <a:ln>
          <a:noFill/>
        </a:ln>
        <a:effectLst/>
      </c:spPr>
    </c:plotArea>
    <c:legend>
      <c:legendPos val="b"/>
      <c:layout>
        <c:manualLayout>
          <c:xMode val="edge"/>
          <c:yMode val="edge"/>
          <c:x val="3.4375684367768215E-2"/>
          <c:y val="0.68333904252691047"/>
          <c:w val="0.96562431563223183"/>
          <c:h val="0.30266501482706654"/>
        </c:manualLayout>
      </c:layout>
      <c:overlay val="0"/>
      <c:spPr>
        <a:noFill/>
        <a:ln>
          <a:noFill/>
        </a:ln>
        <a:effectLst/>
      </c:spPr>
      <c:txPr>
        <a:bodyPr rot="0" spcFirstLastPara="1" vertOverflow="ellipsis" vert="horz" wrap="square" anchor="ctr" anchorCtr="1"/>
        <a:lstStyle/>
        <a:p>
          <a:pPr>
            <a:defRPr sz="1030" b="0" i="0" u="none" strike="noStrike" kern="3300" spc="60" baseline="0">
              <a:solidFill>
                <a:schemeClr val="bg1"/>
              </a:solidFill>
              <a:latin typeface="Segoe UI Semibold" panose="020B0702040204020203"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TV Dashboard.xlsx]Sheet1!PivotTable22</c:name>
    <c:fmtId val="5"/>
  </c:pivotSource>
  <c:chart>
    <c:autoTitleDeleted val="1"/>
    <c:pivotFmts>
      <c:pivotFmt>
        <c:idx val="0"/>
        <c:spPr>
          <a:solidFill>
            <a:schemeClr val="accent1"/>
          </a:solidFill>
          <a:ln w="28575" cap="rnd">
            <a:solidFill>
              <a:schemeClr val="tx2"/>
            </a:solidFill>
            <a:round/>
          </a:ln>
          <a:effectLst/>
        </c:spPr>
        <c:marker>
          <c:symbol val="diamond"/>
          <c:size val="4"/>
          <c:spPr>
            <a:solidFill>
              <a:schemeClr val="bg1">
                <a:lumMod val="75000"/>
              </a:schemeClr>
            </a:solidFill>
            <a:ln w="9525">
              <a:solidFill>
                <a:schemeClr val="bg2">
                  <a:lumMod val="9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tx2"/>
            </a:solidFill>
            <a:round/>
          </a:ln>
          <a:effectLst/>
        </c:spPr>
        <c:marker>
          <c:symbol val="diamond"/>
          <c:size val="4"/>
          <c:spPr>
            <a:solidFill>
              <a:schemeClr val="bg1">
                <a:lumMod val="75000"/>
              </a:schemeClr>
            </a:solidFill>
            <a:ln w="9525">
              <a:solidFill>
                <a:schemeClr val="bg2">
                  <a:lumMod val="9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tx2"/>
            </a:solidFill>
            <a:round/>
          </a:ln>
          <a:effectLst>
            <a:outerShdw blurRad="50800" dist="50800" dir="5400000" algn="ctr" rotWithShape="0">
              <a:schemeClr val="tx2"/>
            </a:outerShdw>
          </a:effectLst>
        </c:spPr>
        <c:marker>
          <c:symbol val="diamond"/>
          <c:size val="5"/>
          <c:spPr>
            <a:solidFill>
              <a:schemeClr val="accent4"/>
            </a:solidFill>
            <a:ln w="9525">
              <a:solidFill>
                <a:schemeClr val="bg2">
                  <a:lumMod val="90000"/>
                </a:schemeClr>
              </a:solidFill>
            </a:ln>
            <a:effectLst>
              <a:outerShdw blurRad="50800" dist="50800" dir="5400000" algn="ctr" rotWithShape="0">
                <a:schemeClr val="tx2"/>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5401307736485368"/>
          <c:y val="7.2617114645631267E-2"/>
          <c:w val="0.6219581447884156"/>
          <c:h val="0.78392574803173565"/>
        </c:manualLayout>
      </c:layout>
      <c:radarChart>
        <c:radarStyle val="marker"/>
        <c:varyColors val="0"/>
        <c:ser>
          <c:idx val="0"/>
          <c:order val="0"/>
          <c:tx>
            <c:strRef>
              <c:f>Sheet1!$J$23</c:f>
              <c:strCache>
                <c:ptCount val="1"/>
                <c:pt idx="0">
                  <c:v>Total</c:v>
                </c:pt>
              </c:strCache>
            </c:strRef>
          </c:tx>
          <c:spPr>
            <a:ln w="28575" cap="rnd">
              <a:solidFill>
                <a:schemeClr val="tx2"/>
              </a:solidFill>
              <a:round/>
            </a:ln>
            <a:effectLst>
              <a:outerShdw blurRad="50800" dist="50800" dir="5400000" algn="ctr" rotWithShape="0">
                <a:schemeClr val="tx2"/>
              </a:outerShdw>
            </a:effectLst>
          </c:spPr>
          <c:marker>
            <c:symbol val="diamond"/>
            <c:size val="5"/>
            <c:spPr>
              <a:solidFill>
                <a:schemeClr val="accent4"/>
              </a:solidFill>
              <a:ln w="9525">
                <a:solidFill>
                  <a:schemeClr val="bg2">
                    <a:lumMod val="90000"/>
                  </a:schemeClr>
                </a:solidFill>
              </a:ln>
              <a:effectLst>
                <a:outerShdw blurRad="50800" dist="50800" dir="5400000" algn="ctr" rotWithShape="0">
                  <a:schemeClr val="tx2"/>
                </a:outerShdw>
              </a:effectLst>
            </c:spPr>
          </c:marker>
          <c:cat>
            <c:strRef>
              <c:f>Sheet1!$I$24:$I$31</c:f>
              <c:strCache>
                <c:ptCount val="7"/>
                <c:pt idx="0">
                  <c:v>Android</c:v>
                </c:pt>
                <c:pt idx="1">
                  <c:v>Tizen</c:v>
                </c:pt>
                <c:pt idx="2">
                  <c:v>WebOS</c:v>
                </c:pt>
                <c:pt idx="3">
                  <c:v>Linux</c:v>
                </c:pt>
                <c:pt idx="4">
                  <c:v>HomeOS</c:v>
                </c:pt>
                <c:pt idx="5">
                  <c:v>VIDAA</c:v>
                </c:pt>
                <c:pt idx="6">
                  <c:v>FireTV OS</c:v>
                </c:pt>
              </c:strCache>
            </c:strRef>
          </c:cat>
          <c:val>
            <c:numRef>
              <c:f>Sheet1!$J$24:$J$31</c:f>
              <c:numCache>
                <c:formatCode>General</c:formatCode>
                <c:ptCount val="7"/>
                <c:pt idx="0">
                  <c:v>19282220</c:v>
                </c:pt>
                <c:pt idx="1">
                  <c:v>15581672</c:v>
                </c:pt>
                <c:pt idx="2">
                  <c:v>11591271</c:v>
                </c:pt>
                <c:pt idx="3">
                  <c:v>6395592</c:v>
                </c:pt>
                <c:pt idx="4">
                  <c:v>510485</c:v>
                </c:pt>
                <c:pt idx="5">
                  <c:v>505087</c:v>
                </c:pt>
                <c:pt idx="6">
                  <c:v>152450</c:v>
                </c:pt>
              </c:numCache>
            </c:numRef>
          </c:val>
          <c:extLst>
            <c:ext xmlns:c16="http://schemas.microsoft.com/office/drawing/2014/chart" uri="{C3380CC4-5D6E-409C-BE32-E72D297353CC}">
              <c16:uniqueId val="{00000000-2730-4AB4-8B53-1D2DA9EA3106}"/>
            </c:ext>
          </c:extLst>
        </c:ser>
        <c:dLbls>
          <c:showLegendKey val="0"/>
          <c:showVal val="0"/>
          <c:showCatName val="0"/>
          <c:showSerName val="0"/>
          <c:showPercent val="0"/>
          <c:showBubbleSize val="0"/>
        </c:dLbls>
        <c:axId val="384501327"/>
        <c:axId val="384504207"/>
      </c:radarChart>
      <c:catAx>
        <c:axId val="3845013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t" anchorCtr="1"/>
          <a:lstStyle/>
          <a:p>
            <a:pPr>
              <a:defRPr sz="900" b="0" i="0" u="none" strike="noStrike" kern="1200" baseline="0">
                <a:solidFill>
                  <a:schemeClr val="tx1"/>
                </a:solidFill>
                <a:effectLst>
                  <a:innerShdw blurRad="63500" dist="50800" dir="16200000">
                    <a:prstClr val="black">
                      <a:alpha val="4000"/>
                    </a:prstClr>
                  </a:innerShdw>
                </a:effectLst>
                <a:latin typeface="Sitka Banner Semibold" pitchFamily="2" charset="0"/>
                <a:ea typeface="+mn-ea"/>
                <a:cs typeface="+mn-cs"/>
              </a:defRPr>
            </a:pPr>
            <a:endParaRPr lang="en-US"/>
          </a:p>
        </c:txPr>
        <c:crossAx val="384504207"/>
        <c:crosses val="autoZero"/>
        <c:auto val="1"/>
        <c:lblAlgn val="ctr"/>
        <c:lblOffset val="100"/>
        <c:noMultiLvlLbl val="0"/>
      </c:catAx>
      <c:valAx>
        <c:axId val="384504207"/>
        <c:scaling>
          <c:orientation val="minMax"/>
        </c:scaling>
        <c:delete val="0"/>
        <c:axPos val="l"/>
        <c:majorGridlines>
          <c:spPr>
            <a:ln w="12700" cap="rnd" cmpd="dbl" algn="ctr">
              <a:solidFill>
                <a:schemeClr val="tx1">
                  <a:lumMod val="95000"/>
                  <a:lumOff val="5000"/>
                </a:schemeClr>
              </a:solidFill>
              <a:prstDash val="solid"/>
              <a:round/>
              <a:headEnd type="none" w="sm" len="sm"/>
            </a:ln>
            <a:effectLst>
              <a:outerShdw blurRad="63500" sx="102000" sy="102000" algn="ctr" rotWithShape="0">
                <a:prstClr val="black">
                  <a:alpha val="40000"/>
                </a:prstClr>
              </a:outerShdw>
            </a:effectLst>
          </c:spPr>
        </c:majorGridlines>
        <c:minorGridlines>
          <c:spPr>
            <a:ln w="9525" cap="flat" cmpd="sng" algn="ctr">
              <a:solidFill>
                <a:schemeClr val="tx1">
                  <a:lumMod val="5000"/>
                  <a:lumOff val="95000"/>
                </a:schemeClr>
              </a:solidFill>
              <a:round/>
            </a:ln>
            <a:effectLst/>
          </c:spPr>
        </c:minorGridlines>
        <c:numFmt formatCode="General" sourceLinked="1"/>
        <c:majorTickMark val="out"/>
        <c:minorTickMark val="none"/>
        <c:tickLblPos val="nextTo"/>
        <c:spPr>
          <a:noFill/>
          <a:ln>
            <a:solidFill>
              <a:schemeClr val="bg2">
                <a:lumMod val="90000"/>
              </a:schemeClr>
            </a:solidFill>
          </a:ln>
          <a:effectLst/>
        </c:spPr>
        <c:txPr>
          <a:bodyPr rot="-60000000" spcFirstLastPara="1" vertOverflow="ellipsis" vert="horz" wrap="square" anchor="ctr" anchorCtr="1"/>
          <a:lstStyle/>
          <a:p>
            <a:pPr>
              <a:defRPr sz="830" b="0" i="0" u="none" strike="noStrike" kern="1200" baseline="0">
                <a:solidFill>
                  <a:sysClr val="windowText" lastClr="000000"/>
                </a:solidFill>
                <a:latin typeface="Segoe UI Semibold" panose="020B0702040204020203" pitchFamily="34" charset="0"/>
                <a:ea typeface="+mn-ea"/>
                <a:cs typeface="+mn-cs"/>
              </a:defRPr>
            </a:pPr>
            <a:endParaRPr lang="en-US"/>
          </a:p>
        </c:txPr>
        <c:crossAx val="384501327"/>
        <c:crosses val="autoZero"/>
        <c:crossBetween val="between"/>
        <c:dispUnits>
          <c:builtInUnit val="hundredThousands"/>
          <c:dispUnitsLbl>
            <c:layout>
              <c:manualLayout>
                <c:xMode val="edge"/>
                <c:yMode val="edge"/>
                <c:x val="0.79901137499076313"/>
                <c:y val="0.10051064137213114"/>
              </c:manualLayout>
            </c:layout>
            <c:spPr>
              <a:noFill/>
              <a:ln>
                <a:noFill/>
              </a:ln>
              <a:effectLst/>
            </c:spPr>
            <c:txPr>
              <a:bodyPr rot="0" spcFirstLastPara="1" vertOverflow="ellipsis" vert="horz" wrap="square" anchor="ctr" anchorCtr="1"/>
              <a:lstStyle/>
              <a:p>
                <a:pPr>
                  <a:defRPr sz="1000" b="1" i="1" u="none" strike="noStrike" kern="1200" baseline="0">
                    <a:solidFill>
                      <a:schemeClr val="tx1"/>
                    </a:solidFill>
                    <a:latin typeface="Segoe UI Semibold" panose="020B0702040204020203" pitchFamily="34" charset="0"/>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TV Dashboard.xlsx]Sheet1!PivotTable1</c:name>
    <c:fmtId val="4"/>
  </c:pivotSource>
  <c:chart>
    <c:autoTitleDeleted val="0"/>
    <c:pivotFmts>
      <c:pivotFmt>
        <c:idx val="0"/>
        <c:spPr>
          <a:solidFill>
            <a:schemeClr val="bg1">
              <a:lumMod val="85000"/>
            </a:schemeClr>
          </a:solidFill>
          <a:ln>
            <a:noFill/>
          </a:ln>
          <a:effectLst>
            <a:outerShdw blurRad="50800" dist="50800" dir="5400000" algn="ctr" rotWithShape="0">
              <a:schemeClr val="bg1">
                <a:lumMod val="85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tx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tx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tx2"/>
          </a:solidFill>
          <a:ln>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bg1">
              <a:lumMod val="85000"/>
            </a:schemeClr>
          </a:solidFill>
          <a:ln>
            <a:noFill/>
          </a:ln>
          <a:effectLst>
            <a:outerShdw blurRad="50800" dist="50800" dir="5400000" algn="ctr" rotWithShape="0">
              <a:schemeClr val="bg1">
                <a:lumMod val="85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tx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tx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tx2"/>
          </a:solidFill>
          <a:ln>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FF0000">
              <a:alpha val="60000"/>
            </a:srgbClr>
          </a:solidFill>
          <a:ln>
            <a:noFill/>
          </a:ln>
          <a:effectLst>
            <a:outerShdw blurRad="50800" dist="50800" dir="5400000" algn="ctr" rotWithShape="0">
              <a:schemeClr val="bg1">
                <a:lumMod val="85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5">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5">
              <a:lumMod val="75000"/>
              <a:alpha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5">
              <a:lumMod val="50000"/>
              <a:alpha val="70000"/>
            </a:schemeClr>
          </a:solidFill>
          <a:ln>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363461505076456"/>
          <c:y val="6.3268211503932165E-2"/>
          <c:w val="0.81494407903957422"/>
          <c:h val="0.85322105570137063"/>
        </c:manualLayout>
      </c:layout>
      <c:areaChart>
        <c:grouping val="stacked"/>
        <c:varyColors val="0"/>
        <c:ser>
          <c:idx val="0"/>
          <c:order val="0"/>
          <c:tx>
            <c:strRef>
              <c:f>Sheet1!$I$35:$I$36</c:f>
              <c:strCache>
                <c:ptCount val="1"/>
                <c:pt idx="0">
                  <c:v>Full HD LED</c:v>
                </c:pt>
              </c:strCache>
            </c:strRef>
          </c:tx>
          <c:spPr>
            <a:solidFill>
              <a:srgbClr val="FF0000">
                <a:alpha val="60000"/>
              </a:srgbClr>
            </a:solidFill>
            <a:ln>
              <a:noFill/>
            </a:ln>
            <a:effectLst>
              <a:outerShdw blurRad="50800" dist="50800" dir="5400000" algn="ctr" rotWithShape="0">
                <a:schemeClr val="bg1">
                  <a:lumMod val="85000"/>
                </a:schemeClr>
              </a:outerShdw>
            </a:effectLst>
          </c:spPr>
          <c:cat>
            <c:strRef>
              <c:f>Sheet1!$H$37:$H$45</c:f>
              <c:strCache>
                <c:ptCount val="8"/>
                <c:pt idx="0">
                  <c:v>0%</c:v>
                </c:pt>
                <c:pt idx="1">
                  <c:v>10%</c:v>
                </c:pt>
                <c:pt idx="2">
                  <c:v>20%</c:v>
                </c:pt>
                <c:pt idx="3">
                  <c:v>30%</c:v>
                </c:pt>
                <c:pt idx="4">
                  <c:v>40%</c:v>
                </c:pt>
                <c:pt idx="5">
                  <c:v>50%</c:v>
                </c:pt>
                <c:pt idx="6">
                  <c:v>60%</c:v>
                </c:pt>
                <c:pt idx="7">
                  <c:v>70%</c:v>
                </c:pt>
              </c:strCache>
            </c:strRef>
          </c:cat>
          <c:val>
            <c:numRef>
              <c:f>Sheet1!$I$37:$I$45</c:f>
              <c:numCache>
                <c:formatCode>General</c:formatCode>
                <c:ptCount val="8"/>
                <c:pt idx="0">
                  <c:v>7182990</c:v>
                </c:pt>
                <c:pt idx="1">
                  <c:v>948599</c:v>
                </c:pt>
                <c:pt idx="2">
                  <c:v>1390376</c:v>
                </c:pt>
                <c:pt idx="3">
                  <c:v>1232486</c:v>
                </c:pt>
                <c:pt idx="4">
                  <c:v>1482054</c:v>
                </c:pt>
                <c:pt idx="5">
                  <c:v>972646</c:v>
                </c:pt>
                <c:pt idx="6">
                  <c:v>503940</c:v>
                </c:pt>
                <c:pt idx="7">
                  <c:v>47990</c:v>
                </c:pt>
              </c:numCache>
            </c:numRef>
          </c:val>
          <c:extLst>
            <c:ext xmlns:c16="http://schemas.microsoft.com/office/drawing/2014/chart" uri="{C3380CC4-5D6E-409C-BE32-E72D297353CC}">
              <c16:uniqueId val="{00000000-1A30-4589-96D9-A984AB23EDCF}"/>
            </c:ext>
          </c:extLst>
        </c:ser>
        <c:ser>
          <c:idx val="1"/>
          <c:order val="1"/>
          <c:tx>
            <c:strRef>
              <c:f>Sheet1!$J$35:$J$36</c:f>
              <c:strCache>
                <c:ptCount val="1"/>
                <c:pt idx="0">
                  <c:v>HD LED</c:v>
                </c:pt>
              </c:strCache>
            </c:strRef>
          </c:tx>
          <c:spPr>
            <a:solidFill>
              <a:schemeClr val="accent5">
                <a:lumMod val="60000"/>
                <a:lumOff val="40000"/>
              </a:schemeClr>
            </a:solidFill>
            <a:ln>
              <a:noFill/>
            </a:ln>
            <a:effectLst/>
          </c:spPr>
          <c:cat>
            <c:strRef>
              <c:f>Sheet1!$H$37:$H$45</c:f>
              <c:strCache>
                <c:ptCount val="8"/>
                <c:pt idx="0">
                  <c:v>0%</c:v>
                </c:pt>
                <c:pt idx="1">
                  <c:v>10%</c:v>
                </c:pt>
                <c:pt idx="2">
                  <c:v>20%</c:v>
                </c:pt>
                <c:pt idx="3">
                  <c:v>30%</c:v>
                </c:pt>
                <c:pt idx="4">
                  <c:v>40%</c:v>
                </c:pt>
                <c:pt idx="5">
                  <c:v>50%</c:v>
                </c:pt>
                <c:pt idx="6">
                  <c:v>60%</c:v>
                </c:pt>
                <c:pt idx="7">
                  <c:v>70%</c:v>
                </c:pt>
              </c:strCache>
            </c:strRef>
          </c:cat>
          <c:val>
            <c:numRef>
              <c:f>Sheet1!$J$37:$J$45</c:f>
              <c:numCache>
                <c:formatCode>General</c:formatCode>
                <c:ptCount val="8"/>
                <c:pt idx="0">
                  <c:v>565016</c:v>
                </c:pt>
                <c:pt idx="1">
                  <c:v>637155</c:v>
                </c:pt>
                <c:pt idx="2">
                  <c:v>785389</c:v>
                </c:pt>
                <c:pt idx="3">
                  <c:v>1111290</c:v>
                </c:pt>
                <c:pt idx="4">
                  <c:v>846158</c:v>
                </c:pt>
                <c:pt idx="5">
                  <c:v>736967</c:v>
                </c:pt>
                <c:pt idx="6">
                  <c:v>203158</c:v>
                </c:pt>
                <c:pt idx="7">
                  <c:v>86970</c:v>
                </c:pt>
              </c:numCache>
            </c:numRef>
          </c:val>
          <c:extLst>
            <c:ext xmlns:c16="http://schemas.microsoft.com/office/drawing/2014/chart" uri="{C3380CC4-5D6E-409C-BE32-E72D297353CC}">
              <c16:uniqueId val="{00000001-1A30-4589-96D9-A984AB23EDCF}"/>
            </c:ext>
          </c:extLst>
        </c:ser>
        <c:ser>
          <c:idx val="2"/>
          <c:order val="2"/>
          <c:tx>
            <c:strRef>
              <c:f>Sheet1!$K$35:$K$36</c:f>
              <c:strCache>
                <c:ptCount val="1"/>
                <c:pt idx="0">
                  <c:v>HD Plasma</c:v>
                </c:pt>
              </c:strCache>
            </c:strRef>
          </c:tx>
          <c:spPr>
            <a:solidFill>
              <a:schemeClr val="accent3"/>
            </a:solidFill>
            <a:ln>
              <a:noFill/>
            </a:ln>
            <a:effectLst/>
          </c:spPr>
          <c:cat>
            <c:strRef>
              <c:f>Sheet1!$H$37:$H$45</c:f>
              <c:strCache>
                <c:ptCount val="8"/>
                <c:pt idx="0">
                  <c:v>0%</c:v>
                </c:pt>
                <c:pt idx="1">
                  <c:v>10%</c:v>
                </c:pt>
                <c:pt idx="2">
                  <c:v>20%</c:v>
                </c:pt>
                <c:pt idx="3">
                  <c:v>30%</c:v>
                </c:pt>
                <c:pt idx="4">
                  <c:v>40%</c:v>
                </c:pt>
                <c:pt idx="5">
                  <c:v>50%</c:v>
                </c:pt>
                <c:pt idx="6">
                  <c:v>60%</c:v>
                </c:pt>
                <c:pt idx="7">
                  <c:v>70%</c:v>
                </c:pt>
              </c:strCache>
            </c:strRef>
          </c:cat>
          <c:val>
            <c:numRef>
              <c:f>Sheet1!$K$37:$K$45</c:f>
              <c:numCache>
                <c:formatCode>General</c:formatCode>
                <c:ptCount val="8"/>
                <c:pt idx="0">
                  <c:v>228980</c:v>
                </c:pt>
              </c:numCache>
            </c:numRef>
          </c:val>
          <c:extLst>
            <c:ext xmlns:c16="http://schemas.microsoft.com/office/drawing/2014/chart" uri="{C3380CC4-5D6E-409C-BE32-E72D297353CC}">
              <c16:uniqueId val="{00000002-1A30-4589-96D9-A984AB23EDCF}"/>
            </c:ext>
          </c:extLst>
        </c:ser>
        <c:ser>
          <c:idx val="3"/>
          <c:order val="3"/>
          <c:tx>
            <c:strRef>
              <c:f>Sheet1!$L$35:$L$36</c:f>
              <c:strCache>
                <c:ptCount val="1"/>
                <c:pt idx="0">
                  <c:v>QLED Ultra HD</c:v>
                </c:pt>
              </c:strCache>
            </c:strRef>
          </c:tx>
          <c:spPr>
            <a:solidFill>
              <a:schemeClr val="accent5">
                <a:lumMod val="75000"/>
                <a:alpha val="50000"/>
              </a:schemeClr>
            </a:solidFill>
            <a:ln>
              <a:noFill/>
            </a:ln>
            <a:effectLst/>
          </c:spPr>
          <c:cat>
            <c:strRef>
              <c:f>Sheet1!$H$37:$H$45</c:f>
              <c:strCache>
                <c:ptCount val="8"/>
                <c:pt idx="0">
                  <c:v>0%</c:v>
                </c:pt>
                <c:pt idx="1">
                  <c:v>10%</c:v>
                </c:pt>
                <c:pt idx="2">
                  <c:v>20%</c:v>
                </c:pt>
                <c:pt idx="3">
                  <c:v>30%</c:v>
                </c:pt>
                <c:pt idx="4">
                  <c:v>40%</c:v>
                </c:pt>
                <c:pt idx="5">
                  <c:v>50%</c:v>
                </c:pt>
                <c:pt idx="6">
                  <c:v>60%</c:v>
                </c:pt>
                <c:pt idx="7">
                  <c:v>70%</c:v>
                </c:pt>
              </c:strCache>
            </c:strRef>
          </c:cat>
          <c:val>
            <c:numRef>
              <c:f>Sheet1!$L$37:$L$45</c:f>
              <c:numCache>
                <c:formatCode>General</c:formatCode>
                <c:ptCount val="8"/>
                <c:pt idx="0">
                  <c:v>1777679</c:v>
                </c:pt>
                <c:pt idx="1">
                  <c:v>626679</c:v>
                </c:pt>
                <c:pt idx="2">
                  <c:v>1696289</c:v>
                </c:pt>
                <c:pt idx="3">
                  <c:v>2142359</c:v>
                </c:pt>
                <c:pt idx="4">
                  <c:v>2257969</c:v>
                </c:pt>
                <c:pt idx="5">
                  <c:v>899680</c:v>
                </c:pt>
                <c:pt idx="6">
                  <c:v>1226940</c:v>
                </c:pt>
                <c:pt idx="7">
                  <c:v>189990</c:v>
                </c:pt>
              </c:numCache>
            </c:numRef>
          </c:val>
          <c:extLst>
            <c:ext xmlns:c16="http://schemas.microsoft.com/office/drawing/2014/chart" uri="{C3380CC4-5D6E-409C-BE32-E72D297353CC}">
              <c16:uniqueId val="{00000003-1A30-4589-96D9-A984AB23EDCF}"/>
            </c:ext>
          </c:extLst>
        </c:ser>
        <c:ser>
          <c:idx val="4"/>
          <c:order val="4"/>
          <c:tx>
            <c:strRef>
              <c:f>Sheet1!$M$35:$M$36</c:f>
              <c:strCache>
                <c:ptCount val="1"/>
                <c:pt idx="0">
                  <c:v>Ultra HD LED</c:v>
                </c:pt>
              </c:strCache>
            </c:strRef>
          </c:tx>
          <c:spPr>
            <a:solidFill>
              <a:schemeClr val="accent5">
                <a:lumMod val="50000"/>
                <a:alpha val="70000"/>
              </a:schemeClr>
            </a:solidFill>
            <a:ln>
              <a:noFill/>
            </a:ln>
            <a:effectLst>
              <a:outerShdw blurRad="50800" dist="38100" dir="2700000" algn="tl" rotWithShape="0">
                <a:prstClr val="black">
                  <a:alpha val="40000"/>
                </a:prstClr>
              </a:outerShdw>
            </a:effectLst>
          </c:spPr>
          <c:cat>
            <c:strRef>
              <c:f>Sheet1!$H$37:$H$45</c:f>
              <c:strCache>
                <c:ptCount val="8"/>
                <c:pt idx="0">
                  <c:v>0%</c:v>
                </c:pt>
                <c:pt idx="1">
                  <c:v>10%</c:v>
                </c:pt>
                <c:pt idx="2">
                  <c:v>20%</c:v>
                </c:pt>
                <c:pt idx="3">
                  <c:v>30%</c:v>
                </c:pt>
                <c:pt idx="4">
                  <c:v>40%</c:v>
                </c:pt>
                <c:pt idx="5">
                  <c:v>50%</c:v>
                </c:pt>
                <c:pt idx="6">
                  <c:v>60%</c:v>
                </c:pt>
                <c:pt idx="7">
                  <c:v>70%</c:v>
                </c:pt>
              </c:strCache>
            </c:strRef>
          </c:cat>
          <c:val>
            <c:numRef>
              <c:f>Sheet1!$M$37:$M$45</c:f>
              <c:numCache>
                <c:formatCode>General</c:formatCode>
                <c:ptCount val="8"/>
                <c:pt idx="0">
                  <c:v>6296997</c:v>
                </c:pt>
                <c:pt idx="1">
                  <c:v>1832412</c:v>
                </c:pt>
                <c:pt idx="2">
                  <c:v>5762579</c:v>
                </c:pt>
                <c:pt idx="3">
                  <c:v>11356921</c:v>
                </c:pt>
                <c:pt idx="4">
                  <c:v>10669947</c:v>
                </c:pt>
                <c:pt idx="5">
                  <c:v>7302410</c:v>
                </c:pt>
                <c:pt idx="6">
                  <c:v>1496400</c:v>
                </c:pt>
                <c:pt idx="7">
                  <c:v>263980</c:v>
                </c:pt>
              </c:numCache>
            </c:numRef>
          </c:val>
          <c:extLst>
            <c:ext xmlns:c16="http://schemas.microsoft.com/office/drawing/2014/chart" uri="{C3380CC4-5D6E-409C-BE32-E72D297353CC}">
              <c16:uniqueId val="{00000004-1A30-4589-96D9-A984AB23EDCF}"/>
            </c:ext>
          </c:extLst>
        </c:ser>
        <c:dLbls>
          <c:showLegendKey val="0"/>
          <c:showVal val="0"/>
          <c:showCatName val="0"/>
          <c:showSerName val="0"/>
          <c:showPercent val="0"/>
          <c:showBubbleSize val="0"/>
        </c:dLbls>
        <c:axId val="307201583"/>
        <c:axId val="307204463"/>
      </c:areaChart>
      <c:catAx>
        <c:axId val="30720158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1" i="0" u="none" strike="noStrike" kern="1200" baseline="0">
                <a:solidFill>
                  <a:schemeClr val="tx1">
                    <a:lumMod val="65000"/>
                    <a:lumOff val="35000"/>
                  </a:schemeClr>
                </a:solidFill>
                <a:latin typeface="Arial" panose="020B0604020202020204" pitchFamily="34" charset="0"/>
                <a:ea typeface="+mn-ea"/>
                <a:cs typeface="+mn-cs"/>
              </a:defRPr>
            </a:pPr>
            <a:endParaRPr lang="en-US"/>
          </a:p>
        </c:txPr>
        <c:crossAx val="307204463"/>
        <c:crosses val="autoZero"/>
        <c:auto val="1"/>
        <c:lblAlgn val="ctr"/>
        <c:lblOffset val="100"/>
        <c:noMultiLvlLbl val="0"/>
      </c:catAx>
      <c:valAx>
        <c:axId val="307204463"/>
        <c:scaling>
          <c:orientation val="minMax"/>
        </c:scaling>
        <c:delete val="0"/>
        <c:axPos val="l"/>
        <c:numFmt formatCode="&quot;₹&quot;\ 0,,\ &quot;M&quot;" sourceLinked="0"/>
        <c:majorTickMark val="out"/>
        <c:minorTickMark val="out"/>
        <c:tickLblPos val="nextTo"/>
        <c:spPr>
          <a:noFill/>
          <a:ln>
            <a:solidFill>
              <a:schemeClr val="accent1"/>
            </a:solidFill>
          </a:ln>
          <a:effectLst/>
        </c:spPr>
        <c:txPr>
          <a:bodyPr rot="-60000000" spcFirstLastPara="1" vertOverflow="ellipsis" vert="horz" wrap="square" anchor="ctr" anchorCtr="1"/>
          <a:lstStyle/>
          <a:p>
            <a:pPr>
              <a:defRPr lang="en-US" sz="900" b="1" i="0" u="none" strike="noStrike" kern="1200" baseline="0">
                <a:solidFill>
                  <a:schemeClr val="tx1">
                    <a:lumMod val="65000"/>
                    <a:lumOff val="35000"/>
                  </a:schemeClr>
                </a:solidFill>
                <a:latin typeface="Arial" panose="020B0604020202020204" pitchFamily="34" charset="0"/>
                <a:ea typeface="+mn-ea"/>
                <a:cs typeface="+mn-cs"/>
              </a:defRPr>
            </a:pPr>
            <a:endParaRPr lang="en-US"/>
          </a:p>
        </c:txPr>
        <c:crossAx val="307201583"/>
        <c:crosses val="autoZero"/>
        <c:crossBetween val="midCat"/>
      </c:valAx>
      <c:spPr>
        <a:noFill/>
        <a:ln>
          <a:noFill/>
        </a:ln>
        <a:effectLst>
          <a:glow rad="63500">
            <a:schemeClr val="accent5"/>
          </a:glow>
        </a:effectLst>
      </c:spPr>
    </c:plotArea>
    <c:legend>
      <c:legendPos val="t"/>
      <c:layout>
        <c:manualLayout>
          <c:xMode val="edge"/>
          <c:yMode val="edge"/>
          <c:x val="0.1775263849134521"/>
          <c:y val="3.0045301300147036E-2"/>
          <c:w val="0.81798526991635145"/>
          <c:h val="5.8000009162763905E-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Arial" panose="020B0604020202020204" pitchFamily="34" charset="0"/>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tx>
        <cx:txData>
          <cx:v>Discount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Discount</a:t>
          </a:r>
        </a:p>
      </cx:txPr>
    </cx:title>
    <cx:plotArea>
      <cx:plotAreaRegion>
        <cx:series layoutId="clusteredColumn" uniqueId="{9B31B2B0-B8D8-4A67-8F74-FFCB7A2CAC2E}">
          <cx:spPr>
            <a:gradFill>
              <a:gsLst>
                <a:gs pos="21000">
                  <a:schemeClr val="accent1">
                    <a:lumMod val="5000"/>
                    <a:lumOff val="95000"/>
                  </a:schemeClr>
                </a:gs>
                <a:gs pos="100000">
                  <a:srgbClr val="FFC000">
                    <a:alpha val="98000"/>
                  </a:srgbClr>
                </a:gs>
                <a:gs pos="699">
                  <a:schemeClr val="accent1">
                    <a:lumMod val="0"/>
                    <a:lumOff val="100000"/>
                  </a:schemeClr>
                </a:gs>
                <a:gs pos="100000">
                  <a:srgbClr val="FFC000">
                    <a:alpha val="98000"/>
                  </a:srgbClr>
                </a:gs>
              </a:gsLst>
              <a:lin ang="21594000" scaled="0"/>
            </a:gradFill>
            <a:ln>
              <a:solidFill>
                <a:schemeClr val="tx1">
                  <a:alpha val="99000"/>
                </a:schemeClr>
              </a:solidFill>
            </a:ln>
          </cx:spPr>
          <cx:dataId val="0"/>
          <cx:layoutPr>
            <cx:aggregation/>
          </cx:layoutPr>
          <cx:axisId val="1"/>
        </cx:series>
        <cx:series layoutId="paretoLine" ownerIdx="0" uniqueId="{55098540-8B14-423A-B77D-D31DE0478F11}">
          <cx:spPr>
            <a:ln cmpd="dbl">
              <a:solidFill>
                <a:schemeClr val="tx1"/>
              </a:solidFill>
              <a:prstDash val="lgDashDot"/>
            </a:ln>
          </cx:spPr>
          <cx:axisId val="2"/>
        </cx:series>
      </cx:plotAreaRegion>
      <cx:axis id="0">
        <cx:catScaling gapWidth="0.0399999991"/>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axis id="1" hidden="1">
        <cx:valScaling/>
        <cx:majorGridlines>
          <cx:spPr>
            <a:ln>
              <a:noFill/>
            </a:ln>
          </cx:spPr>
        </cx:majorGridlines>
        <cx:tickLabels/>
      </cx:axis>
      <cx:axis id="2" hidden="1">
        <cx:valScaling max="1" min="0"/>
        <cx:units unit="percentage"/>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title pos="t" align="ctr" overlay="0">
      <cx:tx>
        <cx:txData>
          <cx:v>Chart Title</cx:v>
        </cx:txData>
      </cx:tx>
      <cx:txPr>
        <a:bodyPr vertOverflow="overflow" horzOverflow="overflow" wrap="square" lIns="0" tIns="0" rIns="0" bIns="0"/>
        <a:lstStyle/>
        <a:p>
          <a:pPr algn="ctr" rtl="0">
            <a:defRPr sz="1400" b="0" i="0">
              <a:solidFill>
                <a:srgbClr val="7F7F7F"/>
              </a:solidFill>
              <a:latin typeface="Calibri" panose="020F0502020204030204" pitchFamily="34" charset="0"/>
              <a:ea typeface="Calibri" panose="020F0502020204030204" pitchFamily="34" charset="0"/>
              <a:cs typeface="Calibri" panose="020F0502020204030204" pitchFamily="34" charset="0"/>
            </a:defRPr>
          </a:pPr>
          <a:r>
            <a:t>Chart Title</a:t>
          </a:r>
        </a:p>
      </cx:txPr>
    </cx:title>
    <cx:plotArea>
      <cx:plotAreaRegion>
        <cx:series layoutId="clusteredColumn" uniqueId="{929E5A09-C211-4F57-A4AE-CE2EB1E732FD}">
          <cx:dataId val="0"/>
          <cx:layoutPr>
            <cx:binning intervalClosed="r">
              <cx:binCount val="2"/>
            </cx:binning>
          </cx:layoutPr>
        </cx:series>
      </cx:plotAreaRegion>
      <cx:axis id="0">
        <cx:catScaling gapWidth="0"/>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axis id="1">
        <cx:valScaling/>
        <cx:majorGridlines/>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data id="1">
      <cx:numDim type="val">
        <cx:f>_xlchart.v1.4</cx:f>
      </cx:numDim>
    </cx:data>
  </cx:chartData>
  <cx:chart>
    <cx:plotArea>
      <cx:plotAreaRegion>
        <cx:plotSurface>
          <cx:spPr>
            <a:ln w="9525">
              <a:noFill/>
            </a:ln>
            <a:effectLst>
              <a:outerShdw blurRad="50800" dist="38100" algn="l" rotWithShape="0">
                <a:prstClr val="black">
                  <a:alpha val="40000"/>
                </a:prstClr>
              </a:outerShdw>
            </a:effectLst>
          </cx:spPr>
        </cx:plotSurface>
        <cx:series layoutId="clusteredColumn" uniqueId="{E702A97D-73BF-411C-91EE-8053F121A5E3}" formatIdx="0">
          <cx:spPr>
            <a:solidFill>
              <a:schemeClr val="tx2"/>
            </a:solidFill>
          </cx:spPr>
          <cx:dataLabels pos="outEnd">
            <cx:spPr>
              <a:ln>
                <a:noFill/>
              </a:ln>
            </cx:spPr>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visibility seriesName="0" categoryName="0" value="1"/>
            <cx:separator>, </cx:separator>
            <cx:dataLabel idx="0" pos="outEnd">
              <cx:visibility seriesName="0" categoryName="0" value="1"/>
              <cx:separator>, </cx:separator>
            </cx:dataLabel>
          </cx:dataLabels>
          <cx:dataId val="0"/>
          <cx:layoutPr>
            <cx:binning intervalClosed="r" underflow="auto">
              <cx:binCount val="2"/>
            </cx:binning>
          </cx:layoutPr>
        </cx:series>
        <cx:series layoutId="clusteredColumn" hidden="1" uniqueId="{D7ECB628-5372-40CE-95D7-D9C1ACDD8678}" formatIdx="1">
          <cx:dataLabels pos="inEnd">
            <cx:visibility seriesName="0" categoryName="0" value="1"/>
          </cx:dataLabels>
          <cx:dataId val="1"/>
          <cx:layoutPr>
            <cx:binning intervalClosed="r"/>
          </cx:layoutPr>
        </cx:series>
      </cx:plotAreaRegion>
      <cx:axis id="0">
        <cx:catScaling gapWidth="0"/>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axis id="1" hidden="1">
        <cx:valScaling/>
        <cx:tickLabels/>
      </cx:axis>
    </cx:plotArea>
  </cx:chart>
  <cx:spPr>
    <a:noFill/>
    <a:ln>
      <a:noFill/>
    </a:ln>
    <a:effectLst>
      <a:outerShdw blurRad="50800" dist="38100" algn="l" rotWithShape="0">
        <a:prstClr val="black">
          <a:alpha val="40000"/>
        </a:prstClr>
      </a:outerShdw>
    </a:effectLst>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Reversed" id="21">
  <a:schemeClr val="accent1"/>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8.xml><?xml version="1.0" encoding="utf-8"?>
<cs:colorStyle xmlns:cs="http://schemas.microsoft.com/office/drawing/2012/chartStyle" xmlns:a="http://schemas.openxmlformats.org/drawingml/2006/main" meth="withinLinearReversed" id="21">
  <a:schemeClr val="accent1"/>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6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microsoft.com/office/2014/relationships/chartEx" Target="../charts/chartEx2.xml"/></Relationships>
</file>

<file path=xl/drawings/_rels/drawing3.xml.rels><?xml version="1.0" encoding="UTF-8" standalone="yes"?>
<Relationships xmlns="http://schemas.openxmlformats.org/package/2006/relationships"><Relationship Id="rId8" Type="http://schemas.openxmlformats.org/officeDocument/2006/relationships/image" Target="../media/image5.svg"/><Relationship Id="rId13" Type="http://schemas.openxmlformats.org/officeDocument/2006/relationships/hyperlink" Target="#'Leading sales'!G10"/><Relationship Id="rId3" Type="http://schemas.openxmlformats.org/officeDocument/2006/relationships/chart" Target="../charts/chart5.xml"/><Relationship Id="rId7" Type="http://schemas.openxmlformats.org/officeDocument/2006/relationships/image" Target="../media/image4.png"/><Relationship Id="rId12" Type="http://schemas.microsoft.com/office/2007/relationships/hdphoto" Target="../media/hdphoto1.wdp"/><Relationship Id="rId17" Type="http://schemas.openxmlformats.org/officeDocument/2006/relationships/chart" Target="../charts/chart7.xml"/><Relationship Id="rId2" Type="http://schemas.openxmlformats.org/officeDocument/2006/relationships/chart" Target="../charts/chart4.xml"/><Relationship Id="rId16" Type="http://schemas.microsoft.com/office/2014/relationships/chartEx" Target="../charts/chartEx3.xml"/><Relationship Id="rId1" Type="http://schemas.openxmlformats.org/officeDocument/2006/relationships/chart" Target="../charts/chart3.xml"/><Relationship Id="rId6" Type="http://schemas.openxmlformats.org/officeDocument/2006/relationships/image" Target="../media/image3.svg"/><Relationship Id="rId11" Type="http://schemas.openxmlformats.org/officeDocument/2006/relationships/image" Target="../media/image8.png"/><Relationship Id="rId5" Type="http://schemas.openxmlformats.org/officeDocument/2006/relationships/image" Target="../media/image2.png"/><Relationship Id="rId15" Type="http://schemas.microsoft.com/office/2007/relationships/hdphoto" Target="../media/hdphoto2.wdp"/><Relationship Id="rId10" Type="http://schemas.openxmlformats.org/officeDocument/2006/relationships/image" Target="../media/image7.svg"/><Relationship Id="rId4" Type="http://schemas.openxmlformats.org/officeDocument/2006/relationships/chart" Target="../charts/chart6.xml"/><Relationship Id="rId9" Type="http://schemas.openxmlformats.org/officeDocument/2006/relationships/image" Target="../media/image6.png"/><Relationship Id="rId14"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8</xdr:col>
      <xdr:colOff>144780</xdr:colOff>
      <xdr:row>5</xdr:row>
      <xdr:rowOff>7620</xdr:rowOff>
    </xdr:from>
    <xdr:to>
      <xdr:col>12</xdr:col>
      <xdr:colOff>662940</xdr:colOff>
      <xdr:row>20</xdr:row>
      <xdr:rowOff>7620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CB2A7762-3EDA-F500-514D-F7DBCAA8787A}"/>
                </a:ext>
                <a:ext uri="{147F2762-F138-4A5C-976F-8EAC2B608ADB}">
                  <a16:predDERef xmlns:a16="http://schemas.microsoft.com/office/drawing/2014/main" pred="{E844997C-7746-E403-EBC1-A37208FEAC0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9197340" y="883920"/>
              <a:ext cx="4389120" cy="26289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xdr:col>
      <xdr:colOff>1014024</xdr:colOff>
      <xdr:row>55</xdr:row>
      <xdr:rowOff>155223</xdr:rowOff>
    </xdr:from>
    <xdr:to>
      <xdr:col>3</xdr:col>
      <xdr:colOff>86599</xdr:colOff>
      <xdr:row>69</xdr:row>
      <xdr:rowOff>136384</xdr:rowOff>
    </xdr:to>
    <mc:AlternateContent xmlns:mc="http://schemas.openxmlformats.org/markup-compatibility/2006" xmlns:a14="http://schemas.microsoft.com/office/drawing/2010/main">
      <mc:Choice Requires="a14">
        <xdr:graphicFrame macro="">
          <xdr:nvGraphicFramePr>
            <xdr:cNvPr id="2" name="Ratings Strings">
              <a:extLst>
                <a:ext uri="{FF2B5EF4-FFF2-40B4-BE49-F238E27FC236}">
                  <a16:creationId xmlns:a16="http://schemas.microsoft.com/office/drawing/2014/main" id="{CED2F938-0631-4C68-50B4-157BCF1C227F}"/>
                </a:ext>
              </a:extLst>
            </xdr:cNvPr>
            <xdr:cNvGraphicFramePr/>
          </xdr:nvGraphicFramePr>
          <xdr:xfrm>
            <a:off x="0" y="0"/>
            <a:ext cx="0" cy="0"/>
          </xdr:xfrm>
          <a:graphic>
            <a:graphicData uri="http://schemas.microsoft.com/office/drawing/2010/slicer">
              <sle:slicer xmlns:sle="http://schemas.microsoft.com/office/drawing/2010/slicer" name="Ratings Strings"/>
            </a:graphicData>
          </a:graphic>
        </xdr:graphicFrame>
      </mc:Choice>
      <mc:Fallback xmlns="">
        <xdr:sp macro="" textlink="">
          <xdr:nvSpPr>
            <xdr:cNvPr id="0" name=""/>
            <xdr:cNvSpPr>
              <a:spLocks noTextEdit="1"/>
            </xdr:cNvSpPr>
          </xdr:nvSpPr>
          <xdr:spPr>
            <a:xfrm>
              <a:off x="2264854" y="9644280"/>
              <a:ext cx="1833028" cy="243968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228600</xdr:colOff>
      <xdr:row>32</xdr:row>
      <xdr:rowOff>175260</xdr:rowOff>
    </xdr:from>
    <xdr:to>
      <xdr:col>7</xdr:col>
      <xdr:colOff>754380</xdr:colOff>
      <xdr:row>47</xdr:row>
      <xdr:rowOff>175260</xdr:rowOff>
    </xdr:to>
    <xdr:graphicFrame macro="">
      <xdr:nvGraphicFramePr>
        <xdr:cNvPr id="3" name="Chart 2">
          <a:extLst>
            <a:ext uri="{FF2B5EF4-FFF2-40B4-BE49-F238E27FC236}">
              <a16:creationId xmlns:a16="http://schemas.microsoft.com/office/drawing/2014/main" id="{EBA78799-808E-20E0-24E0-A41D8B31A562}"/>
            </a:ext>
            <a:ext uri="{147F2762-F138-4A5C-976F-8EAC2B608ADB}">
              <a16:predDERef xmlns:a16="http://schemas.microsoft.com/office/drawing/2014/main" pred="{CED2F938-0631-4C68-50B4-157BCF1C22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640080</xdr:colOff>
      <xdr:row>19</xdr:row>
      <xdr:rowOff>91440</xdr:rowOff>
    </xdr:from>
    <xdr:to>
      <xdr:col>6</xdr:col>
      <xdr:colOff>1803400</xdr:colOff>
      <xdr:row>32</xdr:row>
      <xdr:rowOff>165735</xdr:rowOff>
    </xdr:to>
    <mc:AlternateContent xmlns:mc="http://schemas.openxmlformats.org/markup-compatibility/2006" xmlns:a14="http://schemas.microsoft.com/office/drawing/2010/main">
      <mc:Choice Requires="a14">
        <xdr:graphicFrame macro="">
          <xdr:nvGraphicFramePr>
            <xdr:cNvPr id="5" name="Discount Rating">
              <a:extLst>
                <a:ext uri="{FF2B5EF4-FFF2-40B4-BE49-F238E27FC236}">
                  <a16:creationId xmlns:a16="http://schemas.microsoft.com/office/drawing/2014/main" id="{8ED9C58F-51A9-CB2C-FC1B-0D6AFC12007D}"/>
                </a:ext>
              </a:extLst>
            </xdr:cNvPr>
            <xdr:cNvGraphicFramePr/>
          </xdr:nvGraphicFramePr>
          <xdr:xfrm>
            <a:off x="0" y="0"/>
            <a:ext cx="0" cy="0"/>
          </xdr:xfrm>
          <a:graphic>
            <a:graphicData uri="http://schemas.microsoft.com/office/drawing/2010/slicer">
              <sle:slicer xmlns:sle="http://schemas.microsoft.com/office/drawing/2010/slicer" name="Discount Rating"/>
            </a:graphicData>
          </a:graphic>
        </xdr:graphicFrame>
      </mc:Choice>
      <mc:Fallback xmlns="">
        <xdr:sp macro="" textlink="">
          <xdr:nvSpPr>
            <xdr:cNvPr id="0" name=""/>
            <xdr:cNvSpPr>
              <a:spLocks noTextEdit="1"/>
            </xdr:cNvSpPr>
          </xdr:nvSpPr>
          <xdr:spPr>
            <a:xfrm>
              <a:off x="7190822" y="3477424"/>
              <a:ext cx="1826588" cy="239102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67</xdr:row>
      <xdr:rowOff>0</xdr:rowOff>
    </xdr:from>
    <xdr:to>
      <xdr:col>5</xdr:col>
      <xdr:colOff>7620</xdr:colOff>
      <xdr:row>82</xdr:row>
      <xdr:rowOff>114300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52009D7E-FD8F-438A-AE89-802D7167279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005840" y="11742420"/>
              <a:ext cx="554736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1768231</xdr:colOff>
      <xdr:row>49</xdr:row>
      <xdr:rowOff>97042</xdr:rowOff>
    </xdr:from>
    <xdr:to>
      <xdr:col>11</xdr:col>
      <xdr:colOff>739205</xdr:colOff>
      <xdr:row>65</xdr:row>
      <xdr:rowOff>26704</xdr:rowOff>
    </xdr:to>
    <xdr:graphicFrame macro="">
      <xdr:nvGraphicFramePr>
        <xdr:cNvPr id="2" name="Chart 1">
          <a:extLst>
            <a:ext uri="{FF2B5EF4-FFF2-40B4-BE49-F238E27FC236}">
              <a16:creationId xmlns:a16="http://schemas.microsoft.com/office/drawing/2014/main" id="{D15EAB70-EC69-F9F1-424E-77FDD3FB05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16</xdr:col>
      <xdr:colOff>387052</xdr:colOff>
      <xdr:row>29</xdr:row>
      <xdr:rowOff>143565</xdr:rowOff>
    </xdr:from>
    <xdr:to>
      <xdr:col>21</xdr:col>
      <xdr:colOff>938286</xdr:colOff>
      <xdr:row>53</xdr:row>
      <xdr:rowOff>33181</xdr:rowOff>
    </xdr:to>
    <xdr:sp macro="" textlink="">
      <xdr:nvSpPr>
        <xdr:cNvPr id="26" name="Rectangle: Diagonal Corners Rounded 25">
          <a:extLst>
            <a:ext uri="{FF2B5EF4-FFF2-40B4-BE49-F238E27FC236}">
              <a16:creationId xmlns:a16="http://schemas.microsoft.com/office/drawing/2014/main" id="{C02E44CA-92A3-44D5-BAF0-C3A8866F9E95}"/>
            </a:ext>
          </a:extLst>
        </xdr:cNvPr>
        <xdr:cNvSpPr/>
      </xdr:nvSpPr>
      <xdr:spPr>
        <a:xfrm>
          <a:off x="23125574" y="5610087"/>
          <a:ext cx="4648364" cy="4130311"/>
        </a:xfrm>
        <a:prstGeom prst="round2DiagRect">
          <a:avLst/>
        </a:prstGeom>
        <a:solidFill>
          <a:schemeClr val="bg1">
            <a:lumMod val="8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16</xdr:col>
      <xdr:colOff>548640</xdr:colOff>
      <xdr:row>9</xdr:row>
      <xdr:rowOff>81280</xdr:rowOff>
    </xdr:from>
    <xdr:to>
      <xdr:col>21</xdr:col>
      <xdr:colOff>894080</xdr:colOff>
      <xdr:row>26</xdr:row>
      <xdr:rowOff>84667</xdr:rowOff>
    </xdr:to>
    <xdr:sp macro="" textlink="">
      <xdr:nvSpPr>
        <xdr:cNvPr id="20" name="Rectangle: Diagonal Corners Rounded 19">
          <a:extLst>
            <a:ext uri="{FF2B5EF4-FFF2-40B4-BE49-F238E27FC236}">
              <a16:creationId xmlns:a16="http://schemas.microsoft.com/office/drawing/2014/main" id="{B918397D-B2DF-4B61-85D0-FFF4A981D226}"/>
            </a:ext>
          </a:extLst>
        </xdr:cNvPr>
        <xdr:cNvSpPr/>
      </xdr:nvSpPr>
      <xdr:spPr>
        <a:xfrm>
          <a:off x="23281640" y="1647613"/>
          <a:ext cx="4437662" cy="3277165"/>
        </a:xfrm>
        <a:prstGeom prst="round2DiagRect">
          <a:avLst/>
        </a:prstGeom>
        <a:solidFill>
          <a:schemeClr val="bg1">
            <a:lumMod val="8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10</xdr:col>
      <xdr:colOff>100479</xdr:colOff>
      <xdr:row>24</xdr:row>
      <xdr:rowOff>51547</xdr:rowOff>
    </xdr:from>
    <xdr:to>
      <xdr:col>16</xdr:col>
      <xdr:colOff>10832</xdr:colOff>
      <xdr:row>53</xdr:row>
      <xdr:rowOff>113179</xdr:rowOff>
    </xdr:to>
    <xdr:sp macro="" textlink="">
      <xdr:nvSpPr>
        <xdr:cNvPr id="12" name="Rectangle 11">
          <a:extLst>
            <a:ext uri="{FF2B5EF4-FFF2-40B4-BE49-F238E27FC236}">
              <a16:creationId xmlns:a16="http://schemas.microsoft.com/office/drawing/2014/main" id="{BF3EC046-F3A1-E703-B41F-991D266B8CF0}"/>
            </a:ext>
          </a:extLst>
        </xdr:cNvPr>
        <xdr:cNvSpPr/>
      </xdr:nvSpPr>
      <xdr:spPr>
        <a:xfrm>
          <a:off x="10863729" y="4528297"/>
          <a:ext cx="11873753" cy="5033682"/>
        </a:xfrm>
        <a:prstGeom prst="rect">
          <a:avLst/>
        </a:prstGeom>
        <a:solidFill>
          <a:schemeClr val="bg1">
            <a:lumMod val="8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4</xdr:col>
      <xdr:colOff>373813</xdr:colOff>
      <xdr:row>31</xdr:row>
      <xdr:rowOff>16212</xdr:rowOff>
    </xdr:from>
    <xdr:to>
      <xdr:col>9</xdr:col>
      <xdr:colOff>575096</xdr:colOff>
      <xdr:row>53</xdr:row>
      <xdr:rowOff>61784</xdr:rowOff>
    </xdr:to>
    <xdr:sp macro="" textlink="">
      <xdr:nvSpPr>
        <xdr:cNvPr id="11" name="Rectangle: Diagonal Corners Rounded 10">
          <a:extLst>
            <a:ext uri="{FF2B5EF4-FFF2-40B4-BE49-F238E27FC236}">
              <a16:creationId xmlns:a16="http://schemas.microsoft.com/office/drawing/2014/main" id="{B3A4CEC0-BDE4-4BD6-993D-11FDDBF9394E}"/>
            </a:ext>
          </a:extLst>
        </xdr:cNvPr>
        <xdr:cNvSpPr/>
      </xdr:nvSpPr>
      <xdr:spPr>
        <a:xfrm>
          <a:off x="3551515" y="5787957"/>
          <a:ext cx="5827113" cy="3969061"/>
        </a:xfrm>
        <a:prstGeom prst="round2DiagRect">
          <a:avLst/>
        </a:prstGeom>
        <a:solidFill>
          <a:schemeClr val="bg1">
            <a:lumMod val="8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4</xdr:col>
      <xdr:colOff>460077</xdr:colOff>
      <xdr:row>8</xdr:row>
      <xdr:rowOff>129398</xdr:rowOff>
    </xdr:from>
    <xdr:to>
      <xdr:col>9</xdr:col>
      <xdr:colOff>567447</xdr:colOff>
      <xdr:row>28</xdr:row>
      <xdr:rowOff>145916</xdr:rowOff>
    </xdr:to>
    <xdr:sp macro="" textlink="">
      <xdr:nvSpPr>
        <xdr:cNvPr id="8" name="Rectangle: Diagonal Corners Rounded 7">
          <a:extLst>
            <a:ext uri="{FF2B5EF4-FFF2-40B4-BE49-F238E27FC236}">
              <a16:creationId xmlns:a16="http://schemas.microsoft.com/office/drawing/2014/main" id="{023DC7EE-AC93-0954-00EA-06E809246F98}"/>
            </a:ext>
          </a:extLst>
        </xdr:cNvPr>
        <xdr:cNvSpPr/>
      </xdr:nvSpPr>
      <xdr:spPr>
        <a:xfrm>
          <a:off x="3637779" y="1556121"/>
          <a:ext cx="5733200" cy="3826518"/>
        </a:xfrm>
        <a:prstGeom prst="round2DiagRect">
          <a:avLst/>
        </a:prstGeom>
        <a:solidFill>
          <a:schemeClr val="bg1">
            <a:lumMod val="8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editAs="oneCell">
    <xdr:from>
      <xdr:col>0</xdr:col>
      <xdr:colOff>501905</xdr:colOff>
      <xdr:row>45</xdr:row>
      <xdr:rowOff>19450</xdr:rowOff>
    </xdr:from>
    <xdr:to>
      <xdr:col>2</xdr:col>
      <xdr:colOff>563218</xdr:colOff>
      <xdr:row>54</xdr:row>
      <xdr:rowOff>147850</xdr:rowOff>
    </xdr:to>
    <mc:AlternateContent xmlns:mc="http://schemas.openxmlformats.org/markup-compatibility/2006" xmlns:a14="http://schemas.microsoft.com/office/drawing/2010/main">
      <mc:Choice Requires="a14">
        <xdr:graphicFrame macro="">
          <xdr:nvGraphicFramePr>
            <xdr:cNvPr id="9" name="Ratings Strings 2">
              <a:extLst>
                <a:ext uri="{FF2B5EF4-FFF2-40B4-BE49-F238E27FC236}">
                  <a16:creationId xmlns:a16="http://schemas.microsoft.com/office/drawing/2014/main" id="{DEBDAC03-870F-494A-9CD1-B4F04D568D30}"/>
                </a:ext>
              </a:extLst>
            </xdr:cNvPr>
            <xdr:cNvGraphicFramePr/>
          </xdr:nvGraphicFramePr>
          <xdr:xfrm>
            <a:off x="0" y="0"/>
            <a:ext cx="0" cy="0"/>
          </xdr:xfrm>
          <a:graphic>
            <a:graphicData uri="http://schemas.microsoft.com/office/drawing/2010/slicer">
              <sle:slicer xmlns:sle="http://schemas.microsoft.com/office/drawing/2010/slicer" name="Ratings Strings 2"/>
            </a:graphicData>
          </a:graphic>
        </xdr:graphicFrame>
      </mc:Choice>
      <mc:Fallback xmlns="">
        <xdr:sp macro="" textlink="">
          <xdr:nvSpPr>
            <xdr:cNvPr id="0" name=""/>
            <xdr:cNvSpPr>
              <a:spLocks noTextEdit="1"/>
            </xdr:cNvSpPr>
          </xdr:nvSpPr>
          <xdr:spPr>
            <a:xfrm>
              <a:off x="501905" y="8418015"/>
              <a:ext cx="1916617" cy="176835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252415</xdr:colOff>
      <xdr:row>8</xdr:row>
      <xdr:rowOff>69804</xdr:rowOff>
    </xdr:from>
    <xdr:to>
      <xdr:col>15</xdr:col>
      <xdr:colOff>44023</xdr:colOff>
      <xdr:row>10</xdr:row>
      <xdr:rowOff>83519</xdr:rowOff>
    </xdr:to>
    <xdr:sp macro="" textlink="">
      <xdr:nvSpPr>
        <xdr:cNvPr id="3" name="TextBox 2">
          <a:extLst>
            <a:ext uri="{FF2B5EF4-FFF2-40B4-BE49-F238E27FC236}">
              <a16:creationId xmlns:a16="http://schemas.microsoft.com/office/drawing/2014/main" id="{C9616F81-AE93-282F-4E33-4747532F2082}"/>
            </a:ext>
          </a:extLst>
        </xdr:cNvPr>
        <xdr:cNvSpPr txBox="1"/>
      </xdr:nvSpPr>
      <xdr:spPr>
        <a:xfrm>
          <a:off x="13101827" y="1504157"/>
          <a:ext cx="7650667" cy="3723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b="0">
              <a:latin typeface="Arial Rounded MT Bold" panose="020F0704030504030204" pitchFamily="34" charset="0"/>
            </a:rPr>
            <a:t>Top 10 Brands: Analyzing Total Selling and Original Prices by TV Resolution</a:t>
          </a:r>
        </a:p>
        <a:p>
          <a:endParaRPr lang="en-IN" sz="1100" b="0" kern="1200">
            <a:latin typeface="Arial Rounded MT Bold" panose="020F0704030504030204" pitchFamily="34" charset="0"/>
          </a:endParaRPr>
        </a:p>
      </xdr:txBody>
    </xdr:sp>
    <xdr:clientData/>
  </xdr:twoCellAnchor>
  <xdr:twoCellAnchor>
    <xdr:from>
      <xdr:col>4</xdr:col>
      <xdr:colOff>632605</xdr:colOff>
      <xdr:row>10</xdr:row>
      <xdr:rowOff>43133</xdr:rowOff>
    </xdr:from>
    <xdr:to>
      <xdr:col>9</xdr:col>
      <xdr:colOff>388775</xdr:colOff>
      <xdr:row>27</xdr:row>
      <xdr:rowOff>93306</xdr:rowOff>
    </xdr:to>
    <xdr:graphicFrame macro="">
      <xdr:nvGraphicFramePr>
        <xdr:cNvPr id="5" name="Chart 4">
          <a:extLst>
            <a:ext uri="{FF2B5EF4-FFF2-40B4-BE49-F238E27FC236}">
              <a16:creationId xmlns:a16="http://schemas.microsoft.com/office/drawing/2014/main" id="{BFDD628F-D55A-48E5-99A3-65DBD8EB81C2}"/>
            </a:ext>
            <a:ext uri="{147F2762-F138-4A5C-976F-8EAC2B608ADB}">
              <a16:predDERef xmlns:a16="http://schemas.microsoft.com/office/drawing/2014/main" pred="{C9616F81-AE93-282F-4E33-4747532F20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575094</xdr:colOff>
      <xdr:row>32</xdr:row>
      <xdr:rowOff>48638</xdr:rowOff>
    </xdr:from>
    <xdr:to>
      <xdr:col>9</xdr:col>
      <xdr:colOff>373224</xdr:colOff>
      <xdr:row>52</xdr:row>
      <xdr:rowOff>77755</xdr:rowOff>
    </xdr:to>
    <xdr:graphicFrame macro="">
      <xdr:nvGraphicFramePr>
        <xdr:cNvPr id="6" name="Chart 5">
          <a:extLst>
            <a:ext uri="{FF2B5EF4-FFF2-40B4-BE49-F238E27FC236}">
              <a16:creationId xmlns:a16="http://schemas.microsoft.com/office/drawing/2014/main" id="{DF756F51-829F-45C4-BCC9-B79A2B8C775D}"/>
            </a:ext>
            <a:ext uri="{147F2762-F138-4A5C-976F-8EAC2B608ADB}">
              <a16:predDERef xmlns:a16="http://schemas.microsoft.com/office/drawing/2014/main" pred="{BFDD628F-D55A-48E5-99A3-65DBD8EB81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130362</xdr:colOff>
      <xdr:row>24</xdr:row>
      <xdr:rowOff>81430</xdr:rowOff>
    </xdr:from>
    <xdr:to>
      <xdr:col>15</xdr:col>
      <xdr:colOff>2053291</xdr:colOff>
      <xdr:row>53</xdr:row>
      <xdr:rowOff>126253</xdr:rowOff>
    </xdr:to>
    <xdr:graphicFrame macro="">
      <xdr:nvGraphicFramePr>
        <xdr:cNvPr id="7" name="Chart 6">
          <a:extLst>
            <a:ext uri="{FF2B5EF4-FFF2-40B4-BE49-F238E27FC236}">
              <a16:creationId xmlns:a16="http://schemas.microsoft.com/office/drawing/2014/main" id="{C67333DF-742A-2B8B-23FC-65D735455F58}"/>
            </a:ext>
            <a:ext uri="{147F2762-F138-4A5C-976F-8EAC2B608ADB}">
              <a16:predDERef xmlns:a16="http://schemas.microsoft.com/office/drawing/2014/main" pred="{DF756F51-829F-45C4-BCC9-B79A2B8C77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1177056</xdr:colOff>
      <xdr:row>2</xdr:row>
      <xdr:rowOff>146377</xdr:rowOff>
    </xdr:from>
    <xdr:to>
      <xdr:col>10</xdr:col>
      <xdr:colOff>1884974</xdr:colOff>
      <xdr:row>6</xdr:row>
      <xdr:rowOff>124970</xdr:rowOff>
    </xdr:to>
    <xdr:sp macro="" textlink="Y100">
      <xdr:nvSpPr>
        <xdr:cNvPr id="10" name="TextBox 9">
          <a:extLst>
            <a:ext uri="{FF2B5EF4-FFF2-40B4-BE49-F238E27FC236}">
              <a16:creationId xmlns:a16="http://schemas.microsoft.com/office/drawing/2014/main" id="{AF5E5B3E-6207-24EE-F00F-2882018797D0}"/>
            </a:ext>
          </a:extLst>
        </xdr:cNvPr>
        <xdr:cNvSpPr txBox="1"/>
      </xdr:nvSpPr>
      <xdr:spPr>
        <a:xfrm>
          <a:off x="10007291" y="504965"/>
          <a:ext cx="2695095" cy="6957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E742FF7-462A-4D9A-9667-18B38F45E9CC}" type="TxLink">
            <a:rPr lang="en-US" sz="1600" b="0" i="0" u="none" strike="noStrike" kern="1200">
              <a:solidFill>
                <a:schemeClr val="bg1"/>
              </a:solidFill>
              <a:latin typeface="Arial Black" panose="020B0A04020102020204" pitchFamily="34" charset="0"/>
              <a:ea typeface="Calibri"/>
              <a:cs typeface="Calibri"/>
            </a:rPr>
            <a:pPr algn="ctr"/>
            <a:t>₹ 5,41,35,049</a:t>
          </a:fld>
          <a:endParaRPr lang="en-IN" sz="1600" kern="1200">
            <a:solidFill>
              <a:schemeClr val="bg1"/>
            </a:solidFill>
            <a:latin typeface="Arial Black" panose="020B0A04020102020204" pitchFamily="34" charset="0"/>
          </a:endParaRPr>
        </a:p>
      </xdr:txBody>
    </xdr:sp>
    <xdr:clientData/>
  </xdr:twoCellAnchor>
  <xdr:twoCellAnchor>
    <xdr:from>
      <xdr:col>12</xdr:col>
      <xdr:colOff>870555</xdr:colOff>
      <xdr:row>2</xdr:row>
      <xdr:rowOff>168617</xdr:rowOff>
    </xdr:from>
    <xdr:to>
      <xdr:col>14</xdr:col>
      <xdr:colOff>1353892</xdr:colOff>
      <xdr:row>6</xdr:row>
      <xdr:rowOff>168617</xdr:rowOff>
    </xdr:to>
    <xdr:sp macro="" textlink="Y103">
      <xdr:nvSpPr>
        <xdr:cNvPr id="14" name="TextBox 13">
          <a:extLst>
            <a:ext uri="{FF2B5EF4-FFF2-40B4-BE49-F238E27FC236}">
              <a16:creationId xmlns:a16="http://schemas.microsoft.com/office/drawing/2014/main" id="{B165E1FE-695F-903C-105D-4D1CC40F7855}"/>
            </a:ext>
          </a:extLst>
        </xdr:cNvPr>
        <xdr:cNvSpPr txBox="1"/>
      </xdr:nvSpPr>
      <xdr:spPr>
        <a:xfrm>
          <a:off x="15662320" y="527205"/>
          <a:ext cx="4577219" cy="7171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662B275-DCC3-4B00-BB80-4CD4E6B2E2EB}" type="TxLink">
            <a:rPr lang="en-US" sz="1600" b="0" i="0" u="none" strike="noStrike" kern="1200">
              <a:solidFill>
                <a:schemeClr val="bg1"/>
              </a:solidFill>
              <a:latin typeface="Arial Black" panose="020B0A04020102020204" pitchFamily="34" charset="0"/>
              <a:ea typeface="Calibri"/>
              <a:cs typeface="Calibri"/>
            </a:rPr>
            <a:pPr marL="0" indent="0" algn="ctr"/>
            <a:t>₹ 7,47,61,395</a:t>
          </a:fld>
          <a:endParaRPr lang="en-US" sz="1600" b="0" i="0" u="none" strike="noStrike" kern="1200">
            <a:solidFill>
              <a:schemeClr val="bg1"/>
            </a:solidFill>
            <a:latin typeface="Arial Black" panose="020B0A04020102020204" pitchFamily="34" charset="0"/>
            <a:ea typeface="Calibri"/>
            <a:cs typeface="Calibri"/>
          </a:endParaRPr>
        </a:p>
      </xdr:txBody>
    </xdr:sp>
    <xdr:clientData/>
  </xdr:twoCellAnchor>
  <xdr:twoCellAnchor>
    <xdr:from>
      <xdr:col>15</xdr:col>
      <xdr:colOff>259704</xdr:colOff>
      <xdr:row>2</xdr:row>
      <xdr:rowOff>170188</xdr:rowOff>
    </xdr:from>
    <xdr:to>
      <xdr:col>24</xdr:col>
      <xdr:colOff>748683</xdr:colOff>
      <xdr:row>6</xdr:row>
      <xdr:rowOff>10567</xdr:rowOff>
    </xdr:to>
    <xdr:sp macro="" textlink="Y97">
      <xdr:nvSpPr>
        <xdr:cNvPr id="15" name="TextBox 14">
          <a:extLst>
            <a:ext uri="{FF2B5EF4-FFF2-40B4-BE49-F238E27FC236}">
              <a16:creationId xmlns:a16="http://schemas.microsoft.com/office/drawing/2014/main" id="{BAC0E320-6BE8-436D-A208-688D260EB581}"/>
            </a:ext>
          </a:extLst>
        </xdr:cNvPr>
        <xdr:cNvSpPr txBox="1"/>
      </xdr:nvSpPr>
      <xdr:spPr>
        <a:xfrm>
          <a:off x="20968175" y="528776"/>
          <a:ext cx="7317096" cy="5575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D3C2F45-31B2-48B8-BDC5-03270CC50759}" type="TxLink">
            <a:rPr lang="en-US" sz="1600" b="0" i="0" u="none" strike="noStrike" kern="1200">
              <a:solidFill>
                <a:schemeClr val="bg1"/>
              </a:solidFill>
              <a:latin typeface="Arial Black" panose="020B0A04020102020204" pitchFamily="34" charset="0"/>
              <a:ea typeface="Calibri"/>
              <a:cs typeface="Calibri"/>
            </a:rPr>
            <a:pPr marL="0" indent="0" algn="ctr"/>
            <a:t>27.69%</a:t>
          </a:fld>
          <a:endParaRPr lang="en-US" sz="1600" b="0" i="0" u="none" strike="noStrike" kern="1200">
            <a:solidFill>
              <a:schemeClr val="bg1"/>
            </a:solidFill>
            <a:latin typeface="Arial Black" panose="020B0A04020102020204" pitchFamily="34" charset="0"/>
            <a:ea typeface="Calibri"/>
            <a:cs typeface="Calibri"/>
          </a:endParaRPr>
        </a:p>
      </xdr:txBody>
    </xdr:sp>
    <xdr:clientData/>
  </xdr:twoCellAnchor>
  <xdr:twoCellAnchor>
    <xdr:from>
      <xdr:col>9</xdr:col>
      <xdr:colOff>123319</xdr:colOff>
      <xdr:row>1</xdr:row>
      <xdr:rowOff>106857</xdr:rowOff>
    </xdr:from>
    <xdr:to>
      <xdr:col>12</xdr:col>
      <xdr:colOff>574700</xdr:colOff>
      <xdr:row>3</xdr:row>
      <xdr:rowOff>169974</xdr:rowOff>
    </xdr:to>
    <xdr:sp macro="" textlink="$I$199">
      <xdr:nvSpPr>
        <xdr:cNvPr id="17" name="TextBox 16">
          <a:extLst>
            <a:ext uri="{FF2B5EF4-FFF2-40B4-BE49-F238E27FC236}">
              <a16:creationId xmlns:a16="http://schemas.microsoft.com/office/drawing/2014/main" id="{799C80F3-990F-9283-FA6B-B6BE4A24B0A2}"/>
            </a:ext>
          </a:extLst>
        </xdr:cNvPr>
        <xdr:cNvSpPr txBox="1"/>
      </xdr:nvSpPr>
      <xdr:spPr>
        <a:xfrm>
          <a:off x="8932039" y="289737"/>
          <a:ext cx="6410221" cy="4288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E4638EA-8E52-4782-B77A-71267D97702E}" type="TxLink">
            <a:rPr lang="en-US" sz="1800" b="0" i="0" u="none" strike="noStrike" kern="1200">
              <a:solidFill>
                <a:schemeClr val="bg1"/>
              </a:solidFill>
              <a:latin typeface="Arial Black" panose="020B0A04020102020204" pitchFamily="34" charset="0"/>
              <a:ea typeface="Calibri"/>
              <a:cs typeface="Calibri"/>
            </a:rPr>
            <a:pPr marL="0" indent="0" algn="ctr"/>
            <a:t>Total Selling Prices For : Total Brand</a:t>
          </a:fld>
          <a:endParaRPr lang="en-US" sz="1800" b="0" i="0" u="none" strike="noStrike" kern="1200">
            <a:solidFill>
              <a:schemeClr val="bg1"/>
            </a:solidFill>
            <a:latin typeface="Arial Black" panose="020B0A04020102020204" pitchFamily="34" charset="0"/>
            <a:ea typeface="Calibri"/>
            <a:cs typeface="Calibri"/>
          </a:endParaRPr>
        </a:p>
      </xdr:txBody>
    </xdr:sp>
    <xdr:clientData/>
  </xdr:twoCellAnchor>
  <xdr:twoCellAnchor>
    <xdr:from>
      <xdr:col>15</xdr:col>
      <xdr:colOff>607098</xdr:colOff>
      <xdr:row>1</xdr:row>
      <xdr:rowOff>120725</xdr:rowOff>
    </xdr:from>
    <xdr:to>
      <xdr:col>24</xdr:col>
      <xdr:colOff>1199609</xdr:colOff>
      <xdr:row>3</xdr:row>
      <xdr:rowOff>180256</xdr:rowOff>
    </xdr:to>
    <xdr:sp macro="" textlink="$K$201">
      <xdr:nvSpPr>
        <xdr:cNvPr id="19" name="TextBox 18">
          <a:extLst>
            <a:ext uri="{FF2B5EF4-FFF2-40B4-BE49-F238E27FC236}">
              <a16:creationId xmlns:a16="http://schemas.microsoft.com/office/drawing/2014/main" id="{A6EA7518-4A6D-42F3-AD4A-E1B7CD802825}"/>
            </a:ext>
          </a:extLst>
        </xdr:cNvPr>
        <xdr:cNvSpPr txBox="1"/>
      </xdr:nvSpPr>
      <xdr:spPr>
        <a:xfrm>
          <a:off x="21318258" y="303605"/>
          <a:ext cx="7740071" cy="4252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7FE994E-C1D7-4E6C-A16E-45AE62230965}" type="TxLink">
            <a:rPr lang="en-US" sz="1800" b="0" i="0" u="none" strike="noStrike" kern="1200">
              <a:solidFill>
                <a:schemeClr val="bg1"/>
              </a:solidFill>
              <a:latin typeface="Arial Black" panose="020B0A04020102020204" pitchFamily="34" charset="0"/>
              <a:ea typeface="Calibri"/>
              <a:cs typeface="Calibri"/>
            </a:rPr>
            <a:pPr marL="0" indent="0" algn="ctr"/>
            <a:t>Average Discount For : Total Brand</a:t>
          </a:fld>
          <a:endParaRPr lang="en-IN" sz="1800" b="0" i="0" u="none" strike="noStrike" kern="1200">
            <a:solidFill>
              <a:schemeClr val="bg1"/>
            </a:solidFill>
            <a:latin typeface="Arial Black" panose="020B0A04020102020204" pitchFamily="34" charset="0"/>
            <a:ea typeface="Calibri"/>
            <a:cs typeface="Calibri"/>
          </a:endParaRPr>
        </a:p>
      </xdr:txBody>
    </xdr:sp>
    <xdr:clientData/>
  </xdr:twoCellAnchor>
  <xdr:twoCellAnchor editAs="absolute">
    <xdr:from>
      <xdr:col>4</xdr:col>
      <xdr:colOff>632309</xdr:colOff>
      <xdr:row>1</xdr:row>
      <xdr:rowOff>22921</xdr:rowOff>
    </xdr:from>
    <xdr:to>
      <xdr:col>9</xdr:col>
      <xdr:colOff>515371</xdr:colOff>
      <xdr:row>4</xdr:row>
      <xdr:rowOff>142683</xdr:rowOff>
    </xdr:to>
    <xdr:sp macro="" textlink="$K$204">
      <xdr:nvSpPr>
        <xdr:cNvPr id="24" name="TextBox 23">
          <a:extLst>
            <a:ext uri="{FF2B5EF4-FFF2-40B4-BE49-F238E27FC236}">
              <a16:creationId xmlns:a16="http://schemas.microsoft.com/office/drawing/2014/main" id="{11A0A25B-0652-3D4E-2E3C-5E13B70D1BCC}"/>
            </a:ext>
          </a:extLst>
        </xdr:cNvPr>
        <xdr:cNvSpPr txBox="1"/>
      </xdr:nvSpPr>
      <xdr:spPr>
        <a:xfrm>
          <a:off x="3832709" y="205801"/>
          <a:ext cx="5491382" cy="6684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5825158-1C6F-4D8A-BD6F-CDB2FB505BFF}" type="TxLink">
            <a:rPr lang="en-US" sz="1800" b="0" i="0" u="none" strike="noStrike" kern="1200">
              <a:solidFill>
                <a:schemeClr val="bg1"/>
              </a:solidFill>
              <a:latin typeface="Arial Black" panose="020B0A04020102020204" pitchFamily="34" charset="0"/>
              <a:ea typeface="Calibri"/>
              <a:cs typeface="Calibri"/>
            </a:rPr>
            <a:pPr marL="0" indent="0" algn="ctr"/>
            <a:t>Total Brands : Total Brand</a:t>
          </a:fld>
          <a:endParaRPr lang="en-US" sz="1800" b="0" i="0" u="none" strike="noStrike" kern="1200">
            <a:solidFill>
              <a:schemeClr val="bg1"/>
            </a:solidFill>
            <a:latin typeface="Arial Black" panose="020B0A04020102020204" pitchFamily="34" charset="0"/>
            <a:ea typeface="Calibri"/>
            <a:cs typeface="Calibri"/>
          </a:endParaRPr>
        </a:p>
      </xdr:txBody>
    </xdr:sp>
    <xdr:clientData/>
  </xdr:twoCellAnchor>
  <xdr:twoCellAnchor>
    <xdr:from>
      <xdr:col>6</xdr:col>
      <xdr:colOff>217581</xdr:colOff>
      <xdr:row>3</xdr:row>
      <xdr:rowOff>108323</xdr:rowOff>
    </xdr:from>
    <xdr:to>
      <xdr:col>7</xdr:col>
      <xdr:colOff>874603</xdr:colOff>
      <xdr:row>6</xdr:row>
      <xdr:rowOff>69075</xdr:rowOff>
    </xdr:to>
    <xdr:sp macro="" textlink="Y105">
      <xdr:nvSpPr>
        <xdr:cNvPr id="25" name="TextBox 24">
          <a:extLst>
            <a:ext uri="{FF2B5EF4-FFF2-40B4-BE49-F238E27FC236}">
              <a16:creationId xmlns:a16="http://schemas.microsoft.com/office/drawing/2014/main" id="{C31AC7AE-7041-41F3-BCD3-D38FA9D122D2}"/>
            </a:ext>
          </a:extLst>
        </xdr:cNvPr>
        <xdr:cNvSpPr txBox="1"/>
      </xdr:nvSpPr>
      <xdr:spPr>
        <a:xfrm>
          <a:off x="5282640" y="646205"/>
          <a:ext cx="1807492" cy="4986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B75E750-95C0-4F3E-8CD3-1495ED668252}" type="TxLink">
            <a:rPr lang="en-US" sz="1600" b="0" i="0" u="none" strike="noStrike" kern="1200">
              <a:solidFill>
                <a:schemeClr val="bg1"/>
              </a:solidFill>
              <a:latin typeface="Arial Black" panose="020B0A04020102020204" pitchFamily="34" charset="0"/>
              <a:ea typeface="Calibri"/>
              <a:cs typeface="Calibri"/>
            </a:rPr>
            <a:pPr marL="0" indent="0" algn="ctr"/>
            <a:t>58</a:t>
          </a:fld>
          <a:endParaRPr lang="en-US" sz="1600" b="0" i="0" u="none" strike="noStrike" kern="1200">
            <a:solidFill>
              <a:schemeClr val="bg1"/>
            </a:solidFill>
            <a:latin typeface="Arial Black" panose="020B0A04020102020204" pitchFamily="34" charset="0"/>
            <a:ea typeface="Calibri"/>
            <a:cs typeface="Calibri"/>
          </a:endParaRPr>
        </a:p>
      </xdr:txBody>
    </xdr:sp>
    <xdr:clientData/>
  </xdr:twoCellAnchor>
  <xdr:twoCellAnchor>
    <xdr:from>
      <xdr:col>0</xdr:col>
      <xdr:colOff>18435</xdr:colOff>
      <xdr:row>12</xdr:row>
      <xdr:rowOff>48067</xdr:rowOff>
    </xdr:from>
    <xdr:to>
      <xdr:col>4</xdr:col>
      <xdr:colOff>222542</xdr:colOff>
      <xdr:row>43</xdr:row>
      <xdr:rowOff>9797</xdr:rowOff>
    </xdr:to>
    <xdr:graphicFrame macro="">
      <xdr:nvGraphicFramePr>
        <xdr:cNvPr id="28" name="Chart 27">
          <a:extLst>
            <a:ext uri="{FF2B5EF4-FFF2-40B4-BE49-F238E27FC236}">
              <a16:creationId xmlns:a16="http://schemas.microsoft.com/office/drawing/2014/main" id="{1B103B52-4322-410C-9189-4EC9BFB2BF1B}"/>
            </a:ext>
            <a:ext uri="{147F2762-F138-4A5C-976F-8EAC2B608ADB}">
              <a16:predDERef xmlns:a16="http://schemas.microsoft.com/office/drawing/2014/main" pred="{C31AC7AE-7041-41F3-BCD3-D38FA9D122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510482</xdr:colOff>
      <xdr:row>1</xdr:row>
      <xdr:rowOff>156897</xdr:rowOff>
    </xdr:from>
    <xdr:to>
      <xdr:col>15</xdr:col>
      <xdr:colOff>1529592</xdr:colOff>
      <xdr:row>4</xdr:row>
      <xdr:rowOff>37134</xdr:rowOff>
    </xdr:to>
    <xdr:sp macro="" textlink="$I$202">
      <xdr:nvSpPr>
        <xdr:cNvPr id="2" name="TextBox 1">
          <a:extLst>
            <a:ext uri="{FF2B5EF4-FFF2-40B4-BE49-F238E27FC236}">
              <a16:creationId xmlns:a16="http://schemas.microsoft.com/office/drawing/2014/main" id="{238801D7-5782-48B4-8453-EAA1BBFAC460}"/>
            </a:ext>
          </a:extLst>
        </xdr:cNvPr>
        <xdr:cNvSpPr txBox="1"/>
      </xdr:nvSpPr>
      <xdr:spPr>
        <a:xfrm>
          <a:off x="15278042" y="339777"/>
          <a:ext cx="6962710" cy="4288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D1B94F9-524A-4F19-92FA-B0557C31E676}" type="TxLink">
            <a:rPr lang="en-US" sz="1800" b="0" i="0" u="none" strike="noStrike" kern="1200">
              <a:solidFill>
                <a:schemeClr val="bg1"/>
              </a:solidFill>
              <a:latin typeface="Arial Black" panose="020B0A04020102020204" pitchFamily="34" charset="0"/>
              <a:ea typeface="Calibri"/>
              <a:cs typeface="Calibri"/>
            </a:rPr>
            <a:pPr marL="0" indent="0" algn="ctr"/>
            <a:t>Total Original Prices For : Total Brand</a:t>
          </a:fld>
          <a:endParaRPr lang="en-US" sz="1800" b="0" i="0" u="none" strike="noStrike" kern="1200">
            <a:solidFill>
              <a:schemeClr val="bg1"/>
            </a:solidFill>
            <a:latin typeface="Arial Black" panose="020B0A04020102020204" pitchFamily="34" charset="0"/>
            <a:ea typeface="Calibri"/>
            <a:cs typeface="Calibri"/>
          </a:endParaRPr>
        </a:p>
      </xdr:txBody>
    </xdr:sp>
    <xdr:clientData/>
  </xdr:twoCellAnchor>
  <xdr:twoCellAnchor>
    <xdr:from>
      <xdr:col>9</xdr:col>
      <xdr:colOff>1389530</xdr:colOff>
      <xdr:row>6</xdr:row>
      <xdr:rowOff>127000</xdr:rowOff>
    </xdr:from>
    <xdr:to>
      <xdr:col>9</xdr:col>
      <xdr:colOff>1389530</xdr:colOff>
      <xdr:row>54</xdr:row>
      <xdr:rowOff>0</xdr:rowOff>
    </xdr:to>
    <xdr:cxnSp macro="">
      <xdr:nvCxnSpPr>
        <xdr:cNvPr id="16" name="Straight Connector 15">
          <a:extLst>
            <a:ext uri="{FF2B5EF4-FFF2-40B4-BE49-F238E27FC236}">
              <a16:creationId xmlns:a16="http://schemas.microsoft.com/office/drawing/2014/main" id="{CDFFF302-FD49-4888-3E11-DFFB07006747}"/>
            </a:ext>
          </a:extLst>
        </xdr:cNvPr>
        <xdr:cNvCxnSpPr/>
      </xdr:nvCxnSpPr>
      <xdr:spPr>
        <a:xfrm>
          <a:off x="10239121" y="1183409"/>
          <a:ext cx="0" cy="8497455"/>
        </a:xfrm>
        <a:prstGeom prst="line">
          <a:avLst/>
        </a:prstGeom>
        <a:ln>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4</xdr:col>
      <xdr:colOff>728097</xdr:colOff>
      <xdr:row>1</xdr:row>
      <xdr:rowOff>78155</xdr:rowOff>
    </xdr:from>
    <xdr:to>
      <xdr:col>5</xdr:col>
      <xdr:colOff>474097</xdr:colOff>
      <xdr:row>4</xdr:row>
      <xdr:rowOff>58616</xdr:rowOff>
    </xdr:to>
    <xdr:pic>
      <xdr:nvPicPr>
        <xdr:cNvPr id="29" name="Graphic 28" descr="City">
          <a:extLst>
            <a:ext uri="{FF2B5EF4-FFF2-40B4-BE49-F238E27FC236}">
              <a16:creationId xmlns:a16="http://schemas.microsoft.com/office/drawing/2014/main" id="{60A9B18A-4FF6-AE47-C39C-90298D84CBA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3925509" y="257449"/>
          <a:ext cx="508000" cy="518343"/>
        </a:xfrm>
        <a:prstGeom prst="rect">
          <a:avLst/>
        </a:prstGeom>
      </xdr:spPr>
    </xdr:pic>
    <xdr:clientData/>
  </xdr:twoCellAnchor>
  <xdr:twoCellAnchor editAs="oneCell">
    <xdr:from>
      <xdr:col>8</xdr:col>
      <xdr:colOff>1249154</xdr:colOff>
      <xdr:row>1</xdr:row>
      <xdr:rowOff>40814</xdr:rowOff>
    </xdr:from>
    <xdr:to>
      <xdr:col>9</xdr:col>
      <xdr:colOff>487154</xdr:colOff>
      <xdr:row>4</xdr:row>
      <xdr:rowOff>124547</xdr:rowOff>
    </xdr:to>
    <xdr:pic>
      <xdr:nvPicPr>
        <xdr:cNvPr id="31" name="Graphic 30" descr="Handshake">
          <a:extLst>
            <a:ext uri="{FF2B5EF4-FFF2-40B4-BE49-F238E27FC236}">
              <a16:creationId xmlns:a16="http://schemas.microsoft.com/office/drawing/2014/main" id="{4900BF4E-D0B8-E669-A633-CF9BAF190B45}"/>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8685223" y="224745"/>
          <a:ext cx="630621" cy="609250"/>
        </a:xfrm>
        <a:prstGeom prst="rect">
          <a:avLst/>
        </a:prstGeom>
      </xdr:spPr>
    </xdr:pic>
    <xdr:clientData/>
  </xdr:twoCellAnchor>
  <xdr:twoCellAnchor editAs="oneCell">
    <xdr:from>
      <xdr:col>12</xdr:col>
      <xdr:colOff>710514</xdr:colOff>
      <xdr:row>1</xdr:row>
      <xdr:rowOff>102973</xdr:rowOff>
    </xdr:from>
    <xdr:to>
      <xdr:col>12</xdr:col>
      <xdr:colOff>1163595</xdr:colOff>
      <xdr:row>4</xdr:row>
      <xdr:rowOff>30891</xdr:rowOff>
    </xdr:to>
    <xdr:pic>
      <xdr:nvPicPr>
        <xdr:cNvPr id="32" name="Graphic 31" descr="Money">
          <a:extLst>
            <a:ext uri="{FF2B5EF4-FFF2-40B4-BE49-F238E27FC236}">
              <a16:creationId xmlns:a16="http://schemas.microsoft.com/office/drawing/2014/main" id="{41FAFB55-4373-4E79-B420-53DABAA70075}"/>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5466541" y="288324"/>
          <a:ext cx="453081" cy="453081"/>
        </a:xfrm>
        <a:prstGeom prst="rect">
          <a:avLst/>
        </a:prstGeom>
      </xdr:spPr>
    </xdr:pic>
    <xdr:clientData/>
  </xdr:twoCellAnchor>
  <xdr:twoCellAnchor editAs="oneCell">
    <xdr:from>
      <xdr:col>15</xdr:col>
      <xdr:colOff>978992</xdr:colOff>
      <xdr:row>0</xdr:row>
      <xdr:rowOff>41563</xdr:rowOff>
    </xdr:from>
    <xdr:to>
      <xdr:col>15</xdr:col>
      <xdr:colOff>1866298</xdr:colOff>
      <xdr:row>5</xdr:row>
      <xdr:rowOff>52933</xdr:rowOff>
    </xdr:to>
    <xdr:pic>
      <xdr:nvPicPr>
        <xdr:cNvPr id="33" name="Picture 32" descr="607,900+ Discount Icon Stock Illustrations, Royalty-Free Vector Graphics &amp;  Clip Art - iStock | Discount, Savings icon, Save icon">
          <a:extLst>
            <a:ext uri="{FF2B5EF4-FFF2-40B4-BE49-F238E27FC236}">
              <a16:creationId xmlns:a16="http://schemas.microsoft.com/office/drawing/2014/main" id="{36C1D146-0B83-49D6-A8CC-95F5F03EAEC9}"/>
            </a:ext>
          </a:extLst>
        </xdr:cNvPr>
        <xdr:cNvPicPr>
          <a:picLocks noChangeAspect="1" noChangeArrowheads="1"/>
        </xdr:cNvPicPr>
      </xdr:nvPicPr>
      <xdr:blipFill>
        <a:blip xmlns:r="http://schemas.openxmlformats.org/officeDocument/2006/relationships" r:embed="rId11" cstate="print">
          <a:lum bright="70000" contrast="-70000"/>
          <a:extLst>
            <a:ext uri="{BEBA8EAE-BF5A-486C-A8C5-ECC9F3942E4B}">
              <a14:imgProps xmlns:a14="http://schemas.microsoft.com/office/drawing/2010/main">
                <a14:imgLayer r:embed="rId12">
                  <a14:imgEffect>
                    <a14:backgroundRemoval t="10000" b="90000" l="10000" r="90000"/>
                  </a14:imgEffect>
                  <a14:imgEffect>
                    <a14:colorTemperature colorTemp="5900"/>
                  </a14:imgEffect>
                  <a14:imgEffect>
                    <a14:saturation sat="33000"/>
                  </a14:imgEffect>
                </a14:imgLayer>
              </a14:imgProps>
            </a:ext>
            <a:ext uri="{28A0092B-C50C-407E-A947-70E740481C1C}">
              <a14:useLocalDpi xmlns:a14="http://schemas.microsoft.com/office/drawing/2010/main" val="0"/>
            </a:ext>
          </a:extLst>
        </a:blip>
        <a:srcRect/>
        <a:stretch>
          <a:fillRect/>
        </a:stretch>
      </xdr:blipFill>
      <xdr:spPr bwMode="auto">
        <a:xfrm>
          <a:off x="21677683" y="41563"/>
          <a:ext cx="887306" cy="9119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122464</xdr:colOff>
      <xdr:row>0</xdr:row>
      <xdr:rowOff>0</xdr:rowOff>
    </xdr:from>
    <xdr:to>
      <xdr:col>4</xdr:col>
      <xdr:colOff>160890</xdr:colOff>
      <xdr:row>12</xdr:row>
      <xdr:rowOff>13607</xdr:rowOff>
    </xdr:to>
    <xdr:pic>
      <xdr:nvPicPr>
        <xdr:cNvPr id="34" name="Picture 33" descr="TV vector icon isolated on white background. Television icon black color. TV  symbol flat design sign isolated on white background. Old retro television.  5567888 Vector Art at Vecteezy">
          <a:hlinkClick xmlns:r="http://schemas.openxmlformats.org/officeDocument/2006/relationships" r:id="rId13" tooltip="Click Me!"/>
          <a:extLst>
            <a:ext uri="{FF2B5EF4-FFF2-40B4-BE49-F238E27FC236}">
              <a16:creationId xmlns:a16="http://schemas.microsoft.com/office/drawing/2014/main" id="{6CFC9A12-4A67-5B49-212F-C54C5D1B493E}"/>
            </a:ext>
          </a:extLst>
        </xdr:cNvPr>
        <xdr:cNvPicPr>
          <a:picLocks noChangeAspect="1" noChangeArrowheads="1"/>
        </xdr:cNvPicPr>
      </xdr:nvPicPr>
      <xdr:blipFill rotWithShape="1">
        <a:blip xmlns:r="http://schemas.openxmlformats.org/officeDocument/2006/relationships" r:embed="rId14" cstate="print">
          <a:extLst>
            <a:ext uri="{BEBA8EAE-BF5A-486C-A8C5-ECC9F3942E4B}">
              <a14:imgProps xmlns:a14="http://schemas.microsoft.com/office/drawing/2010/main">
                <a14:imgLayer r:embed="rId15">
                  <a14:imgEffect>
                    <a14:backgroundRemoval t="10000" b="90000" l="10000" r="90000"/>
                  </a14:imgEffect>
                </a14:imgLayer>
              </a14:imgProps>
            </a:ext>
            <a:ext uri="{28A0092B-C50C-407E-A947-70E740481C1C}">
              <a14:useLocalDpi xmlns:a14="http://schemas.microsoft.com/office/drawing/2010/main" val="0"/>
            </a:ext>
          </a:extLst>
        </a:blip>
        <a:srcRect l="15085" t="24625" r="18806" b="7183"/>
        <a:stretch/>
      </xdr:blipFill>
      <xdr:spPr bwMode="auto">
        <a:xfrm>
          <a:off x="122464" y="0"/>
          <a:ext cx="3222497" cy="216353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421822</xdr:colOff>
      <xdr:row>2</xdr:row>
      <xdr:rowOff>0</xdr:rowOff>
    </xdr:from>
    <xdr:to>
      <xdr:col>3</xdr:col>
      <xdr:colOff>68036</xdr:colOff>
      <xdr:row>7</xdr:row>
      <xdr:rowOff>95250</xdr:rowOff>
    </xdr:to>
    <xdr:sp macro="" textlink="">
      <xdr:nvSpPr>
        <xdr:cNvPr id="35" name="TextBox 34">
          <a:extLst>
            <a:ext uri="{FF2B5EF4-FFF2-40B4-BE49-F238E27FC236}">
              <a16:creationId xmlns:a16="http://schemas.microsoft.com/office/drawing/2014/main" id="{4E7A7DF1-D4B0-7622-9C79-99D95FF36FB8}"/>
            </a:ext>
          </a:extLst>
        </xdr:cNvPr>
        <xdr:cNvSpPr txBox="1"/>
      </xdr:nvSpPr>
      <xdr:spPr>
        <a:xfrm>
          <a:off x="421822" y="353786"/>
          <a:ext cx="2163535" cy="979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2800" b="0" i="0" u="none" strike="noStrike" kern="1200">
              <a:solidFill>
                <a:schemeClr val="bg1"/>
              </a:solidFill>
              <a:latin typeface="Arial Black" panose="020B0A04020102020204" pitchFamily="34" charset="0"/>
              <a:ea typeface="Calibri"/>
              <a:cs typeface="Calibri"/>
            </a:rPr>
            <a:t>TV SALES</a:t>
          </a:r>
        </a:p>
      </xdr:txBody>
    </xdr:sp>
    <xdr:clientData/>
  </xdr:twoCellAnchor>
  <xdr:twoCellAnchor>
    <xdr:from>
      <xdr:col>17</xdr:col>
      <xdr:colOff>17332</xdr:colOff>
      <xdr:row>9</xdr:row>
      <xdr:rowOff>101002</xdr:rowOff>
    </xdr:from>
    <xdr:to>
      <xdr:col>21</xdr:col>
      <xdr:colOff>811605</xdr:colOff>
      <xdr:row>25</xdr:row>
      <xdr:rowOff>128660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4D411BDE-41DD-4E26-A0E1-ED5A8DA9770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23418352" y="1701202"/>
              <a:ext cx="4208033" cy="313661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237435</xdr:colOff>
      <xdr:row>6</xdr:row>
      <xdr:rowOff>165653</xdr:rowOff>
    </xdr:from>
    <xdr:to>
      <xdr:col>16</xdr:col>
      <xdr:colOff>237435</xdr:colOff>
      <xdr:row>54</xdr:row>
      <xdr:rowOff>38653</xdr:rowOff>
    </xdr:to>
    <xdr:cxnSp macro="">
      <xdr:nvCxnSpPr>
        <xdr:cNvPr id="13" name="Straight Connector 12">
          <a:extLst>
            <a:ext uri="{FF2B5EF4-FFF2-40B4-BE49-F238E27FC236}">
              <a16:creationId xmlns:a16="http://schemas.microsoft.com/office/drawing/2014/main" id="{0444D6D4-6998-4880-9233-58D95D3DEF7C}"/>
            </a:ext>
          </a:extLst>
        </xdr:cNvPr>
        <xdr:cNvCxnSpPr/>
      </xdr:nvCxnSpPr>
      <xdr:spPr>
        <a:xfrm>
          <a:off x="22954560" y="1229278"/>
          <a:ext cx="0" cy="8540750"/>
        </a:xfrm>
        <a:prstGeom prst="line">
          <a:avLst/>
        </a:prstGeom>
        <a:ln>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661539</xdr:colOff>
      <xdr:row>13</xdr:row>
      <xdr:rowOff>6572</xdr:rowOff>
    </xdr:from>
    <xdr:to>
      <xdr:col>21</xdr:col>
      <xdr:colOff>955256</xdr:colOff>
      <xdr:row>15</xdr:row>
      <xdr:rowOff>16228</xdr:rowOff>
    </xdr:to>
    <xdr:sp macro="" textlink="">
      <xdr:nvSpPr>
        <xdr:cNvPr id="22" name="TextBox 1">
          <a:extLst>
            <a:ext uri="{FF2B5EF4-FFF2-40B4-BE49-F238E27FC236}">
              <a16:creationId xmlns:a16="http://schemas.microsoft.com/office/drawing/2014/main" id="{CDAECE66-DC4F-D691-0134-7FE5BAFFE073}"/>
            </a:ext>
          </a:extLst>
        </xdr:cNvPr>
        <xdr:cNvSpPr txBox="1"/>
      </xdr:nvSpPr>
      <xdr:spPr>
        <a:xfrm>
          <a:off x="25380819" y="2353532"/>
          <a:ext cx="2417157" cy="416056"/>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en-IN" sz="1000" kern="1200">
              <a:latin typeface="Arial Rounded MT Bold" panose="020F0704030504030204" pitchFamily="34" charset="0"/>
            </a:rPr>
            <a:t>MEDIAN</a:t>
          </a:r>
          <a:r>
            <a:rPr lang="en-IN" sz="1000" kern="1200" baseline="0">
              <a:latin typeface="Arial Rounded MT Bold" panose="020F0704030504030204" pitchFamily="34" charset="0"/>
            </a:rPr>
            <a:t> PRICES DISTRIBUTION</a:t>
          </a:r>
          <a:endParaRPr lang="en-IN" sz="1000" kern="1200">
            <a:latin typeface="Arial Rounded MT Bold" panose="020F0704030504030204" pitchFamily="34" charset="0"/>
          </a:endParaRPr>
        </a:p>
      </xdr:txBody>
    </xdr:sp>
    <xdr:clientData/>
  </xdr:twoCellAnchor>
  <xdr:twoCellAnchor>
    <xdr:from>
      <xdr:col>16</xdr:col>
      <xdr:colOff>102973</xdr:colOff>
      <xdr:row>30</xdr:row>
      <xdr:rowOff>97277</xdr:rowOff>
    </xdr:from>
    <xdr:to>
      <xdr:col>21</xdr:col>
      <xdr:colOff>988541</xdr:colOff>
      <xdr:row>56</xdr:row>
      <xdr:rowOff>154022</xdr:rowOff>
    </xdr:to>
    <xdr:graphicFrame macro="">
      <xdr:nvGraphicFramePr>
        <xdr:cNvPr id="23" name="Chart 22">
          <a:extLst>
            <a:ext uri="{FF2B5EF4-FFF2-40B4-BE49-F238E27FC236}">
              <a16:creationId xmlns:a16="http://schemas.microsoft.com/office/drawing/2014/main" id="{C624AD62-D8B6-4A4E-8B04-C115B411BD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18</xdr:col>
      <xdr:colOff>363105</xdr:colOff>
      <xdr:row>30</xdr:row>
      <xdr:rowOff>71402</xdr:rowOff>
    </xdr:from>
    <xdr:to>
      <xdr:col>21</xdr:col>
      <xdr:colOff>285750</xdr:colOff>
      <xdr:row>32</xdr:row>
      <xdr:rowOff>145531</xdr:rowOff>
    </xdr:to>
    <xdr:sp macro="" textlink="">
      <xdr:nvSpPr>
        <xdr:cNvPr id="27" name="TextBox 1">
          <a:extLst>
            <a:ext uri="{FF2B5EF4-FFF2-40B4-BE49-F238E27FC236}">
              <a16:creationId xmlns:a16="http://schemas.microsoft.com/office/drawing/2014/main" id="{BF5EDA3A-D07E-41BD-8603-820C4EA1C621}"/>
            </a:ext>
          </a:extLst>
        </xdr:cNvPr>
        <xdr:cNvSpPr txBox="1"/>
      </xdr:nvSpPr>
      <xdr:spPr>
        <a:xfrm>
          <a:off x="24448931" y="5714619"/>
          <a:ext cx="2672471" cy="427521"/>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en-IN" sz="1200" kern="1200">
              <a:latin typeface="Arial Rounded MT Bold" panose="020F0704030504030204" pitchFamily="34" charset="0"/>
              <a:ea typeface="+mn-ea"/>
              <a:cs typeface="+mn-cs"/>
            </a:rPr>
            <a:t>OS and Selling Prices Analysis</a:t>
          </a:r>
        </a:p>
      </xdr:txBody>
    </xdr:sp>
    <xdr:clientData/>
  </xdr:twoCellAnchor>
</xdr:wsDr>
</file>

<file path=xl/drawings/drawing4.xml><?xml version="1.0" encoding="utf-8"?>
<c:userShapes xmlns:c="http://schemas.openxmlformats.org/drawingml/2006/chart">
  <cdr:relSizeAnchor xmlns:cdr="http://schemas.openxmlformats.org/drawingml/2006/chartDrawing">
    <cdr:from>
      <cdr:x>0.01167</cdr:x>
      <cdr:y>0.09306</cdr:y>
    </cdr:from>
    <cdr:to>
      <cdr:x>0.17696</cdr:x>
      <cdr:y>0.18871</cdr:y>
    </cdr:to>
    <cdr:sp macro="" textlink="'Top 5 selling and original pric'!$E$4">
      <cdr:nvSpPr>
        <cdr:cNvPr id="2" name="TextBox 1">
          <a:extLst xmlns:a="http://schemas.openxmlformats.org/drawingml/2006/main">
            <a:ext uri="{FF2B5EF4-FFF2-40B4-BE49-F238E27FC236}">
              <a16:creationId xmlns:a16="http://schemas.microsoft.com/office/drawing/2014/main" id="{EC7D299C-EF6E-9578-D68B-DC44F8A51594}"/>
            </a:ext>
          </a:extLst>
        </cdr:cNvPr>
        <cdr:cNvSpPr txBox="1"/>
      </cdr:nvSpPr>
      <cdr:spPr>
        <a:xfrm xmlns:a="http://schemas.openxmlformats.org/drawingml/2006/main">
          <a:off x="59572" y="325144"/>
          <a:ext cx="843730" cy="334192"/>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fld id="{735EDA1A-2F41-4B8C-ACA7-6E61169533EE}" type="TxLink">
            <a:rPr lang="en-US" sz="1000" b="0" i="0" u="none" strike="noStrike" kern="1200">
              <a:solidFill>
                <a:srgbClr val="000000"/>
              </a:solidFill>
              <a:latin typeface="Segoe UI Semibold" panose="020B0702040204020203" pitchFamily="34" charset="0"/>
              <a:ea typeface="Calibri"/>
              <a:cs typeface="Segoe UI Semibold" panose="020B0702040204020203" pitchFamily="34" charset="0"/>
            </a:rPr>
            <a:pPr algn="ctr"/>
            <a:t>Hisense</a:t>
          </a:fld>
          <a:endParaRPr lang="en-IN" sz="1000" b="0" kern="1200">
            <a:latin typeface="Segoe UI Semibold" panose="020B0702040204020203" pitchFamily="34" charset="0"/>
            <a:cs typeface="Segoe UI Semibold" panose="020B0702040204020203" pitchFamily="34" charset="0"/>
          </a:endParaRPr>
        </a:p>
      </cdr:txBody>
    </cdr:sp>
  </cdr:relSizeAnchor>
  <cdr:relSizeAnchor xmlns:cdr="http://schemas.openxmlformats.org/drawingml/2006/chartDrawing">
    <cdr:from>
      <cdr:x>0</cdr:x>
      <cdr:y>0.24861</cdr:y>
    </cdr:from>
    <cdr:to>
      <cdr:x>0.19095</cdr:x>
      <cdr:y>0.35909</cdr:y>
    </cdr:to>
    <cdr:sp macro="" textlink="'Top 5 selling and original pric'!$E$5">
      <cdr:nvSpPr>
        <cdr:cNvPr id="3" name="TextBox 2">
          <a:extLst xmlns:a="http://schemas.openxmlformats.org/drawingml/2006/main">
            <a:ext uri="{FF2B5EF4-FFF2-40B4-BE49-F238E27FC236}">
              <a16:creationId xmlns:a16="http://schemas.microsoft.com/office/drawing/2014/main" id="{E62B0608-5603-D80F-3E82-F39538E924D6}"/>
            </a:ext>
          </a:extLst>
        </cdr:cNvPr>
        <cdr:cNvSpPr txBox="1"/>
      </cdr:nvSpPr>
      <cdr:spPr>
        <a:xfrm xmlns:a="http://schemas.openxmlformats.org/drawingml/2006/main">
          <a:off x="0" y="868624"/>
          <a:ext cx="974739" cy="386025"/>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marL="0" indent="0" algn="ctr"/>
          <a:fld id="{136EE0FA-1FBA-447D-9BE6-014B361DD776}" type="TxLink">
            <a:rPr lang="en-US" sz="1000" b="0" i="0" u="none" strike="noStrike" kern="1200">
              <a:solidFill>
                <a:srgbClr val="000000"/>
              </a:solidFill>
              <a:latin typeface="Segoe UI Semibold" panose="020B0702040204020203" pitchFamily="34" charset="0"/>
              <a:ea typeface="Calibri"/>
              <a:cs typeface="Segoe UI Semibold" panose="020B0702040204020203" pitchFamily="34" charset="0"/>
            </a:rPr>
            <a:pPr marL="0" indent="0" algn="ctr"/>
            <a:t>Samsung</a:t>
          </a:fld>
          <a:endParaRPr lang="en-IN" sz="1000" b="0" i="0" u="none" strike="noStrike" kern="1200">
            <a:solidFill>
              <a:srgbClr val="000000"/>
            </a:solidFill>
            <a:latin typeface="Segoe UI Semibold" panose="020B0702040204020203" pitchFamily="34" charset="0"/>
            <a:ea typeface="Calibri"/>
            <a:cs typeface="Segoe UI Semibold" panose="020B0702040204020203" pitchFamily="34" charset="0"/>
          </a:endParaRPr>
        </a:p>
      </cdr:txBody>
    </cdr:sp>
  </cdr:relSizeAnchor>
  <cdr:relSizeAnchor xmlns:cdr="http://schemas.openxmlformats.org/drawingml/2006/chartDrawing">
    <cdr:from>
      <cdr:x>0</cdr:x>
      <cdr:y>0.42</cdr:y>
    </cdr:from>
    <cdr:to>
      <cdr:x>0.1513</cdr:x>
      <cdr:y>0.51244</cdr:y>
    </cdr:to>
    <cdr:sp macro="" textlink="'Top 5 selling and original pric'!$E$6">
      <cdr:nvSpPr>
        <cdr:cNvPr id="4" name="TextBox 3">
          <a:extLst xmlns:a="http://schemas.openxmlformats.org/drawingml/2006/main">
            <a:ext uri="{FF2B5EF4-FFF2-40B4-BE49-F238E27FC236}">
              <a16:creationId xmlns:a16="http://schemas.microsoft.com/office/drawing/2014/main" id="{181DF17A-9120-140E-3651-00DA9D6E4C42}"/>
            </a:ext>
          </a:extLst>
        </cdr:cNvPr>
        <cdr:cNvSpPr txBox="1"/>
      </cdr:nvSpPr>
      <cdr:spPr>
        <a:xfrm xmlns:a="http://schemas.openxmlformats.org/drawingml/2006/main">
          <a:off x="0" y="1467447"/>
          <a:ext cx="772333" cy="322983"/>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marL="0" indent="0" algn="ctr"/>
          <a:fld id="{80118BC7-E1F2-4694-80B0-ADC121026632}" type="TxLink">
            <a:rPr lang="en-US" sz="1000" b="0" i="0" u="none" strike="noStrike" kern="1200">
              <a:solidFill>
                <a:srgbClr val="000000"/>
              </a:solidFill>
              <a:latin typeface="Segoe UI Semibold" panose="020B0702040204020203" pitchFamily="34" charset="0"/>
              <a:ea typeface="Calibri"/>
              <a:cs typeface="Segoe UI Semibold" panose="020B0702040204020203" pitchFamily="34" charset="0"/>
            </a:rPr>
            <a:pPr marL="0" indent="0" algn="ctr"/>
            <a:t>Sony </a:t>
          </a:fld>
          <a:endParaRPr lang="en-IN" sz="1000" b="0" i="0" u="none" strike="noStrike" kern="1200">
            <a:solidFill>
              <a:srgbClr val="000000"/>
            </a:solidFill>
            <a:latin typeface="Segoe UI Semibold" panose="020B0702040204020203" pitchFamily="34" charset="0"/>
            <a:ea typeface="Calibri"/>
            <a:cs typeface="Segoe UI Semibold" panose="020B0702040204020203" pitchFamily="34" charset="0"/>
          </a:endParaRPr>
        </a:p>
      </cdr:txBody>
    </cdr:sp>
  </cdr:relSizeAnchor>
  <cdr:relSizeAnchor xmlns:cdr="http://schemas.openxmlformats.org/drawingml/2006/chartDrawing">
    <cdr:from>
      <cdr:x>0</cdr:x>
      <cdr:y>0.57222</cdr:y>
    </cdr:from>
    <cdr:to>
      <cdr:x>0.15597</cdr:x>
      <cdr:y>0.68283</cdr:y>
    </cdr:to>
    <cdr:sp macro="" textlink="'Top 5 selling and original pric'!$E$7">
      <cdr:nvSpPr>
        <cdr:cNvPr id="5" name="TextBox 4">
          <a:extLst xmlns:a="http://schemas.openxmlformats.org/drawingml/2006/main">
            <a:ext uri="{FF2B5EF4-FFF2-40B4-BE49-F238E27FC236}">
              <a16:creationId xmlns:a16="http://schemas.microsoft.com/office/drawing/2014/main" id="{65FB5F88-7ABD-68DE-CAAE-BDF16A62795B}"/>
            </a:ext>
          </a:extLst>
        </cdr:cNvPr>
        <cdr:cNvSpPr txBox="1"/>
      </cdr:nvSpPr>
      <cdr:spPr>
        <a:xfrm xmlns:a="http://schemas.openxmlformats.org/drawingml/2006/main">
          <a:off x="0" y="1999292"/>
          <a:ext cx="796145" cy="386451"/>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marL="0" indent="0" algn="ctr"/>
          <a:fld id="{96BA2B19-188E-453C-90E4-3F4FB79E9159}" type="TxLink">
            <a:rPr lang="en-US" sz="1000" b="0" i="0" u="none" strike="noStrike" kern="1200">
              <a:solidFill>
                <a:srgbClr val="000000"/>
              </a:solidFill>
              <a:latin typeface="Segoe UI Semibold" panose="020B0702040204020203" pitchFamily="34" charset="0"/>
              <a:ea typeface="Calibri"/>
              <a:cs typeface="Segoe UI Semibold" panose="020B0702040204020203" pitchFamily="34" charset="0"/>
            </a:rPr>
            <a:pPr marL="0" indent="0" algn="ctr"/>
            <a:t>Sharp </a:t>
          </a:fld>
          <a:endParaRPr lang="en-IN" sz="1000" b="0" i="0" u="none" strike="noStrike" kern="1200">
            <a:solidFill>
              <a:srgbClr val="000000"/>
            </a:solidFill>
            <a:latin typeface="Segoe UI Semibold" panose="020B0702040204020203" pitchFamily="34" charset="0"/>
            <a:ea typeface="Calibri"/>
            <a:cs typeface="Segoe UI Semibold" panose="020B0702040204020203" pitchFamily="34" charset="0"/>
          </a:endParaRPr>
        </a:p>
      </cdr:txBody>
    </cdr:sp>
  </cdr:relSizeAnchor>
  <cdr:relSizeAnchor xmlns:cdr="http://schemas.openxmlformats.org/drawingml/2006/chartDrawing">
    <cdr:from>
      <cdr:x>0</cdr:x>
      <cdr:y>0.735</cdr:y>
    </cdr:from>
    <cdr:to>
      <cdr:x>0.19328</cdr:x>
      <cdr:y>0.8464</cdr:y>
    </cdr:to>
    <cdr:sp macro="" textlink="'Top 5 selling and original pric'!$E$8">
      <cdr:nvSpPr>
        <cdr:cNvPr id="6" name="TextBox 5">
          <a:extLst xmlns:a="http://schemas.openxmlformats.org/drawingml/2006/main">
            <a:ext uri="{FF2B5EF4-FFF2-40B4-BE49-F238E27FC236}">
              <a16:creationId xmlns:a16="http://schemas.microsoft.com/office/drawing/2014/main" id="{DE8154FA-119D-31BB-F49C-08CB50F92AD3}"/>
            </a:ext>
          </a:extLst>
        </cdr:cNvPr>
        <cdr:cNvSpPr txBox="1"/>
      </cdr:nvSpPr>
      <cdr:spPr>
        <a:xfrm xmlns:a="http://schemas.openxmlformats.org/drawingml/2006/main">
          <a:off x="0" y="2568033"/>
          <a:ext cx="986645" cy="389210"/>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marL="0" indent="0" algn="ctr"/>
          <a:fld id="{80726F06-993D-4254-8270-BA23040DBF69}" type="TxLink">
            <a:rPr lang="en-US" sz="1000" b="0" i="0" u="none" strike="noStrike" kern="1200">
              <a:solidFill>
                <a:srgbClr val="000000"/>
              </a:solidFill>
              <a:latin typeface="Segoe UI Semibold" panose="020B0702040204020203" pitchFamily="34" charset="0"/>
              <a:ea typeface="Calibri"/>
              <a:cs typeface="Segoe UI Semibold" panose="020B0702040204020203" pitchFamily="34" charset="0"/>
            </a:rPr>
            <a:pPr marL="0" indent="0" algn="ctr"/>
            <a:t>Samsung</a:t>
          </a:fld>
          <a:endParaRPr lang="en-IN" sz="1000" b="0" i="0" u="none" strike="noStrike" kern="1200">
            <a:solidFill>
              <a:srgbClr val="000000"/>
            </a:solidFill>
            <a:latin typeface="Segoe UI Semibold" panose="020B0702040204020203" pitchFamily="34" charset="0"/>
            <a:ea typeface="Calibri"/>
            <a:cs typeface="Segoe UI Semibold" panose="020B0702040204020203" pitchFamily="34" charset="0"/>
          </a:endParaRPr>
        </a:p>
      </cdr:txBody>
    </cdr:sp>
  </cdr:relSizeAnchor>
  <cdr:relSizeAnchor xmlns:cdr="http://schemas.openxmlformats.org/drawingml/2006/chartDrawing">
    <cdr:from>
      <cdr:x>0</cdr:x>
      <cdr:y>0</cdr:y>
    </cdr:from>
    <cdr:to>
      <cdr:x>0.89586</cdr:x>
      <cdr:y>0.11111</cdr:y>
    </cdr:to>
    <cdr:sp macro="" textlink="">
      <cdr:nvSpPr>
        <cdr:cNvPr id="7" name="TextBox 6">
          <a:extLst xmlns:a="http://schemas.openxmlformats.org/drawingml/2006/main">
            <a:ext uri="{FF2B5EF4-FFF2-40B4-BE49-F238E27FC236}">
              <a16:creationId xmlns:a16="http://schemas.microsoft.com/office/drawing/2014/main" id="{6AB4CDFE-1ECE-7FA2-C9C6-9EF8677E6100}"/>
            </a:ext>
          </a:extLst>
        </cdr:cNvPr>
        <cdr:cNvSpPr txBox="1"/>
      </cdr:nvSpPr>
      <cdr:spPr>
        <a:xfrm xmlns:a="http://schemas.openxmlformats.org/drawingml/2006/main">
          <a:off x="0" y="0"/>
          <a:ext cx="2818740" cy="3048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marL="0" indent="0" algn="ctr"/>
          <a:r>
            <a:rPr lang="en-IN" sz="1100" kern="1200">
              <a:latin typeface="Arial Rounded MT Bold" panose="020F0704030504030204" pitchFamily="34" charset="0"/>
              <a:ea typeface="+mn-ea"/>
              <a:cs typeface="+mn-cs"/>
            </a:rPr>
            <a:t>TOP 5 HIGHEST SELLING PRICES</a:t>
          </a:r>
        </a:p>
      </cdr:txBody>
    </cdr:sp>
  </cdr:relSizeAnchor>
</c:userShapes>
</file>

<file path=xl/drawings/drawing5.xml><?xml version="1.0" encoding="utf-8"?>
<c:userShapes xmlns:c="http://schemas.openxmlformats.org/drawingml/2006/chart">
  <cdr:relSizeAnchor xmlns:cdr="http://schemas.openxmlformats.org/drawingml/2006/chartDrawing">
    <cdr:from>
      <cdr:x>0.00168</cdr:x>
      <cdr:y>0.06581</cdr:y>
    </cdr:from>
    <cdr:to>
      <cdr:x>0.10507</cdr:x>
      <cdr:y>0.16988</cdr:y>
    </cdr:to>
    <cdr:sp macro="" textlink="'Top 5 selling and original pric'!$E$11">
      <cdr:nvSpPr>
        <cdr:cNvPr id="2" name="TextBox 1">
          <a:extLst xmlns:a="http://schemas.openxmlformats.org/drawingml/2006/main">
            <a:ext uri="{FF2B5EF4-FFF2-40B4-BE49-F238E27FC236}">
              <a16:creationId xmlns:a16="http://schemas.microsoft.com/office/drawing/2014/main" id="{77EC17C2-E15B-0751-B4E8-FADABEB05A9E}"/>
            </a:ext>
          </a:extLst>
        </cdr:cNvPr>
        <cdr:cNvSpPr txBox="1"/>
      </cdr:nvSpPr>
      <cdr:spPr>
        <a:xfrm xmlns:a="http://schemas.openxmlformats.org/drawingml/2006/main">
          <a:off x="9072" y="237830"/>
          <a:ext cx="557700" cy="376115"/>
        </a:xfrm>
        <a:prstGeom xmlns:a="http://schemas.openxmlformats.org/drawingml/2006/main" prst="rect">
          <a:avLst/>
        </a:prstGeom>
      </cdr:spPr>
      <cdr:txBody>
        <a:bodyPr xmlns:a="http://schemas.openxmlformats.org/drawingml/2006/main"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fld id="{E3A6C16A-D68C-4E68-855A-665D8937E8AC}" type="TxLink">
            <a:rPr lang="en-US" sz="1000" b="0" i="0" u="none" strike="noStrike" kern="1200">
              <a:solidFill>
                <a:srgbClr val="000000"/>
              </a:solidFill>
              <a:latin typeface="Segoe UI Semibold" panose="020B0702040204020203" pitchFamily="34" charset="0"/>
              <a:ea typeface="Calibri"/>
              <a:cs typeface="Segoe UI Semibold" panose="020B0702040204020203" pitchFamily="34" charset="0"/>
            </a:rPr>
            <a:pPr algn="ctr"/>
            <a:t>Lg </a:t>
          </a:fld>
          <a:endParaRPr lang="en-IN" sz="1000" b="0" kern="1200">
            <a:latin typeface="Segoe UI Semibold" panose="020B0702040204020203" pitchFamily="34" charset="0"/>
            <a:cs typeface="Segoe UI Semibold" panose="020B0702040204020203" pitchFamily="34" charset="0"/>
          </a:endParaRPr>
        </a:p>
      </cdr:txBody>
    </cdr:sp>
  </cdr:relSizeAnchor>
  <cdr:relSizeAnchor xmlns:cdr="http://schemas.openxmlformats.org/drawingml/2006/chartDrawing">
    <cdr:from>
      <cdr:x>0.09944</cdr:x>
      <cdr:y>0.30463</cdr:y>
    </cdr:from>
    <cdr:to>
      <cdr:x>0.25111</cdr:x>
      <cdr:y>0.40185</cdr:y>
    </cdr:to>
    <cdr:sp macro="" textlink="">
      <cdr:nvSpPr>
        <cdr:cNvPr id="3" name="TextBox 2">
          <a:extLst xmlns:a="http://schemas.openxmlformats.org/drawingml/2006/main">
            <a:ext uri="{FF2B5EF4-FFF2-40B4-BE49-F238E27FC236}">
              <a16:creationId xmlns:a16="http://schemas.microsoft.com/office/drawing/2014/main" id="{653E2F38-1D8D-4ADF-2A77-10F7963FC5A6}"/>
            </a:ext>
          </a:extLst>
        </cdr:cNvPr>
        <cdr:cNvSpPr txBox="1"/>
      </cdr:nvSpPr>
      <cdr:spPr>
        <a:xfrm xmlns:a="http://schemas.openxmlformats.org/drawingml/2006/main">
          <a:off x="454660" y="835660"/>
          <a:ext cx="693420" cy="266700"/>
        </a:xfrm>
        <a:prstGeom xmlns:a="http://schemas.openxmlformats.org/drawingml/2006/main" prst="rect">
          <a:avLst/>
        </a:prstGeom>
      </cdr:spPr>
      <cdr:txBody>
        <a:bodyPr xmlns:a="http://schemas.openxmlformats.org/drawingml/2006/main"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indent="0" algn="ctr"/>
          <a:endParaRPr lang="en-IN" sz="1100" b="0" i="0" u="none" strike="noStrike" kern="1200">
            <a:solidFill>
              <a:srgbClr val="000000"/>
            </a:solidFill>
            <a:latin typeface="Segoe UI Semibold" panose="020B0702040204020203" pitchFamily="34" charset="0"/>
            <a:ea typeface="Calibri"/>
            <a:cs typeface="Segoe UI Semibold" panose="020B0702040204020203" pitchFamily="34" charset="0"/>
          </a:endParaRPr>
        </a:p>
      </cdr:txBody>
    </cdr:sp>
  </cdr:relSizeAnchor>
  <cdr:relSizeAnchor xmlns:cdr="http://schemas.openxmlformats.org/drawingml/2006/chartDrawing">
    <cdr:from>
      <cdr:x>0.01611</cdr:x>
      <cdr:y>0.4213</cdr:y>
    </cdr:from>
    <cdr:to>
      <cdr:x>0.16778</cdr:x>
      <cdr:y>0.51852</cdr:y>
    </cdr:to>
    <cdr:sp macro="" textlink="">
      <cdr:nvSpPr>
        <cdr:cNvPr id="4" name="TextBox 3">
          <a:extLst xmlns:a="http://schemas.openxmlformats.org/drawingml/2006/main">
            <a:ext uri="{FF2B5EF4-FFF2-40B4-BE49-F238E27FC236}">
              <a16:creationId xmlns:a16="http://schemas.microsoft.com/office/drawing/2014/main" id="{57A43F51-41FE-D770-83BC-AC7D291B5862}"/>
            </a:ext>
          </a:extLst>
        </cdr:cNvPr>
        <cdr:cNvSpPr txBox="1"/>
      </cdr:nvSpPr>
      <cdr:spPr>
        <a:xfrm xmlns:a="http://schemas.openxmlformats.org/drawingml/2006/main">
          <a:off x="73660" y="1155700"/>
          <a:ext cx="693420" cy="266700"/>
        </a:xfrm>
        <a:prstGeom xmlns:a="http://schemas.openxmlformats.org/drawingml/2006/main" prst="rect">
          <a:avLst/>
        </a:prstGeom>
      </cdr:spPr>
      <cdr:txBody>
        <a:bodyPr xmlns:a="http://schemas.openxmlformats.org/drawingml/2006/main"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endParaRPr lang="en-IN" sz="1100" kern="1200">
            <a:latin typeface="Segoe UI Semibold" panose="020B0702040204020203" pitchFamily="34" charset="0"/>
            <a:cs typeface="Segoe UI Semibold" panose="020B0702040204020203" pitchFamily="34" charset="0"/>
          </a:endParaRPr>
        </a:p>
      </cdr:txBody>
    </cdr:sp>
  </cdr:relSizeAnchor>
  <cdr:relSizeAnchor xmlns:cdr="http://schemas.openxmlformats.org/drawingml/2006/chartDrawing">
    <cdr:from>
      <cdr:x>0.01611</cdr:x>
      <cdr:y>0.58241</cdr:y>
    </cdr:from>
    <cdr:to>
      <cdr:x>0.16778</cdr:x>
      <cdr:y>0.67963</cdr:y>
    </cdr:to>
    <cdr:sp macro="" textlink="">
      <cdr:nvSpPr>
        <cdr:cNvPr id="5" name="TextBox 4">
          <a:extLst xmlns:a="http://schemas.openxmlformats.org/drawingml/2006/main">
            <a:ext uri="{FF2B5EF4-FFF2-40B4-BE49-F238E27FC236}">
              <a16:creationId xmlns:a16="http://schemas.microsoft.com/office/drawing/2014/main" id="{E4980D1C-4B14-FE95-879A-7DBD45CCFF10}"/>
            </a:ext>
          </a:extLst>
        </cdr:cNvPr>
        <cdr:cNvSpPr txBox="1"/>
      </cdr:nvSpPr>
      <cdr:spPr>
        <a:xfrm xmlns:a="http://schemas.openxmlformats.org/drawingml/2006/main">
          <a:off x="73660" y="1597660"/>
          <a:ext cx="693420" cy="266700"/>
        </a:xfrm>
        <a:prstGeom xmlns:a="http://schemas.openxmlformats.org/drawingml/2006/main" prst="rect">
          <a:avLst/>
        </a:prstGeom>
      </cdr:spPr>
      <cdr:txBody>
        <a:bodyPr xmlns:a="http://schemas.openxmlformats.org/drawingml/2006/main"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endParaRPr lang="en-IN" sz="1100" kern="1200">
            <a:latin typeface="Segoe UI Semibold" panose="020B0702040204020203" pitchFamily="34" charset="0"/>
            <a:cs typeface="Segoe UI Semibold" panose="020B0702040204020203" pitchFamily="34" charset="0"/>
          </a:endParaRPr>
        </a:p>
      </cdr:txBody>
    </cdr:sp>
  </cdr:relSizeAnchor>
  <cdr:relSizeAnchor xmlns:cdr="http://schemas.openxmlformats.org/drawingml/2006/chartDrawing">
    <cdr:from>
      <cdr:x>0.01444</cdr:x>
      <cdr:y>0.72963</cdr:y>
    </cdr:from>
    <cdr:to>
      <cdr:x>0.16611</cdr:x>
      <cdr:y>0.82685</cdr:y>
    </cdr:to>
    <cdr:sp macro="" textlink="">
      <cdr:nvSpPr>
        <cdr:cNvPr id="6" name="TextBox 5">
          <a:extLst xmlns:a="http://schemas.openxmlformats.org/drawingml/2006/main">
            <a:ext uri="{FF2B5EF4-FFF2-40B4-BE49-F238E27FC236}">
              <a16:creationId xmlns:a16="http://schemas.microsoft.com/office/drawing/2014/main" id="{AC8E3DB5-8A0B-DA21-B6BA-34EEC4CA926E}"/>
            </a:ext>
          </a:extLst>
        </cdr:cNvPr>
        <cdr:cNvSpPr txBox="1"/>
      </cdr:nvSpPr>
      <cdr:spPr>
        <a:xfrm xmlns:a="http://schemas.openxmlformats.org/drawingml/2006/main">
          <a:off x="66040" y="2001520"/>
          <a:ext cx="693420" cy="266700"/>
        </a:xfrm>
        <a:prstGeom xmlns:a="http://schemas.openxmlformats.org/drawingml/2006/main" prst="rect">
          <a:avLst/>
        </a:prstGeom>
      </cdr:spPr>
      <cdr:txBody>
        <a:bodyPr xmlns:a="http://schemas.openxmlformats.org/drawingml/2006/main"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endParaRPr lang="en-IN" sz="1100" kern="1200">
            <a:latin typeface="Segoe UI Semibold" panose="020B0702040204020203" pitchFamily="34" charset="0"/>
            <a:cs typeface="Segoe UI Semibold" panose="020B0702040204020203" pitchFamily="34" charset="0"/>
          </a:endParaRPr>
        </a:p>
      </cdr:txBody>
    </cdr:sp>
  </cdr:relSizeAnchor>
  <cdr:relSizeAnchor xmlns:cdr="http://schemas.openxmlformats.org/drawingml/2006/chartDrawing">
    <cdr:from>
      <cdr:x>0</cdr:x>
      <cdr:y>0.23642</cdr:y>
    </cdr:from>
    <cdr:to>
      <cdr:x>0.13217</cdr:x>
      <cdr:y>0.33496</cdr:y>
    </cdr:to>
    <cdr:sp macro="" textlink="'Top 5 selling and original pric'!$E$12">
      <cdr:nvSpPr>
        <cdr:cNvPr id="7" name="TextBox 6">
          <a:extLst xmlns:a="http://schemas.openxmlformats.org/drawingml/2006/main">
            <a:ext uri="{FF2B5EF4-FFF2-40B4-BE49-F238E27FC236}">
              <a16:creationId xmlns:a16="http://schemas.microsoft.com/office/drawing/2014/main" id="{A7247DBD-6DE1-6CC3-64CB-BBF1E868B3E9}"/>
            </a:ext>
          </a:extLst>
        </cdr:cNvPr>
        <cdr:cNvSpPr txBox="1"/>
      </cdr:nvSpPr>
      <cdr:spPr>
        <a:xfrm xmlns:a="http://schemas.openxmlformats.org/drawingml/2006/main">
          <a:off x="0" y="854418"/>
          <a:ext cx="712954" cy="356137"/>
        </a:xfrm>
        <a:prstGeom xmlns:a="http://schemas.openxmlformats.org/drawingml/2006/main" prst="rect">
          <a:avLst/>
        </a:prstGeom>
      </cdr:spPr>
      <cdr:txBody>
        <a:bodyPr xmlns:a="http://schemas.openxmlformats.org/drawingml/2006/main"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indent="0" algn="ctr"/>
          <a:fld id="{480D1E33-92C4-4495-BD90-12B8703BD3AB}" type="TxLink">
            <a:rPr lang="en-US" sz="1000" b="0" i="0" u="none" strike="noStrike" kern="1200">
              <a:solidFill>
                <a:srgbClr val="000000"/>
              </a:solidFill>
              <a:latin typeface="Segoe UI Semibold" panose="020B0702040204020203" pitchFamily="34" charset="0"/>
              <a:ea typeface="Calibri"/>
              <a:cs typeface="Segoe UI Semibold" panose="020B0702040204020203" pitchFamily="34" charset="0"/>
            </a:rPr>
            <a:pPr marL="0" indent="0" algn="ctr"/>
            <a:t>Sony </a:t>
          </a:fld>
          <a:endParaRPr lang="en-IN" sz="1000" b="0" i="0" u="none" strike="noStrike" kern="1200">
            <a:solidFill>
              <a:srgbClr val="000000"/>
            </a:solidFill>
            <a:latin typeface="Segoe UI Semibold" panose="020B0702040204020203" pitchFamily="34" charset="0"/>
            <a:ea typeface="Calibri"/>
            <a:cs typeface="Segoe UI Semibold" panose="020B0702040204020203" pitchFamily="34" charset="0"/>
          </a:endParaRPr>
        </a:p>
      </cdr:txBody>
    </cdr:sp>
  </cdr:relSizeAnchor>
  <cdr:relSizeAnchor xmlns:cdr="http://schemas.openxmlformats.org/drawingml/2006/chartDrawing">
    <cdr:from>
      <cdr:x>0</cdr:x>
      <cdr:y>0.41708</cdr:y>
    </cdr:from>
    <cdr:to>
      <cdr:x>0.11224</cdr:x>
      <cdr:y>0.5166</cdr:y>
    </cdr:to>
    <cdr:sp macro="" textlink="'Top 5 selling and original pric'!$E$11">
      <cdr:nvSpPr>
        <cdr:cNvPr id="8" name="TextBox 7">
          <a:extLst xmlns:a="http://schemas.openxmlformats.org/drawingml/2006/main">
            <a:ext uri="{FF2B5EF4-FFF2-40B4-BE49-F238E27FC236}">
              <a16:creationId xmlns:a16="http://schemas.microsoft.com/office/drawing/2014/main" id="{89738E9A-856D-48B4-7AD2-DA1BA1E05C72}"/>
            </a:ext>
          </a:extLst>
        </cdr:cNvPr>
        <cdr:cNvSpPr txBox="1"/>
      </cdr:nvSpPr>
      <cdr:spPr>
        <a:xfrm xmlns:a="http://schemas.openxmlformats.org/drawingml/2006/main">
          <a:off x="0" y="1507323"/>
          <a:ext cx="605471" cy="359677"/>
        </a:xfrm>
        <a:prstGeom xmlns:a="http://schemas.openxmlformats.org/drawingml/2006/main" prst="rect">
          <a:avLst/>
        </a:prstGeom>
      </cdr:spPr>
      <cdr:txBody>
        <a:bodyPr xmlns:a="http://schemas.openxmlformats.org/drawingml/2006/main"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fld id="{E3A6C16A-D68C-4E68-855A-665D8937E8AC}" type="TxLink">
            <a:rPr lang="en-US" sz="1000" b="0" i="0" u="none" strike="noStrike" kern="1200">
              <a:solidFill>
                <a:srgbClr val="000000"/>
              </a:solidFill>
              <a:latin typeface="Segoe UI Semibold" panose="020B0702040204020203" pitchFamily="34" charset="0"/>
              <a:ea typeface="Calibri"/>
              <a:cs typeface="Segoe UI Semibold" panose="020B0702040204020203" pitchFamily="34" charset="0"/>
            </a:rPr>
            <a:pPr algn="ctr"/>
            <a:t>Lg </a:t>
          </a:fld>
          <a:endParaRPr lang="en-IN" sz="1000" b="0" kern="1200">
            <a:latin typeface="Segoe UI Semibold" panose="020B0702040204020203" pitchFamily="34" charset="0"/>
            <a:cs typeface="Segoe UI Semibold" panose="020B0702040204020203" pitchFamily="34" charset="0"/>
          </a:endParaRPr>
        </a:p>
      </cdr:txBody>
    </cdr:sp>
  </cdr:relSizeAnchor>
  <cdr:relSizeAnchor xmlns:cdr="http://schemas.openxmlformats.org/drawingml/2006/chartDrawing">
    <cdr:from>
      <cdr:x>0</cdr:x>
      <cdr:y>0.77722</cdr:y>
    </cdr:from>
    <cdr:to>
      <cdr:x>0.13891</cdr:x>
      <cdr:y>0.85078</cdr:y>
    </cdr:to>
    <cdr:sp macro="" textlink="'Top 5 selling and original pric'!$E$15">
      <cdr:nvSpPr>
        <cdr:cNvPr id="9" name="TextBox 8">
          <a:extLst xmlns:a="http://schemas.openxmlformats.org/drawingml/2006/main">
            <a:ext uri="{FF2B5EF4-FFF2-40B4-BE49-F238E27FC236}">
              <a16:creationId xmlns:a16="http://schemas.microsoft.com/office/drawing/2014/main" id="{D6895217-67E5-C973-4798-13B223B53255}"/>
            </a:ext>
          </a:extLst>
        </cdr:cNvPr>
        <cdr:cNvSpPr txBox="1"/>
      </cdr:nvSpPr>
      <cdr:spPr>
        <a:xfrm xmlns:a="http://schemas.openxmlformats.org/drawingml/2006/main">
          <a:off x="0" y="2808862"/>
          <a:ext cx="749334" cy="265838"/>
        </a:xfrm>
        <a:prstGeom xmlns:a="http://schemas.openxmlformats.org/drawingml/2006/main" prst="rect">
          <a:avLst/>
        </a:prstGeom>
      </cdr:spPr>
      <cdr:txBody>
        <a:bodyPr xmlns:a="http://schemas.openxmlformats.org/drawingml/2006/main"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indent="0" algn="ctr"/>
          <a:fld id="{2ED6875F-8D6D-4C63-86A2-1F9A542D03B1}" type="TxLink">
            <a:rPr lang="en-US" sz="1000" b="0" i="0" u="none" strike="noStrike" kern="1200">
              <a:solidFill>
                <a:srgbClr val="000000"/>
              </a:solidFill>
              <a:latin typeface="Segoe UI Semibold" panose="020B0702040204020203" pitchFamily="34" charset="0"/>
              <a:ea typeface="Calibri"/>
              <a:cs typeface="Segoe UI Semibold" panose="020B0702040204020203" pitchFamily="34" charset="0"/>
            </a:rPr>
            <a:pPr marL="0" indent="0" algn="ctr"/>
            <a:t>Sony </a:t>
          </a:fld>
          <a:endParaRPr lang="en-IN" sz="1000" b="0" i="0" u="none" strike="noStrike" kern="1200">
            <a:solidFill>
              <a:srgbClr val="000000"/>
            </a:solidFill>
            <a:latin typeface="Segoe UI Semibold" panose="020B0702040204020203" pitchFamily="34" charset="0"/>
            <a:ea typeface="Calibri"/>
            <a:cs typeface="Segoe UI Semibold" panose="020B0702040204020203" pitchFamily="34" charset="0"/>
          </a:endParaRPr>
        </a:p>
      </cdr:txBody>
    </cdr:sp>
  </cdr:relSizeAnchor>
  <cdr:relSizeAnchor xmlns:cdr="http://schemas.openxmlformats.org/drawingml/2006/chartDrawing">
    <cdr:from>
      <cdr:x>0</cdr:x>
      <cdr:y>0.59465</cdr:y>
    </cdr:from>
    <cdr:to>
      <cdr:x>0.15874</cdr:x>
      <cdr:y>0.69124</cdr:y>
    </cdr:to>
    <cdr:sp macro="" textlink="'Top 5 selling and original pric'!$E$14">
      <cdr:nvSpPr>
        <cdr:cNvPr id="10" name="TextBox 9">
          <a:extLst xmlns:a="http://schemas.openxmlformats.org/drawingml/2006/main">
            <a:ext uri="{FF2B5EF4-FFF2-40B4-BE49-F238E27FC236}">
              <a16:creationId xmlns:a16="http://schemas.microsoft.com/office/drawing/2014/main" id="{03F453F8-A8F8-79E7-8CFF-F842C3E2CBC1}"/>
            </a:ext>
          </a:extLst>
        </cdr:cNvPr>
        <cdr:cNvSpPr txBox="1"/>
      </cdr:nvSpPr>
      <cdr:spPr>
        <a:xfrm xmlns:a="http://schemas.openxmlformats.org/drawingml/2006/main">
          <a:off x="0" y="2009281"/>
          <a:ext cx="853656" cy="326365"/>
        </a:xfrm>
        <a:prstGeom xmlns:a="http://schemas.openxmlformats.org/drawingml/2006/main" prst="rect">
          <a:avLst/>
        </a:prstGeom>
      </cdr:spPr>
      <cdr:txBody>
        <a:bodyPr xmlns:a="http://schemas.openxmlformats.org/drawingml/2006/main"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indent="0" algn="ctr"/>
          <a:fld id="{E30745C5-A59F-4532-B6B9-0F03F32A4599}" type="TxLink">
            <a:rPr lang="en-US" sz="1000" b="0" i="0" u="none" strike="noStrike" kern="1200">
              <a:solidFill>
                <a:srgbClr val="000000"/>
              </a:solidFill>
              <a:latin typeface="Segoe UI Semibold" panose="020B0702040204020203" pitchFamily="34" charset="0"/>
              <a:ea typeface="Calibri"/>
              <a:cs typeface="Segoe UI Semibold" panose="020B0702040204020203" pitchFamily="34" charset="0"/>
            </a:rPr>
            <a:pPr marL="0" indent="0" algn="ctr"/>
            <a:t>Hisense</a:t>
          </a:fld>
          <a:endParaRPr lang="en-IN" sz="1000" b="0" i="0" u="none" strike="noStrike" kern="1200">
            <a:solidFill>
              <a:srgbClr val="000000"/>
            </a:solidFill>
            <a:latin typeface="Segoe UI Semibold" panose="020B0702040204020203" pitchFamily="34" charset="0"/>
            <a:ea typeface="Calibri"/>
            <a:cs typeface="Segoe UI Semibold" panose="020B0702040204020203" pitchFamily="34" charset="0"/>
          </a:endParaRPr>
        </a:p>
      </cdr:txBody>
    </cdr:sp>
  </cdr:relSizeAnchor>
  <cdr:relSizeAnchor xmlns:cdr="http://schemas.openxmlformats.org/drawingml/2006/chartDrawing">
    <cdr:from>
      <cdr:x>0.01614</cdr:x>
      <cdr:y>0.01852</cdr:y>
    </cdr:from>
    <cdr:to>
      <cdr:x>0.91182</cdr:x>
      <cdr:y>0.12963</cdr:y>
    </cdr:to>
    <cdr:sp macro="" textlink="">
      <cdr:nvSpPr>
        <cdr:cNvPr id="12" name="TextBox 1">
          <a:extLst xmlns:a="http://schemas.openxmlformats.org/drawingml/2006/main">
            <a:ext uri="{FF2B5EF4-FFF2-40B4-BE49-F238E27FC236}">
              <a16:creationId xmlns:a16="http://schemas.microsoft.com/office/drawing/2014/main" id="{07AF0B30-B7E5-63C7-C61F-D3EB0BE4D26B}"/>
            </a:ext>
          </a:extLst>
        </cdr:cNvPr>
        <cdr:cNvSpPr txBox="1"/>
      </cdr:nvSpPr>
      <cdr:spPr>
        <a:xfrm xmlns:a="http://schemas.openxmlformats.org/drawingml/2006/main">
          <a:off x="50800" y="50800"/>
          <a:ext cx="2818740" cy="30480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IN" sz="1100" kern="1200">
              <a:latin typeface="Arial Rounded MT Bold" panose="020F0704030504030204" pitchFamily="34" charset="0"/>
            </a:rPr>
            <a:t>TOP 5 HIGHEST ORIGINAL PRICES</a:t>
          </a:r>
        </a:p>
      </cdr:txBody>
    </cdr:sp>
  </cdr:relSizeAnchor>
</c:userShapes>
</file>

<file path=xl/drawings/drawing6.xml><?xml version="1.0" encoding="utf-8"?>
<c:userShapes xmlns:c="http://schemas.openxmlformats.org/drawingml/2006/chart">
  <cdr:relSizeAnchor xmlns:cdr="http://schemas.openxmlformats.org/drawingml/2006/chartDrawing">
    <cdr:from>
      <cdr:x>0.15907</cdr:x>
      <cdr:y>0.04546</cdr:y>
    </cdr:from>
    <cdr:to>
      <cdr:x>0.7827</cdr:x>
      <cdr:y>0.14247</cdr:y>
    </cdr:to>
    <cdr:sp macro="" textlink="">
      <cdr:nvSpPr>
        <cdr:cNvPr id="2" name="TextBox 1">
          <a:extLst xmlns:a="http://schemas.openxmlformats.org/drawingml/2006/main">
            <a:ext uri="{FF2B5EF4-FFF2-40B4-BE49-F238E27FC236}">
              <a16:creationId xmlns:a16="http://schemas.microsoft.com/office/drawing/2014/main" id="{E8C73363-B80A-FC54-BC18-B910F2F51FD0}"/>
            </a:ext>
          </a:extLst>
        </cdr:cNvPr>
        <cdr:cNvSpPr txBox="1"/>
      </cdr:nvSpPr>
      <cdr:spPr>
        <a:xfrm xmlns:a="http://schemas.openxmlformats.org/drawingml/2006/main">
          <a:off x="540774" y="259192"/>
          <a:ext cx="2120081" cy="553064"/>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kern="1200"/>
        </a:p>
      </cdr:txBody>
    </cdr:sp>
  </cdr:relSizeAnchor>
  <cdr:relSizeAnchor xmlns:cdr="http://schemas.openxmlformats.org/drawingml/2006/chartDrawing">
    <cdr:from>
      <cdr:x>0.15365</cdr:x>
      <cdr:y>0.04527</cdr:y>
    </cdr:from>
    <cdr:to>
      <cdr:x>0.84054</cdr:x>
      <cdr:y>0.10563</cdr:y>
    </cdr:to>
    <cdr:sp macro="" textlink="">
      <cdr:nvSpPr>
        <cdr:cNvPr id="3" name="TextBox 2">
          <a:extLst xmlns:a="http://schemas.openxmlformats.org/drawingml/2006/main">
            <a:ext uri="{FF2B5EF4-FFF2-40B4-BE49-F238E27FC236}">
              <a16:creationId xmlns:a16="http://schemas.microsoft.com/office/drawing/2014/main" id="{9DA109AD-78C1-1D7A-7228-0A98E3137675}"/>
            </a:ext>
          </a:extLst>
        </cdr:cNvPr>
        <cdr:cNvSpPr txBox="1"/>
      </cdr:nvSpPr>
      <cdr:spPr>
        <a:xfrm xmlns:a="http://schemas.openxmlformats.org/drawingml/2006/main">
          <a:off x="522340" y="258097"/>
          <a:ext cx="2335161" cy="344129"/>
        </a:xfrm>
        <a:prstGeom xmlns:a="http://schemas.openxmlformats.org/drawingml/2006/main" prst="rect">
          <a:avLst/>
        </a:prstGeom>
        <a:noFill xmlns:a="http://schemas.openxmlformats.org/drawingml/2006/main"/>
      </cdr:spPr>
      <cdr:txBody>
        <a:bodyPr xmlns:a="http://schemas.openxmlformats.org/drawingml/2006/main" vertOverflow="clip" wrap="square" rtlCol="0"/>
        <a:lstStyle xmlns:a="http://schemas.openxmlformats.org/drawingml/2006/main"/>
        <a:p xmlns:a="http://schemas.openxmlformats.org/drawingml/2006/main">
          <a:pPr marL="0" marR="0" lvl="0" indent="0" defTabSz="914400" rtl="0" eaLnBrk="1" fontAlgn="auto" latinLnBrk="0" hangingPunct="1">
            <a:lnSpc>
              <a:spcPct val="100000"/>
            </a:lnSpc>
            <a:spcBef>
              <a:spcPts val="0"/>
            </a:spcBef>
            <a:spcAft>
              <a:spcPts val="0"/>
            </a:spcAft>
            <a:buClrTx/>
            <a:buSzTx/>
            <a:buFontTx/>
            <a:buNone/>
            <a:tabLst/>
            <a:defRPr/>
          </a:pPr>
          <a:r>
            <a:rPr lang="en-US" sz="1100" b="0" i="0" baseline="0">
              <a:solidFill>
                <a:schemeClr val="bg1"/>
              </a:solidFill>
              <a:effectLst/>
              <a:latin typeface="Arial Black" panose="020B0A04020102020204" pitchFamily="34" charset="0"/>
              <a:ea typeface="+mn-ea"/>
              <a:cs typeface="+mn-cs"/>
            </a:rPr>
            <a:t>Company Discount Analysis</a:t>
          </a:r>
          <a:endParaRPr lang="en-IN" sz="1100">
            <a:solidFill>
              <a:schemeClr val="bg1"/>
            </a:solidFill>
            <a:effectLst/>
            <a:latin typeface="Arial Black" panose="020B0A04020102020204" pitchFamily="34" charset="0"/>
          </a:endParaRPr>
        </a:p>
        <a:p xmlns:a="http://schemas.openxmlformats.org/drawingml/2006/main">
          <a:endParaRPr lang="en-IN" sz="1100" kern="1200">
            <a:solidFill>
              <a:schemeClr val="bg1"/>
            </a:solidFill>
            <a:latin typeface="Arial Black" panose="020B0A04020102020204" pitchFamily="34" charset="0"/>
          </a:endParaRPr>
        </a:p>
      </cdr:txBody>
    </cdr:sp>
  </cdr:relSizeAnchor>
</c:userShapes>
</file>

<file path=xl/drawings/drawing7.xml><?xml version="1.0" encoding="utf-8"?>
<xdr:wsDr xmlns:xdr="http://schemas.openxmlformats.org/drawingml/2006/spreadsheetDrawing" xmlns:a="http://schemas.openxmlformats.org/drawingml/2006/main">
  <xdr:twoCellAnchor>
    <xdr:from>
      <xdr:col>12</xdr:col>
      <xdr:colOff>117836</xdr:colOff>
      <xdr:row>3</xdr:row>
      <xdr:rowOff>15712</xdr:rowOff>
    </xdr:from>
    <xdr:to>
      <xdr:col>19</xdr:col>
      <xdr:colOff>659876</xdr:colOff>
      <xdr:row>24</xdr:row>
      <xdr:rowOff>164969</xdr:rowOff>
    </xdr:to>
    <xdr:sp macro="" textlink="">
      <xdr:nvSpPr>
        <xdr:cNvPr id="5" name="Rectangle: Diagonal Corners Rounded 4">
          <a:extLst>
            <a:ext uri="{FF2B5EF4-FFF2-40B4-BE49-F238E27FC236}">
              <a16:creationId xmlns:a16="http://schemas.microsoft.com/office/drawing/2014/main" id="{5AA49791-B122-4357-A536-F7597E43F83E}"/>
            </a:ext>
          </a:extLst>
        </xdr:cNvPr>
        <xdr:cNvSpPr/>
      </xdr:nvSpPr>
      <xdr:spPr>
        <a:xfrm>
          <a:off x="12294125" y="534186"/>
          <a:ext cx="5821050" cy="4077092"/>
        </a:xfrm>
        <a:prstGeom prst="round2DiagRect">
          <a:avLst/>
        </a:prstGeom>
        <a:solidFill>
          <a:schemeClr val="bg1">
            <a:lumMod val="8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2</xdr:col>
      <xdr:colOff>0</xdr:colOff>
      <xdr:row>2</xdr:row>
      <xdr:rowOff>0</xdr:rowOff>
    </xdr:from>
    <xdr:to>
      <xdr:col>11</xdr:col>
      <xdr:colOff>15240</xdr:colOff>
      <xdr:row>5</xdr:row>
      <xdr:rowOff>60960</xdr:rowOff>
    </xdr:to>
    <xdr:sp macro="" textlink="">
      <xdr:nvSpPr>
        <xdr:cNvPr id="4" name="TextBox 3">
          <a:extLst>
            <a:ext uri="{FF2B5EF4-FFF2-40B4-BE49-F238E27FC236}">
              <a16:creationId xmlns:a16="http://schemas.microsoft.com/office/drawing/2014/main" id="{D1356A1B-22E8-D69A-9872-5A76FD5B3B58}"/>
            </a:ext>
          </a:extLst>
        </xdr:cNvPr>
        <xdr:cNvSpPr txBox="1"/>
      </xdr:nvSpPr>
      <xdr:spPr>
        <a:xfrm>
          <a:off x="1577340" y="350520"/>
          <a:ext cx="9860280" cy="58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400" b="1">
              <a:solidFill>
                <a:schemeClr val="dk1"/>
              </a:solidFill>
              <a:latin typeface="Arial Rounded MT Bold" panose="020F0704030504030204" pitchFamily="34" charset="0"/>
            </a:rPr>
            <a:t>Resolution Types vs Discount Percentages: Impact on Selling Prices</a:t>
          </a:r>
        </a:p>
      </xdr:txBody>
    </xdr:sp>
    <xdr:clientData/>
  </xdr:twoCellAnchor>
  <xdr:twoCellAnchor>
    <xdr:from>
      <xdr:col>11</xdr:col>
      <xdr:colOff>486819</xdr:colOff>
      <xdr:row>5</xdr:row>
      <xdr:rowOff>125690</xdr:rowOff>
    </xdr:from>
    <xdr:to>
      <xdr:col>19</xdr:col>
      <xdr:colOff>604887</xdr:colOff>
      <xdr:row>24</xdr:row>
      <xdr:rowOff>102564</xdr:rowOff>
    </xdr:to>
    <xdr:graphicFrame macro="">
      <xdr:nvGraphicFramePr>
        <xdr:cNvPr id="2" name="Chart 1">
          <a:extLst>
            <a:ext uri="{FF2B5EF4-FFF2-40B4-BE49-F238E27FC236}">
              <a16:creationId xmlns:a16="http://schemas.microsoft.com/office/drawing/2014/main" id="{396A722C-8228-4220-96F2-799469FBDE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107775</xdr:colOff>
      <xdr:row>3</xdr:row>
      <xdr:rowOff>59175</xdr:rowOff>
    </xdr:from>
    <xdr:to>
      <xdr:col>20</xdr:col>
      <xdr:colOff>157626</xdr:colOff>
      <xdr:row>6</xdr:row>
      <xdr:rowOff>113013</xdr:rowOff>
    </xdr:to>
    <xdr:sp macro="" textlink="">
      <xdr:nvSpPr>
        <xdr:cNvPr id="3" name="TextBox 2">
          <a:extLst>
            <a:ext uri="{FF2B5EF4-FFF2-40B4-BE49-F238E27FC236}">
              <a16:creationId xmlns:a16="http://schemas.microsoft.com/office/drawing/2014/main" id="{C0FA5A56-0FFC-435B-B0C3-707FC28C044D}"/>
            </a:ext>
          </a:extLst>
        </xdr:cNvPr>
        <xdr:cNvSpPr txBox="1"/>
      </xdr:nvSpPr>
      <xdr:spPr>
        <a:xfrm>
          <a:off x="12339053" y="577649"/>
          <a:ext cx="5996594" cy="5801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1100">
              <a:latin typeface="Arial Black" panose="020B0A04020102020204" pitchFamily="34" charset="0"/>
            </a:rPr>
            <a:t>Visual Insights: Resolution vs. Discount</a:t>
          </a:r>
          <a:r>
            <a:rPr lang="en-IN" sz="1100" baseline="0">
              <a:latin typeface="Arial Black" panose="020B0A04020102020204" pitchFamily="34" charset="0"/>
            </a:rPr>
            <a:t> - </a:t>
          </a:r>
          <a:r>
            <a:rPr lang="en-IN" sz="1100">
              <a:latin typeface="Arial Black" panose="020B0A04020102020204" pitchFamily="34" charset="0"/>
            </a:rPr>
            <a:t> Impact on</a:t>
          </a:r>
          <a:r>
            <a:rPr lang="en-IN" sz="1100" baseline="0">
              <a:latin typeface="Arial Black" panose="020B0A04020102020204" pitchFamily="34" charset="0"/>
            </a:rPr>
            <a:t> </a:t>
          </a:r>
          <a:r>
            <a:rPr lang="en-IN" sz="1100">
              <a:latin typeface="Arial Black" panose="020B0A04020102020204" pitchFamily="34" charset="0"/>
            </a:rPr>
            <a:t>Selling Prices</a:t>
          </a:r>
          <a:endParaRPr lang="en-US" sz="1100" b="1">
            <a:solidFill>
              <a:schemeClr val="dk1"/>
            </a:solidFill>
            <a:latin typeface="Arial Black" panose="020B0A04020102020204" pitchFamily="34"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jkumar D" refreshedDate="45623.693739814815" createdVersion="8" refreshedVersion="8" minRefreshableVersion="3" recordCount="58" xr:uid="{C0CD4275-BAED-4AF1-9808-59F8A1A35162}">
  <cacheSource type="worksheet">
    <worksheetSource ref="J6:T64" sheet="Top 5 selling and original pric"/>
  </cacheSource>
  <cacheFields count="11">
    <cacheField name="Brand" numFmtId="0">
      <sharedItems count="58">
        <s v="Toshiba"/>
        <s v="Tcl "/>
        <s v="Realme "/>
        <s v="Mi "/>
        <s v="Oneplus"/>
        <s v="Hisense"/>
        <s v="Lg "/>
        <s v="Marq By Flipkart"/>
        <s v="Iffalcon By Tcl"/>
        <s v="Coocaa "/>
        <s v="Samsung"/>
        <s v="Infinix"/>
        <s v="Vu"/>
        <s v="Nokia "/>
        <s v="Thomson"/>
        <s v="Sony "/>
        <s v="Kodak "/>
        <s v="Motorola"/>
        <s v="Philips"/>
        <s v="Acer"/>
        <s v="Blaupunkt"/>
        <s v="Adsun"/>
        <s v="T-Series"/>
        <s v="Panasonic"/>
        <s v="Micromax"/>
        <s v="Sansui "/>
        <s v="Croma "/>
        <s v="Candes "/>
        <s v="Dyanora"/>
        <s v="Haier "/>
        <s v="Onida"/>
        <s v="Rgl "/>
        <s v="Lloyd "/>
        <s v="Lumx "/>
        <s v="Onix "/>
        <s v="Impex "/>
        <s v="Bpl "/>
        <s v="Cloudwalker"/>
        <s v="Oxygen "/>
        <s v="Power Guard"/>
        <s v="Akai "/>
        <s v="Vg "/>
        <s v="Sun King"/>
        <s v="Compaq "/>
        <s v="Huidi "/>
        <s v="Intex "/>
        <s v="Detel "/>
        <s v="Jvc"/>
        <s v="G-Ten "/>
        <s v="Skyworth"/>
        <s v="Maser "/>
        <s v="Sanyo "/>
        <s v="Murphy "/>
        <s v="Dektron"/>
        <s v="Sharp "/>
        <s v="Krisons"/>
        <s v="Weston "/>
        <s v="Aisen  "/>
      </sharedItems>
    </cacheField>
    <cacheField name="Ultra HD LED" numFmtId="0">
      <sharedItems containsSemiMixedTypes="0" containsString="0" containsNumber="1" containsInteger="1" minValue="0" maxValue="79"/>
    </cacheField>
    <cacheField name="QLED Ultra HD" numFmtId="0">
      <sharedItems containsSemiMixedTypes="0" containsString="0" containsNumber="1" containsInteger="1" minValue="0" maxValue="36"/>
    </cacheField>
    <cacheField name="HD LED" numFmtId="0">
      <sharedItems containsSemiMixedTypes="0" containsString="0" containsNumber="1" containsInteger="1" minValue="0" maxValue="16"/>
    </cacheField>
    <cacheField name="Full HD LED" numFmtId="0">
      <sharedItems containsSemiMixedTypes="0" containsString="0" containsNumber="1" containsInteger="1" minValue="0" maxValue="37"/>
    </cacheField>
    <cacheField name="HD Plasma" numFmtId="0">
      <sharedItems containsSemiMixedTypes="0" containsString="0" containsNumber="1" containsInteger="1" minValue="0" maxValue="2"/>
    </cacheField>
    <cacheField name="Selling price of Ultra" numFmtId="0">
      <sharedItems containsSemiMixedTypes="0" containsString="0" containsNumber="1" containsInteger="1" minValue="0" maxValue="9311841"/>
    </cacheField>
    <cacheField name="Selling price of QLED" numFmtId="0">
      <sharedItems containsSemiMixedTypes="0" containsString="0" containsNumber="1" containsInteger="1" minValue="0" maxValue="5194394"/>
    </cacheField>
    <cacheField name="Selling price of HD" numFmtId="0">
      <sharedItems containsSemiMixedTypes="0" containsString="0" containsNumber="1" containsInteger="1" minValue="0" maxValue="372366"/>
    </cacheField>
    <cacheField name="Selling price of Full Hd" numFmtId="0">
      <sharedItems containsSemiMixedTypes="0" containsString="0" containsNumber="1" containsInteger="1" minValue="0" maxValue="3787655"/>
    </cacheField>
    <cacheField name="Selling price of HD plasma" numFmtId="0">
      <sharedItems containsSemiMixedTypes="0" containsString="0" containsNumber="1" containsInteger="1" minValue="0" maxValue="11598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624.596464351853" createdVersion="8" refreshedVersion="8" minRefreshableVersion="3" recordCount="912" xr:uid="{04BE9E07-3F59-46FC-A0D0-0D4332CE7025}">
  <cacheSource type="worksheet">
    <worksheetSource name="Table4"/>
  </cacheSource>
  <cacheFields count="16">
    <cacheField name="Brand" numFmtId="0">
      <sharedItems count="58">
        <s v="TOSHIBA"/>
        <s v="TCL "/>
        <s v="realme "/>
        <s v="Mi "/>
        <s v="OnePlus"/>
        <s v="Hisense"/>
        <s v="LG "/>
        <s v="MarQ by Flipkart"/>
        <s v="iFFALCON by TCL"/>
        <s v="Coocaa "/>
        <s v="SAMSUNG"/>
        <s v="Infinix"/>
        <s v="Vu"/>
        <s v="Nokia "/>
        <s v="Thomson"/>
        <s v="SONY "/>
        <s v="KODAK "/>
        <s v="MOTOROLA"/>
        <s v="PHILIPS"/>
        <s v="Acer"/>
        <s v="Blaupunkt"/>
        <s v="Adsun"/>
        <s v="T-Series"/>
        <s v="Panasonic"/>
        <s v="Micromax"/>
        <s v="Sansui "/>
        <s v="Croma "/>
        <s v="Candes "/>
        <s v="Dyanora"/>
        <s v="Haier "/>
        <s v="Onida"/>
        <s v="RGL "/>
        <s v="Lloyd "/>
        <s v="LumX "/>
        <s v="Onix "/>
        <s v="IMPEX "/>
        <s v="BPL "/>
        <s v="CloudWalker"/>
        <s v="Oxygen "/>
        <s v="Power Guard"/>
        <s v="Akai "/>
        <s v="VG "/>
        <s v="Sun King"/>
        <s v="Compaq "/>
        <s v="HUIDI "/>
        <s v="Intex "/>
        <s v="DETEL "/>
        <s v="JVC"/>
        <s v="G-TEN "/>
        <s v="Skyworth"/>
        <s v="Maser "/>
        <s v="Sanyo "/>
        <s v="MURPHY "/>
        <s v="Dektron"/>
        <s v="Sharp "/>
        <s v="KRISONS"/>
        <s v="Weston "/>
        <s v="AISEN  "/>
      </sharedItems>
    </cacheField>
    <cacheField name="Brand-Renamed" numFmtId="0">
      <sharedItems count="58">
        <s v="Toshiba"/>
        <s v="Tcl "/>
        <s v="Realme "/>
        <s v="Mi "/>
        <s v="Oneplus"/>
        <s v="Hisense"/>
        <s v="Lg "/>
        <s v="Marq By Flipkart"/>
        <s v="Iffalcon By Tcl"/>
        <s v="Coocaa "/>
        <s v="Samsung"/>
        <s v="Infinix"/>
        <s v="Vu"/>
        <s v="Nokia "/>
        <s v="Thomson"/>
        <s v="Sony "/>
        <s v="Kodak "/>
        <s v="Motorola"/>
        <s v="Philips"/>
        <s v="Acer"/>
        <s v="Blaupunkt"/>
        <s v="Adsun"/>
        <s v="T-Series"/>
        <s v="Panasonic"/>
        <s v="Micromax"/>
        <s v="Sansui "/>
        <s v="Croma "/>
        <s v="Candes "/>
        <s v="Dyanora"/>
        <s v="Haier "/>
        <s v="Onida"/>
        <s v="Rgl "/>
        <s v="Lloyd "/>
        <s v="Lumx "/>
        <s v="Onix "/>
        <s v="Impex "/>
        <s v="Bpl "/>
        <s v="Cloudwalker"/>
        <s v="Oxygen "/>
        <s v="Power Guard"/>
        <s v="Akai "/>
        <s v="Vg "/>
        <s v="Sun King"/>
        <s v="Compaq "/>
        <s v="Huidi "/>
        <s v="Intex "/>
        <s v="Detel "/>
        <s v="Jvc"/>
        <s v="G-Ten "/>
        <s v="Skyworth"/>
        <s v="Maser "/>
        <s v="Sanyo "/>
        <s v="Murphy "/>
        <s v="Dektron"/>
        <s v="Sharp "/>
        <s v="Krisons"/>
        <s v="Weston "/>
        <s v="Aisen  "/>
      </sharedItems>
    </cacheField>
    <cacheField name="Resolution" numFmtId="0">
      <sharedItems count="5">
        <s v="Ultra HD LED"/>
        <s v="QLED Ultra HD"/>
        <s v="HD LED"/>
        <s v="Full HD LED"/>
        <s v="HD Plasma"/>
      </sharedItems>
    </cacheField>
    <cacheField name="Size " numFmtId="0">
      <sharedItems containsSemiMixedTypes="0" containsString="0" containsNumber="1" containsInteger="1" minValue="17" maxValue="85"/>
    </cacheField>
    <cacheField name="Selling Price" numFmtId="0">
      <sharedItems containsSemiMixedTypes="0" containsString="0" containsNumber="1" containsInteger="1" minValue="4849" maxValue="499990"/>
    </cacheField>
    <cacheField name="Original Price" numFmtId="0">
      <sharedItems containsSemiMixedTypes="0" containsString="0" containsNumber="1" containsInteger="1" minValue="6999" maxValue="549990"/>
    </cacheField>
    <cacheField name="Operating System" numFmtId="0">
      <sharedItems containsBlank="1" count="8">
        <s v="VIDAA"/>
        <s v="Android"/>
        <s v="Linux"/>
        <m/>
        <s v="Tizen"/>
        <s v="WebOS"/>
        <s v="HomeOS"/>
        <s v="FireTV OS"/>
      </sharedItems>
    </cacheField>
    <cacheField name="Rating" numFmtId="0">
      <sharedItems containsString="0" containsBlank="1" containsNumber="1" minValue="2" maxValue="5"/>
    </cacheField>
    <cacheField name="Discount" numFmtId="0">
      <sharedItems containsSemiMixedTypes="0" containsString="0" containsNumber="1" containsInteger="1" minValue="0" maxValue="250000"/>
    </cacheField>
    <cacheField name="Discount%" numFmtId="9">
      <sharedItems containsSemiMixedTypes="0" containsString="0" containsNumber="1" minValue="0" maxValue="0.7" count="8">
        <n v="0.3"/>
        <n v="0.6"/>
        <n v="0.2"/>
        <n v="0.4"/>
        <n v="0.1"/>
        <n v="0.5"/>
        <n v="0.7"/>
        <n v="0"/>
      </sharedItems>
    </cacheField>
    <cacheField name="Profit" numFmtId="0">
      <sharedItems containsSemiMixedTypes="0" containsString="0" containsNumber="1" containsInteger="1" minValue="-250000" maxValue="0"/>
    </cacheField>
    <cacheField name="Profit%" numFmtId="9">
      <sharedItems containsSemiMixedTypes="0" containsString="0" containsNumber="1" minValue="-2.455467219725775" maxValue="0"/>
    </cacheField>
    <cacheField name="Discount Rating" numFmtId="0">
      <sharedItems count="3">
        <s v="Medium"/>
        <s v="Excellent"/>
        <s v="Low"/>
      </sharedItems>
    </cacheField>
    <cacheField name="Ratings Strings" numFmtId="0">
      <sharedItems/>
    </cacheField>
    <cacheField name="Median for Original" numFmtId="166">
      <sharedItems containsSemiMixedTypes="0" containsString="0" containsNumber="1" minValue="7999" maxValue="127990"/>
    </cacheField>
    <cacheField name="Median for Selling" numFmtId="165">
      <sharedItems containsSemiMixedTypes="0" containsString="0" containsNumber="1" minValue="5490" maxValue="127990"/>
    </cacheField>
  </cacheFields>
  <extLst>
    <ext xmlns:x14="http://schemas.microsoft.com/office/spreadsheetml/2009/9/main" uri="{725AE2AE-9491-48be-B2B4-4EB974FC3084}">
      <x14:pivotCacheDefinition pivotCacheId="106152990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jkumar D" refreshedDate="45624.668322453705" backgroundQuery="1" createdVersion="8" refreshedVersion="8" minRefreshableVersion="3" recordCount="0" supportSubquery="1" supportAdvancedDrill="1" xr:uid="{AF582986-37A2-448D-8938-C3281C73993A}">
  <cacheSource type="external" connectionId="1"/>
  <cacheFields count="0"/>
  <cacheHierarchies count="45">
    <cacheHierarchy uniqueName="[Range].[Rgl]" caption="Rgl" attribute="1" defaultMemberUniqueName="[Range].[Rgl].[All]" allUniqueName="[Range].[Rgl].[All]" dimensionUniqueName="[Range]" displayFolder="" count="0" memberValueDatatype="130" unbalanced="0"/>
    <cacheHierarchy uniqueName="[Range].[Full HD LED]" caption="Full HD LED" attribute="1" defaultMemberUniqueName="[Range].[Full HD LED].[All]" allUniqueName="[Range].[Full HD LED].[All]" dimensionUniqueName="[Range]" displayFolder="" count="0" memberValueDatatype="130" unbalanced="0"/>
    <cacheHierarchy uniqueName="[Range].[20]" caption="20" attribute="1" defaultMemberUniqueName="[Range].[20].[All]" allUniqueName="[Range].[20].[All]" dimensionUniqueName="[Range]" displayFolder="" count="0" memberValueDatatype="20" unbalanced="0"/>
    <cacheHierarchy uniqueName="[Range].[4849]" caption="4849" attribute="1" defaultMemberUniqueName="[Range].[4849].[All]" allUniqueName="[Range].[4849].[All]" dimensionUniqueName="[Range]" displayFolder="" count="0" memberValueDatatype="20" unbalanced="0"/>
    <cacheHierarchy uniqueName="[Range].[8990]" caption="8990" attribute="1" defaultMemberUniqueName="[Range].[8990].[All]" allUniqueName="[Range].[8990].[All]" dimensionUniqueName="[Range]" displayFolder="" count="0" memberValueDatatype="20" unbalanced="0"/>
    <cacheHierarchy uniqueName="[Range].[HomeOS]" caption="HomeOS" attribute="1" defaultMemberUniqueName="[Range].[HomeOS].[All]" allUniqueName="[Range].[HomeOS].[All]" dimensionUniqueName="[Range]" displayFolder="" count="0" memberValueDatatype="130" unbalanced="0"/>
    <cacheHierarchy uniqueName="[Range].[3.9]" caption="3.9" attribute="1" defaultMemberUniqueName="[Range].[3.9].[All]" allUniqueName="[Range].[3.9].[All]" dimensionUniqueName="[Range]" displayFolder="" count="0" memberValueDatatype="5" unbalanced="0"/>
    <cacheHierarchy uniqueName="[Range].[4141]" caption="4141" attribute="1" defaultMemberUniqueName="[Range].[4141].[All]" allUniqueName="[Range].[4141].[All]" dimensionUniqueName="[Range]" displayFolder="" count="0" memberValueDatatype="20" unbalanced="0"/>
    <cacheHierarchy uniqueName="[Range].[46%]" caption="46%" attribute="1" defaultMemberUniqueName="[Range].[46%].[All]" allUniqueName="[Range].[46%].[All]" dimensionUniqueName="[Range]" displayFolder="" count="0" memberValueDatatype="130" unbalanced="0"/>
    <cacheHierarchy uniqueName="[Range].[-4141]" caption="-4141" attribute="1" defaultMemberUniqueName="[Range].[-4141].[All]" allUniqueName="[Range].[-4141].[All]" dimensionUniqueName="[Range]" displayFolder="" count="0" memberValueDatatype="20" unbalanced="0"/>
    <cacheHierarchy uniqueName="[Range].[-85%]" caption="-85%" attribute="1" defaultMemberUniqueName="[Range].[-85%].[All]" allUniqueName="[Range].[-85%].[All]" dimensionUniqueName="[Range]" displayFolder="" count="0" memberValueDatatype="5" unbalanced="0"/>
    <cacheHierarchy uniqueName="[Range].[Medium Ratings]" caption="Medium Ratings" attribute="1" defaultMemberUniqueName="[Range].[Medium Ratings].[All]" allUniqueName="[Range].[Medium Ratings].[All]" dimensionUniqueName="[Range]" displayFolder="" count="0" memberValueDatatype="130" unbalanced="0"/>
    <cacheHierarchy uniqueName="[Range].[$ 12,000.00]" caption="$ 12,000.00" attribute="1" defaultMemberUniqueName="[Range].[$ 12,000.00].[All]" allUniqueName="[Range].[$ 12,000.00].[All]" dimensionUniqueName="[Range]" displayFolder="" count="0" memberValueDatatype="5" unbalanced="0"/>
    <cacheHierarchy uniqueName="[Range].[$ 5,490]" caption="$ 5,490" attribute="1" defaultMemberUniqueName="[Range].[$ 5,490].[All]" allUniqueName="[Range].[$ 5,490].[All]" dimensionUniqueName="[Range]" displayFolder="" count="0" memberValueDatatype="5" unbalanced="0"/>
    <cacheHierarchy uniqueName="[Table4].[Brand]" caption="Brand" attribute="1" defaultMemberUniqueName="[Table4].[Brand].[All]" allUniqueName="[Table4].[Brand].[All]" dimensionUniqueName="[Table4]" displayFolder="" count="0" memberValueDatatype="130" unbalanced="0"/>
    <cacheHierarchy uniqueName="[Table4].[Brand-Renamed]" caption="Brand-Renamed" attribute="1" defaultMemberUniqueName="[Table4].[Brand-Renamed].[All]" allUniqueName="[Table4].[Brand-Renamed].[All]" dimensionUniqueName="[Table4]" displayFolder="" count="0" memberValueDatatype="130" unbalanced="0"/>
    <cacheHierarchy uniqueName="[Table4].[Resolution]" caption="Resolution" attribute="1" defaultMemberUniqueName="[Table4].[Resolution].[All]" allUniqueName="[Table4].[Resolution].[All]" dimensionUniqueName="[Table4]" displayFolder="" count="0" memberValueDatatype="130" unbalanced="0"/>
    <cacheHierarchy uniqueName="[Table4].[Size]" caption="Size" attribute="1" defaultMemberUniqueName="[Table4].[Size].[All]" allUniqueName="[Table4].[Size].[All]" dimensionUniqueName="[Table4]" displayFolder="" count="0" memberValueDatatype="20" unbalanced="0"/>
    <cacheHierarchy uniqueName="[Table4].[Selling Price]" caption="Selling Price" attribute="1" defaultMemberUniqueName="[Table4].[Selling Price].[All]" allUniqueName="[Table4].[Selling Price].[All]" dimensionUniqueName="[Table4]" displayFolder="" count="0" memberValueDatatype="20" unbalanced="0"/>
    <cacheHierarchy uniqueName="[Table4].[Original Price]" caption="Original Price" attribute="1" defaultMemberUniqueName="[Table4].[Original Price].[All]" allUniqueName="[Table4].[Original Price].[All]" dimensionUniqueName="[Table4]" displayFolder="" count="0" memberValueDatatype="20" unbalanced="0"/>
    <cacheHierarchy uniqueName="[Table4].[Operating System]" caption="Operating System" attribute="1" defaultMemberUniqueName="[Table4].[Operating System].[All]" allUniqueName="[Table4].[Operating System].[All]" dimensionUniqueName="[Table4]" displayFolder="" count="0" memberValueDatatype="130" unbalanced="0"/>
    <cacheHierarchy uniqueName="[Table4].[Rating]" caption="Rating" attribute="1" defaultMemberUniqueName="[Table4].[Rating].[All]" allUniqueName="[Table4].[Rating].[All]" dimensionUniqueName="[Table4]" displayFolder="" count="0" memberValueDatatype="5" unbalanced="0"/>
    <cacheHierarchy uniqueName="[Table4].[Discount]" caption="Discount" attribute="1" defaultMemberUniqueName="[Table4].[Discount].[All]" allUniqueName="[Table4].[Discount].[All]" dimensionUniqueName="[Table4]" displayFolder="" count="0" memberValueDatatype="20" unbalanced="0"/>
    <cacheHierarchy uniqueName="[Table4].[Discount%]" caption="Discount%" attribute="1" defaultMemberUniqueName="[Table4].[Discount%].[All]" allUniqueName="[Table4].[Discount%].[All]" dimensionUniqueName="[Table4]" displayFolder="" count="0" memberValueDatatype="5" unbalanced="0"/>
    <cacheHierarchy uniqueName="[Table4].[Profit]" caption="Profit" attribute="1" defaultMemberUniqueName="[Table4].[Profit].[All]" allUniqueName="[Table4].[Profit].[All]" dimensionUniqueName="[Table4]" displayFolder="" count="0" memberValueDatatype="20" unbalanced="0"/>
    <cacheHierarchy uniqueName="[Table4].[Profit%]" caption="Profit%" attribute="1" defaultMemberUniqueName="[Table4].[Profit%].[All]" allUniqueName="[Table4].[Profit%].[All]" dimensionUniqueName="[Table4]" displayFolder="" count="0" memberValueDatatype="5" unbalanced="0"/>
    <cacheHierarchy uniqueName="[Table4].[Discount Rating]" caption="Discount Rating" attribute="1" defaultMemberUniqueName="[Table4].[Discount Rating].[All]" allUniqueName="[Table4].[Discount Rating].[All]" dimensionUniqueName="[Table4]" displayFolder="" count="0" memberValueDatatype="130" unbalanced="0"/>
    <cacheHierarchy uniqueName="[Table4].[Ratings Strings]" caption="Ratings Strings" attribute="1" defaultMemberUniqueName="[Table4].[Ratings Strings].[All]" allUniqueName="[Table4].[Ratings Strings].[All]" dimensionUniqueName="[Table4]" displayFolder="" count="0" memberValueDatatype="130" unbalanced="0"/>
    <cacheHierarchy uniqueName="[Measures].[Sum of Selling Price]" caption="Sum of Selling Price" measure="1" displayFolder="" measureGroup="Table4" count="0">
      <extLst>
        <ext xmlns:x15="http://schemas.microsoft.com/office/spreadsheetml/2010/11/main" uri="{B97F6D7D-B522-45F9-BDA1-12C45D357490}">
          <x15:cacheHierarchy aggregatedColumn="18"/>
        </ext>
      </extLst>
    </cacheHierarchy>
    <cacheHierarchy uniqueName="[Measures].[Sum of Original Price]" caption="Sum of Original Price" measure="1" displayFolder="" measureGroup="Table4" count="0">
      <extLst>
        <ext xmlns:x15="http://schemas.microsoft.com/office/spreadsheetml/2010/11/main" uri="{B97F6D7D-B522-45F9-BDA1-12C45D357490}">
          <x15:cacheHierarchy aggregatedColumn="19"/>
        </ext>
      </extLst>
    </cacheHierarchy>
    <cacheHierarchy uniqueName="[Measures].[Sum of Discount%]" caption="Sum of Discount%" measure="1" displayFolder="" measureGroup="Table4" count="0">
      <extLst>
        <ext xmlns:x15="http://schemas.microsoft.com/office/spreadsheetml/2010/11/main" uri="{B97F6D7D-B522-45F9-BDA1-12C45D357490}">
          <x15:cacheHierarchy aggregatedColumn="23"/>
        </ext>
      </extLst>
    </cacheHierarchy>
    <cacheHierarchy uniqueName="[Measures].[Average of Discount%]" caption="Average of Discount%" measure="1" displayFolder="" measureGroup="Table4" count="0">
      <extLst>
        <ext xmlns:x15="http://schemas.microsoft.com/office/spreadsheetml/2010/11/main" uri="{B97F6D7D-B522-45F9-BDA1-12C45D357490}">
          <x15:cacheHierarchy aggregatedColumn="23"/>
        </ext>
      </extLst>
    </cacheHierarchy>
    <cacheHierarchy uniqueName="[Measures].[Sum of Discount]" caption="Sum of Discount" measure="1" displayFolder="" measureGroup="Table4" count="0">
      <extLst>
        <ext xmlns:x15="http://schemas.microsoft.com/office/spreadsheetml/2010/11/main" uri="{B97F6D7D-B522-45F9-BDA1-12C45D357490}">
          <x15:cacheHierarchy aggregatedColumn="22"/>
        </ext>
      </extLst>
    </cacheHierarchy>
    <cacheHierarchy uniqueName="[Measures].[Sum of Profit%]" caption="Sum of Profit%" measure="1" displayFolder="" measureGroup="Table4" count="0">
      <extLst>
        <ext xmlns:x15="http://schemas.microsoft.com/office/spreadsheetml/2010/11/main" uri="{B97F6D7D-B522-45F9-BDA1-12C45D357490}">
          <x15:cacheHierarchy aggregatedColumn="25"/>
        </ext>
      </extLst>
    </cacheHierarchy>
    <cacheHierarchy uniqueName="[Measures].[Max of Discount]" caption="Max of Discount" measure="1" displayFolder="" measureGroup="Table4" count="0">
      <extLst>
        <ext xmlns:x15="http://schemas.microsoft.com/office/spreadsheetml/2010/11/main" uri="{B97F6D7D-B522-45F9-BDA1-12C45D357490}">
          <x15:cacheHierarchy aggregatedColumn="22"/>
        </ext>
      </extLst>
    </cacheHierarchy>
    <cacheHierarchy uniqueName="[Measures].[Max of Discount%]" caption="Max of Discount%" measure="1" displayFolder="" measureGroup="Table4" count="0">
      <extLst>
        <ext xmlns:x15="http://schemas.microsoft.com/office/spreadsheetml/2010/11/main" uri="{B97F6D7D-B522-45F9-BDA1-12C45D357490}">
          <x15:cacheHierarchy aggregatedColumn="23"/>
        </ext>
      </extLst>
    </cacheHierarchy>
    <cacheHierarchy uniqueName="[Measures].[Sum of Rating]" caption="Sum of Rating" measure="1" displayFolder="" measureGroup="Table4" count="0">
      <extLst>
        <ext xmlns:x15="http://schemas.microsoft.com/office/spreadsheetml/2010/11/main" uri="{B97F6D7D-B522-45F9-BDA1-12C45D357490}">
          <x15:cacheHierarchy aggregatedColumn="21"/>
        </ext>
      </extLst>
    </cacheHierarchy>
    <cacheHierarchy uniqueName="[Measures].[Count of Discount%]" caption="Count of Discount%" measure="1" displayFolder="" measureGroup="Table4" count="0">
      <extLst>
        <ext xmlns:x15="http://schemas.microsoft.com/office/spreadsheetml/2010/11/main" uri="{B97F6D7D-B522-45F9-BDA1-12C45D357490}">
          <x15:cacheHierarchy aggregatedColumn="23"/>
        </ext>
      </extLst>
    </cacheHierarchy>
    <cacheHierarchy uniqueName="[Measures].[Total Brands]" caption="Total Brands" measure="1" displayFolder="" measureGroup="Table4" count="0"/>
    <cacheHierarchy uniqueName="[Measures].[Resolution types]" caption="Resolution types" measure="1" displayFolder="" measureGroup="Table4" count="0"/>
    <cacheHierarchy uniqueName="[Measures].[No.of resoultion sells]" caption="No.of resoultion sells" measure="1" displayFolder="" measureGroup="Table4" count="0"/>
    <cacheHierarchy uniqueName="[Measures].[Total Operating systems]" caption="Total Operating systems" measure="1" displayFolder="" measureGroup="Table4" count="0"/>
    <cacheHierarchy uniqueName="[Measures].[__XL_Count Table4]" caption="__XL_Count Table4" measure="1" displayFolder="" measureGroup="Table4"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ies>
  <kpis count="0"/>
  <dimensions count="3">
    <dimension measure="1" name="Measures" uniqueName="[Measures]" caption="Measures"/>
    <dimension name="Range" uniqueName="[Range]" caption="Range"/>
    <dimension name="Table4" uniqueName="[Table4]" caption="Table4"/>
  </dimensions>
  <measureGroups count="2">
    <measureGroup name="Range" caption="Range"/>
    <measureGroup name="Table4" caption="Table4"/>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jkumar D" refreshedDate="45624.668338425923" backgroundQuery="1" createdVersion="8" refreshedVersion="8" minRefreshableVersion="3" recordCount="0" supportSubquery="1" supportAdvancedDrill="1" xr:uid="{20A090E6-F2ED-4CAB-A903-B8365B004AC0}">
  <cacheSource type="external" connectionId="1"/>
  <cacheFields count="3">
    <cacheField name="[Table4].[Brand-Renamed].[Brand-Renamed]" caption="Brand-Renamed" numFmtId="0" hierarchy="15" level="1">
      <sharedItems count="15">
        <s v="Haier"/>
        <s v="Hisense"/>
        <s v="Iffalcon By Tcl"/>
        <s v="Lg"/>
        <s v="Lloyd"/>
        <s v="Mi"/>
        <s v="Micromax"/>
        <s v="Panasonic"/>
        <s v="Philips"/>
        <s v="Samsung"/>
        <s v="Sansui"/>
        <s v="Sharp"/>
        <s v="Sony"/>
        <s v="Tcl"/>
        <s v="Vu"/>
      </sharedItems>
    </cacheField>
    <cacheField name="[Measures].[Total Brands]" caption="Total Brands" numFmtId="0" hierarchy="38" level="32767"/>
    <cacheField name="[Measures].[Resolution types]" caption="Resolution types" numFmtId="0" hierarchy="39" level="32767"/>
  </cacheFields>
  <cacheHierarchies count="45">
    <cacheHierarchy uniqueName="[Range].[Rgl]" caption="Rgl" attribute="1" defaultMemberUniqueName="[Range].[Rgl].[All]" allUniqueName="[Range].[Rgl].[All]" dimensionUniqueName="[Range]" displayFolder="" count="0" memberValueDatatype="130" unbalanced="0"/>
    <cacheHierarchy uniqueName="[Range].[Full HD LED]" caption="Full HD LED" attribute="1" defaultMemberUniqueName="[Range].[Full HD LED].[All]" allUniqueName="[Range].[Full HD LED].[All]" dimensionUniqueName="[Range]" displayFolder="" count="0" memberValueDatatype="130" unbalanced="0"/>
    <cacheHierarchy uniqueName="[Range].[20]" caption="20" attribute="1" defaultMemberUniqueName="[Range].[20].[All]" allUniqueName="[Range].[20].[All]" dimensionUniqueName="[Range]" displayFolder="" count="0" memberValueDatatype="20" unbalanced="0"/>
    <cacheHierarchy uniqueName="[Range].[4849]" caption="4849" attribute="1" defaultMemberUniqueName="[Range].[4849].[All]" allUniqueName="[Range].[4849].[All]" dimensionUniqueName="[Range]" displayFolder="" count="0" memberValueDatatype="20" unbalanced="0"/>
    <cacheHierarchy uniqueName="[Range].[8990]" caption="8990" attribute="1" defaultMemberUniqueName="[Range].[8990].[All]" allUniqueName="[Range].[8990].[All]" dimensionUniqueName="[Range]" displayFolder="" count="0" memberValueDatatype="20" unbalanced="0"/>
    <cacheHierarchy uniqueName="[Range].[HomeOS]" caption="HomeOS" attribute="1" defaultMemberUniqueName="[Range].[HomeOS].[All]" allUniqueName="[Range].[HomeOS].[All]" dimensionUniqueName="[Range]" displayFolder="" count="0" memberValueDatatype="130" unbalanced="0"/>
    <cacheHierarchy uniqueName="[Range].[3.9]" caption="3.9" attribute="1" defaultMemberUniqueName="[Range].[3.9].[All]" allUniqueName="[Range].[3.9].[All]" dimensionUniqueName="[Range]" displayFolder="" count="0" memberValueDatatype="5" unbalanced="0"/>
    <cacheHierarchy uniqueName="[Range].[4141]" caption="4141" attribute="1" defaultMemberUniqueName="[Range].[4141].[All]" allUniqueName="[Range].[4141].[All]" dimensionUniqueName="[Range]" displayFolder="" count="0" memberValueDatatype="20" unbalanced="0"/>
    <cacheHierarchy uniqueName="[Range].[46%]" caption="46%" attribute="1" defaultMemberUniqueName="[Range].[46%].[All]" allUniqueName="[Range].[46%].[All]" dimensionUniqueName="[Range]" displayFolder="" count="0" memberValueDatatype="130" unbalanced="0"/>
    <cacheHierarchy uniqueName="[Range].[-4141]" caption="-4141" attribute="1" defaultMemberUniqueName="[Range].[-4141].[All]" allUniqueName="[Range].[-4141].[All]" dimensionUniqueName="[Range]" displayFolder="" count="0" memberValueDatatype="20" unbalanced="0"/>
    <cacheHierarchy uniqueName="[Range].[-85%]" caption="-85%" attribute="1" defaultMemberUniqueName="[Range].[-85%].[All]" allUniqueName="[Range].[-85%].[All]" dimensionUniqueName="[Range]" displayFolder="" count="0" memberValueDatatype="5" unbalanced="0"/>
    <cacheHierarchy uniqueName="[Range].[Medium Ratings]" caption="Medium Ratings" attribute="1" defaultMemberUniqueName="[Range].[Medium Ratings].[All]" allUniqueName="[Range].[Medium Ratings].[All]" dimensionUniqueName="[Range]" displayFolder="" count="0" memberValueDatatype="130" unbalanced="0"/>
    <cacheHierarchy uniqueName="[Range].[$ 12,000.00]" caption="$ 12,000.00" attribute="1" defaultMemberUniqueName="[Range].[$ 12,000.00].[All]" allUniqueName="[Range].[$ 12,000.00].[All]" dimensionUniqueName="[Range]" displayFolder="" count="0" memberValueDatatype="5" unbalanced="0"/>
    <cacheHierarchy uniqueName="[Range].[$ 5,490]" caption="$ 5,490" attribute="1" defaultMemberUniqueName="[Range].[$ 5,490].[All]" allUniqueName="[Range].[$ 5,490].[All]" dimensionUniqueName="[Range]" displayFolder="" count="0" memberValueDatatype="5" unbalanced="0"/>
    <cacheHierarchy uniqueName="[Table4].[Brand]" caption="Brand" attribute="1" defaultMemberUniqueName="[Table4].[Brand].[All]" allUniqueName="[Table4].[Brand].[All]" dimensionUniqueName="[Table4]" displayFolder="" count="0" memberValueDatatype="130" unbalanced="0"/>
    <cacheHierarchy uniqueName="[Table4].[Brand-Renamed]" caption="Brand-Renamed" attribute="1" defaultMemberUniqueName="[Table4].[Brand-Renamed].[All]" allUniqueName="[Table4].[Brand-Renamed].[All]" dimensionUniqueName="[Table4]" displayFolder="" count="2" memberValueDatatype="130" unbalanced="0">
      <fieldsUsage count="2">
        <fieldUsage x="-1"/>
        <fieldUsage x="0"/>
      </fieldsUsage>
    </cacheHierarchy>
    <cacheHierarchy uniqueName="[Table4].[Resolution]" caption="Resolution" attribute="1" defaultMemberUniqueName="[Table4].[Resolution].[All]" allUniqueName="[Table4].[Resolution].[All]" dimensionUniqueName="[Table4]" displayFolder="" count="0" memberValueDatatype="130" unbalanced="0"/>
    <cacheHierarchy uniqueName="[Table4].[Size]" caption="Size" attribute="1" defaultMemberUniqueName="[Table4].[Size].[All]" allUniqueName="[Table4].[Size].[All]" dimensionUniqueName="[Table4]" displayFolder="" count="0" memberValueDatatype="20" unbalanced="0"/>
    <cacheHierarchy uniqueName="[Table4].[Selling Price]" caption="Selling Price" attribute="1" defaultMemberUniqueName="[Table4].[Selling Price].[All]" allUniqueName="[Table4].[Selling Price].[All]" dimensionUniqueName="[Table4]" displayFolder="" count="0" memberValueDatatype="20" unbalanced="0"/>
    <cacheHierarchy uniqueName="[Table4].[Original Price]" caption="Original Price" attribute="1" defaultMemberUniqueName="[Table4].[Original Price].[All]" allUniqueName="[Table4].[Original Price].[All]" dimensionUniqueName="[Table4]" displayFolder="" count="0" memberValueDatatype="20" unbalanced="0"/>
    <cacheHierarchy uniqueName="[Table4].[Operating System]" caption="Operating System" attribute="1" defaultMemberUniqueName="[Table4].[Operating System].[All]" allUniqueName="[Table4].[Operating System].[All]" dimensionUniqueName="[Table4]" displayFolder="" count="0" memberValueDatatype="130" unbalanced="0"/>
    <cacheHierarchy uniqueName="[Table4].[Rating]" caption="Rating" attribute="1" defaultMemberUniqueName="[Table4].[Rating].[All]" allUniqueName="[Table4].[Rating].[All]" dimensionUniqueName="[Table4]" displayFolder="" count="0" memberValueDatatype="5" unbalanced="0"/>
    <cacheHierarchy uniqueName="[Table4].[Discount]" caption="Discount" attribute="1" defaultMemberUniqueName="[Table4].[Discount].[All]" allUniqueName="[Table4].[Discount].[All]" dimensionUniqueName="[Table4]" displayFolder="" count="0" memberValueDatatype="20" unbalanced="0"/>
    <cacheHierarchy uniqueName="[Table4].[Discount%]" caption="Discount%" attribute="1" defaultMemberUniqueName="[Table4].[Discount%].[All]" allUniqueName="[Table4].[Discount%].[All]" dimensionUniqueName="[Table4]" displayFolder="" count="0" memberValueDatatype="5" unbalanced="0"/>
    <cacheHierarchy uniqueName="[Table4].[Profit]" caption="Profit" attribute="1" defaultMemberUniqueName="[Table4].[Profit].[All]" allUniqueName="[Table4].[Profit].[All]" dimensionUniqueName="[Table4]" displayFolder="" count="0" memberValueDatatype="20" unbalanced="0"/>
    <cacheHierarchy uniqueName="[Table4].[Profit%]" caption="Profit%" attribute="1" defaultMemberUniqueName="[Table4].[Profit%].[All]" allUniqueName="[Table4].[Profit%].[All]" dimensionUniqueName="[Table4]" displayFolder="" count="0" memberValueDatatype="5" unbalanced="0"/>
    <cacheHierarchy uniqueName="[Table4].[Discount Rating]" caption="Discount Rating" attribute="1" defaultMemberUniqueName="[Table4].[Discount Rating].[All]" allUniqueName="[Table4].[Discount Rating].[All]" dimensionUniqueName="[Table4]" displayFolder="" count="0" memberValueDatatype="130" unbalanced="0"/>
    <cacheHierarchy uniqueName="[Table4].[Ratings Strings]" caption="Ratings Strings" attribute="1" defaultMemberUniqueName="[Table4].[Ratings Strings].[All]" allUniqueName="[Table4].[Ratings Strings].[All]" dimensionUniqueName="[Table4]" displayFolder="" count="0" memberValueDatatype="130" unbalanced="0"/>
    <cacheHierarchy uniqueName="[Measures].[Sum of Selling Price]" caption="Sum of Selling Price" measure="1" displayFolder="" measureGroup="Table4" count="0">
      <extLst>
        <ext xmlns:x15="http://schemas.microsoft.com/office/spreadsheetml/2010/11/main" uri="{B97F6D7D-B522-45F9-BDA1-12C45D357490}">
          <x15:cacheHierarchy aggregatedColumn="18"/>
        </ext>
      </extLst>
    </cacheHierarchy>
    <cacheHierarchy uniqueName="[Measures].[Sum of Original Price]" caption="Sum of Original Price" measure="1" displayFolder="" measureGroup="Table4" count="0">
      <extLst>
        <ext xmlns:x15="http://schemas.microsoft.com/office/spreadsheetml/2010/11/main" uri="{B97F6D7D-B522-45F9-BDA1-12C45D357490}">
          <x15:cacheHierarchy aggregatedColumn="19"/>
        </ext>
      </extLst>
    </cacheHierarchy>
    <cacheHierarchy uniqueName="[Measures].[Sum of Discount%]" caption="Sum of Discount%" measure="1" displayFolder="" measureGroup="Table4" count="0">
      <extLst>
        <ext xmlns:x15="http://schemas.microsoft.com/office/spreadsheetml/2010/11/main" uri="{B97F6D7D-B522-45F9-BDA1-12C45D357490}">
          <x15:cacheHierarchy aggregatedColumn="23"/>
        </ext>
      </extLst>
    </cacheHierarchy>
    <cacheHierarchy uniqueName="[Measures].[Average of Discount%]" caption="Average of Discount%" measure="1" displayFolder="" measureGroup="Table4" count="0">
      <extLst>
        <ext xmlns:x15="http://schemas.microsoft.com/office/spreadsheetml/2010/11/main" uri="{B97F6D7D-B522-45F9-BDA1-12C45D357490}">
          <x15:cacheHierarchy aggregatedColumn="23"/>
        </ext>
      </extLst>
    </cacheHierarchy>
    <cacheHierarchy uniqueName="[Measures].[Sum of Discount]" caption="Sum of Discount" measure="1" displayFolder="" measureGroup="Table4" count="0">
      <extLst>
        <ext xmlns:x15="http://schemas.microsoft.com/office/spreadsheetml/2010/11/main" uri="{B97F6D7D-B522-45F9-BDA1-12C45D357490}">
          <x15:cacheHierarchy aggregatedColumn="22"/>
        </ext>
      </extLst>
    </cacheHierarchy>
    <cacheHierarchy uniqueName="[Measures].[Sum of Profit%]" caption="Sum of Profit%" measure="1" displayFolder="" measureGroup="Table4" count="0">
      <extLst>
        <ext xmlns:x15="http://schemas.microsoft.com/office/spreadsheetml/2010/11/main" uri="{B97F6D7D-B522-45F9-BDA1-12C45D357490}">
          <x15:cacheHierarchy aggregatedColumn="25"/>
        </ext>
      </extLst>
    </cacheHierarchy>
    <cacheHierarchy uniqueName="[Measures].[Max of Discount]" caption="Max of Discount" measure="1" displayFolder="" measureGroup="Table4" count="0">
      <extLst>
        <ext xmlns:x15="http://schemas.microsoft.com/office/spreadsheetml/2010/11/main" uri="{B97F6D7D-B522-45F9-BDA1-12C45D357490}">
          <x15:cacheHierarchy aggregatedColumn="22"/>
        </ext>
      </extLst>
    </cacheHierarchy>
    <cacheHierarchy uniqueName="[Measures].[Max of Discount%]" caption="Max of Discount%" measure="1" displayFolder="" measureGroup="Table4" count="0">
      <extLst>
        <ext xmlns:x15="http://schemas.microsoft.com/office/spreadsheetml/2010/11/main" uri="{B97F6D7D-B522-45F9-BDA1-12C45D357490}">
          <x15:cacheHierarchy aggregatedColumn="23"/>
        </ext>
      </extLst>
    </cacheHierarchy>
    <cacheHierarchy uniqueName="[Measures].[Sum of Rating]" caption="Sum of Rating" measure="1" displayFolder="" measureGroup="Table4" count="0">
      <extLst>
        <ext xmlns:x15="http://schemas.microsoft.com/office/spreadsheetml/2010/11/main" uri="{B97F6D7D-B522-45F9-BDA1-12C45D357490}">
          <x15:cacheHierarchy aggregatedColumn="21"/>
        </ext>
      </extLst>
    </cacheHierarchy>
    <cacheHierarchy uniqueName="[Measures].[Count of Discount%]" caption="Count of Discount%" measure="1" displayFolder="" measureGroup="Table4" count="0">
      <extLst>
        <ext xmlns:x15="http://schemas.microsoft.com/office/spreadsheetml/2010/11/main" uri="{B97F6D7D-B522-45F9-BDA1-12C45D357490}">
          <x15:cacheHierarchy aggregatedColumn="23"/>
        </ext>
      </extLst>
    </cacheHierarchy>
    <cacheHierarchy uniqueName="[Measures].[Total Brands]" caption="Total Brands" measure="1" displayFolder="" measureGroup="Table4" count="0" oneField="1">
      <fieldsUsage count="1">
        <fieldUsage x="1"/>
      </fieldsUsage>
    </cacheHierarchy>
    <cacheHierarchy uniqueName="[Measures].[Resolution types]" caption="Resolution types" measure="1" displayFolder="" measureGroup="Table4" count="0" oneField="1">
      <fieldsUsage count="1">
        <fieldUsage x="2"/>
      </fieldsUsage>
    </cacheHierarchy>
    <cacheHierarchy uniqueName="[Measures].[No.of resoultion sells]" caption="No.of resoultion sells" measure="1" displayFolder="" measureGroup="Table4" count="0"/>
    <cacheHierarchy uniqueName="[Measures].[Total Operating systems]" caption="Total Operating systems" measure="1" displayFolder="" measureGroup="Table4" count="0"/>
    <cacheHierarchy uniqueName="[Measures].[__XL_Count Table4]" caption="__XL_Count Table4" measure="1" displayFolder="" measureGroup="Table4"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ies>
  <kpis count="0"/>
  <dimensions count="3">
    <dimension measure="1" name="Measures" uniqueName="[Measures]" caption="Measures"/>
    <dimension name="Range" uniqueName="[Range]" caption="Range"/>
    <dimension name="Table4" uniqueName="[Table4]" caption="Table4"/>
  </dimensions>
  <measureGroups count="2">
    <measureGroup name="Range" caption="Range"/>
    <measureGroup name="Table4" caption="Table4"/>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jkumar D" refreshedDate="45630.584812152774" backgroundQuery="1" createdVersion="8" refreshedVersion="8" minRefreshableVersion="3" recordCount="0" supportSubquery="1" supportAdvancedDrill="1" xr:uid="{DCB9C9FF-5EB8-454D-98FE-274E022D4F3C}">
  <cacheSource type="external" connectionId="1"/>
  <cacheFields count="4">
    <cacheField name="[Measures].[Sum of Selling Price]" caption="Sum of Selling Price" numFmtId="0" hierarchy="28" level="32767"/>
    <cacheField name="[Table4].[Brand-Renamed].[Brand-Renamed]" caption="Brand-Renamed" numFmtId="0" hierarchy="15" level="1">
      <sharedItems count="15">
        <s v="Haier"/>
        <s v="Hisense"/>
        <s v="Iffalcon By Tcl"/>
        <s v="Lg"/>
        <s v="Lloyd"/>
        <s v="Mi"/>
        <s v="Micromax"/>
        <s v="Panasonic"/>
        <s v="Philips"/>
        <s v="Samsung"/>
        <s v="Sansui"/>
        <s v="Sharp"/>
        <s v="Sony"/>
        <s v="Tcl"/>
        <s v="Vu"/>
      </sharedItems>
    </cacheField>
    <cacheField name="[Measures].[Sum of Original Price]" caption="Sum of Original Price" numFmtId="0" hierarchy="29" level="32767"/>
    <cacheField name="[Table4].[Ratings Strings].[Ratings Strings]" caption="Ratings Strings" numFmtId="0" hierarchy="27" level="1">
      <sharedItems containsSemiMixedTypes="0" containsNonDate="0" containsString="0"/>
    </cacheField>
  </cacheFields>
  <cacheHierarchies count="45">
    <cacheHierarchy uniqueName="[Range].[Rgl]" caption="Rgl" attribute="1" defaultMemberUniqueName="[Range].[Rgl].[All]" allUniqueName="[Range].[Rgl].[All]" dimensionUniqueName="[Range]" displayFolder="" count="0" memberValueDatatype="130" unbalanced="0"/>
    <cacheHierarchy uniqueName="[Range].[Full HD LED]" caption="Full HD LED" attribute="1" defaultMemberUniqueName="[Range].[Full HD LED].[All]" allUniqueName="[Range].[Full HD LED].[All]" dimensionUniqueName="[Range]" displayFolder="" count="0" memberValueDatatype="130" unbalanced="0"/>
    <cacheHierarchy uniqueName="[Range].[20]" caption="20" attribute="1" defaultMemberUniqueName="[Range].[20].[All]" allUniqueName="[Range].[20].[All]" dimensionUniqueName="[Range]" displayFolder="" count="0" memberValueDatatype="20" unbalanced="0"/>
    <cacheHierarchy uniqueName="[Range].[4849]" caption="4849" attribute="1" defaultMemberUniqueName="[Range].[4849].[All]" allUniqueName="[Range].[4849].[All]" dimensionUniqueName="[Range]" displayFolder="" count="0" memberValueDatatype="20" unbalanced="0"/>
    <cacheHierarchy uniqueName="[Range].[8990]" caption="8990" attribute="1" defaultMemberUniqueName="[Range].[8990].[All]" allUniqueName="[Range].[8990].[All]" dimensionUniqueName="[Range]" displayFolder="" count="0" memberValueDatatype="20" unbalanced="0"/>
    <cacheHierarchy uniqueName="[Range].[HomeOS]" caption="HomeOS" attribute="1" defaultMemberUniqueName="[Range].[HomeOS].[All]" allUniqueName="[Range].[HomeOS].[All]" dimensionUniqueName="[Range]" displayFolder="" count="0" memberValueDatatype="130" unbalanced="0"/>
    <cacheHierarchy uniqueName="[Range].[3.9]" caption="3.9" attribute="1" defaultMemberUniqueName="[Range].[3.9].[All]" allUniqueName="[Range].[3.9].[All]" dimensionUniqueName="[Range]" displayFolder="" count="0" memberValueDatatype="5" unbalanced="0"/>
    <cacheHierarchy uniqueName="[Range].[4141]" caption="4141" attribute="1" defaultMemberUniqueName="[Range].[4141].[All]" allUniqueName="[Range].[4141].[All]" dimensionUniqueName="[Range]" displayFolder="" count="0" memberValueDatatype="20" unbalanced="0"/>
    <cacheHierarchy uniqueName="[Range].[46%]" caption="46%" attribute="1" defaultMemberUniqueName="[Range].[46%].[All]" allUniqueName="[Range].[46%].[All]" dimensionUniqueName="[Range]" displayFolder="" count="0" memberValueDatatype="130" unbalanced="0"/>
    <cacheHierarchy uniqueName="[Range].[-4141]" caption="-4141" attribute="1" defaultMemberUniqueName="[Range].[-4141].[All]" allUniqueName="[Range].[-4141].[All]" dimensionUniqueName="[Range]" displayFolder="" count="0" memberValueDatatype="20" unbalanced="0"/>
    <cacheHierarchy uniqueName="[Range].[-85%]" caption="-85%" attribute="1" defaultMemberUniqueName="[Range].[-85%].[All]" allUniqueName="[Range].[-85%].[All]" dimensionUniqueName="[Range]" displayFolder="" count="0" memberValueDatatype="5" unbalanced="0"/>
    <cacheHierarchy uniqueName="[Range].[Medium Ratings]" caption="Medium Ratings" attribute="1" defaultMemberUniqueName="[Range].[Medium Ratings].[All]" allUniqueName="[Range].[Medium Ratings].[All]" dimensionUniqueName="[Range]" displayFolder="" count="0" memberValueDatatype="130" unbalanced="0"/>
    <cacheHierarchy uniqueName="[Range].[$ 12,000.00]" caption="$ 12,000.00" attribute="1" defaultMemberUniqueName="[Range].[$ 12,000.00].[All]" allUniqueName="[Range].[$ 12,000.00].[All]" dimensionUniqueName="[Range]" displayFolder="" count="0" memberValueDatatype="5" unbalanced="0"/>
    <cacheHierarchy uniqueName="[Range].[$ 5,490]" caption="$ 5,490" attribute="1" defaultMemberUniqueName="[Range].[$ 5,490].[All]" allUniqueName="[Range].[$ 5,490].[All]" dimensionUniqueName="[Range]" displayFolder="" count="0" memberValueDatatype="5" unbalanced="0"/>
    <cacheHierarchy uniqueName="[Table4].[Brand]" caption="Brand" attribute="1" defaultMemberUniqueName="[Table4].[Brand].[All]" allUniqueName="[Table4].[Brand].[All]" dimensionUniqueName="[Table4]" displayFolder="" count="0" memberValueDatatype="130" unbalanced="0"/>
    <cacheHierarchy uniqueName="[Table4].[Brand-Renamed]" caption="Brand-Renamed" attribute="1" defaultMemberUniqueName="[Table4].[Brand-Renamed].[All]" allUniqueName="[Table4].[Brand-Renamed].[All]" dimensionUniqueName="[Table4]" displayFolder="" count="2" memberValueDatatype="130" unbalanced="0">
      <fieldsUsage count="2">
        <fieldUsage x="-1"/>
        <fieldUsage x="1"/>
      </fieldsUsage>
    </cacheHierarchy>
    <cacheHierarchy uniqueName="[Table4].[Resolution]" caption="Resolution" attribute="1" defaultMemberUniqueName="[Table4].[Resolution].[All]" allUniqueName="[Table4].[Resolution].[All]" dimensionUniqueName="[Table4]" displayFolder="" count="0" memberValueDatatype="130" unbalanced="0"/>
    <cacheHierarchy uniqueName="[Table4].[Size]" caption="Size" attribute="1" defaultMemberUniqueName="[Table4].[Size].[All]" allUniqueName="[Table4].[Size].[All]" dimensionUniqueName="[Table4]" displayFolder="" count="0" memberValueDatatype="20" unbalanced="0"/>
    <cacheHierarchy uniqueName="[Table4].[Selling Price]" caption="Selling Price" attribute="1" defaultMemberUniqueName="[Table4].[Selling Price].[All]" allUniqueName="[Table4].[Selling Price].[All]" dimensionUniqueName="[Table4]" displayFolder="" count="0" memberValueDatatype="20" unbalanced="0"/>
    <cacheHierarchy uniqueName="[Table4].[Original Price]" caption="Original Price" attribute="1" defaultMemberUniqueName="[Table4].[Original Price].[All]" allUniqueName="[Table4].[Original Price].[All]" dimensionUniqueName="[Table4]" displayFolder="" count="0" memberValueDatatype="20" unbalanced="0"/>
    <cacheHierarchy uniqueName="[Table4].[Operating System]" caption="Operating System" attribute="1" defaultMemberUniqueName="[Table4].[Operating System].[All]" allUniqueName="[Table4].[Operating System].[All]" dimensionUniqueName="[Table4]" displayFolder="" count="0" memberValueDatatype="130" unbalanced="0"/>
    <cacheHierarchy uniqueName="[Table4].[Rating]" caption="Rating" attribute="1" defaultMemberUniqueName="[Table4].[Rating].[All]" allUniqueName="[Table4].[Rating].[All]" dimensionUniqueName="[Table4]" displayFolder="" count="0" memberValueDatatype="5" unbalanced="0"/>
    <cacheHierarchy uniqueName="[Table4].[Discount]" caption="Discount" attribute="1" defaultMemberUniqueName="[Table4].[Discount].[All]" allUniqueName="[Table4].[Discount].[All]" dimensionUniqueName="[Table4]" displayFolder="" count="0" memberValueDatatype="20" unbalanced="0"/>
    <cacheHierarchy uniqueName="[Table4].[Discount%]" caption="Discount%" attribute="1" defaultMemberUniqueName="[Table4].[Discount%].[All]" allUniqueName="[Table4].[Discount%].[All]" dimensionUniqueName="[Table4]" displayFolder="" count="0" memberValueDatatype="5" unbalanced="0"/>
    <cacheHierarchy uniqueName="[Table4].[Profit]" caption="Profit" attribute="1" defaultMemberUniqueName="[Table4].[Profit].[All]" allUniqueName="[Table4].[Profit].[All]" dimensionUniqueName="[Table4]" displayFolder="" count="0" memberValueDatatype="20" unbalanced="0"/>
    <cacheHierarchy uniqueName="[Table4].[Profit%]" caption="Profit%" attribute="1" defaultMemberUniqueName="[Table4].[Profit%].[All]" allUniqueName="[Table4].[Profit%].[All]" dimensionUniqueName="[Table4]" displayFolder="" count="0" memberValueDatatype="5" unbalanced="0"/>
    <cacheHierarchy uniqueName="[Table4].[Discount Rating]" caption="Discount Rating" attribute="1" defaultMemberUniqueName="[Table4].[Discount Rating].[All]" allUniqueName="[Table4].[Discount Rating].[All]" dimensionUniqueName="[Table4]" displayFolder="" count="0" memberValueDatatype="130" unbalanced="0"/>
    <cacheHierarchy uniqueName="[Table4].[Ratings Strings]" caption="Ratings Strings" attribute="1" defaultMemberUniqueName="[Table4].[Ratings Strings].[All]" allUniqueName="[Table4].[Ratings Strings].[All]" dimensionUniqueName="[Table4]" displayFolder="" count="2" memberValueDatatype="130" unbalanced="0">
      <fieldsUsage count="2">
        <fieldUsage x="-1"/>
        <fieldUsage x="3"/>
      </fieldsUsage>
    </cacheHierarchy>
    <cacheHierarchy uniqueName="[Measures].[Sum of Selling Price]" caption="Sum of Selling Price" measure="1" displayFolder="" measureGroup="Table4" count="0" oneField="1">
      <fieldsUsage count="1">
        <fieldUsage x="0"/>
      </fieldsUsage>
      <extLst>
        <ext xmlns:x15="http://schemas.microsoft.com/office/spreadsheetml/2010/11/main" uri="{B97F6D7D-B522-45F9-BDA1-12C45D357490}">
          <x15:cacheHierarchy aggregatedColumn="18"/>
        </ext>
      </extLst>
    </cacheHierarchy>
    <cacheHierarchy uniqueName="[Measures].[Sum of Original Price]" caption="Sum of Original Price" measure="1" displayFolder="" measureGroup="Table4" count="0" oneField="1">
      <fieldsUsage count="1">
        <fieldUsage x="2"/>
      </fieldsUsage>
      <extLst>
        <ext xmlns:x15="http://schemas.microsoft.com/office/spreadsheetml/2010/11/main" uri="{B97F6D7D-B522-45F9-BDA1-12C45D357490}">
          <x15:cacheHierarchy aggregatedColumn="19"/>
        </ext>
      </extLst>
    </cacheHierarchy>
    <cacheHierarchy uniqueName="[Measures].[Sum of Discount%]" caption="Sum of Discount%" measure="1" displayFolder="" measureGroup="Table4" count="0">
      <extLst>
        <ext xmlns:x15="http://schemas.microsoft.com/office/spreadsheetml/2010/11/main" uri="{B97F6D7D-B522-45F9-BDA1-12C45D357490}">
          <x15:cacheHierarchy aggregatedColumn="23"/>
        </ext>
      </extLst>
    </cacheHierarchy>
    <cacheHierarchy uniqueName="[Measures].[Average of Discount%]" caption="Average of Discount%" measure="1" displayFolder="" measureGroup="Table4" count="0">
      <extLst>
        <ext xmlns:x15="http://schemas.microsoft.com/office/spreadsheetml/2010/11/main" uri="{B97F6D7D-B522-45F9-BDA1-12C45D357490}">
          <x15:cacheHierarchy aggregatedColumn="23"/>
        </ext>
      </extLst>
    </cacheHierarchy>
    <cacheHierarchy uniqueName="[Measures].[Sum of Discount]" caption="Sum of Discount" measure="1" displayFolder="" measureGroup="Table4" count="0">
      <extLst>
        <ext xmlns:x15="http://schemas.microsoft.com/office/spreadsheetml/2010/11/main" uri="{B97F6D7D-B522-45F9-BDA1-12C45D357490}">
          <x15:cacheHierarchy aggregatedColumn="22"/>
        </ext>
      </extLst>
    </cacheHierarchy>
    <cacheHierarchy uniqueName="[Measures].[Sum of Profit%]" caption="Sum of Profit%" measure="1" displayFolder="" measureGroup="Table4" count="0">
      <extLst>
        <ext xmlns:x15="http://schemas.microsoft.com/office/spreadsheetml/2010/11/main" uri="{B97F6D7D-B522-45F9-BDA1-12C45D357490}">
          <x15:cacheHierarchy aggregatedColumn="25"/>
        </ext>
      </extLst>
    </cacheHierarchy>
    <cacheHierarchy uniqueName="[Measures].[Max of Discount]" caption="Max of Discount" measure="1" displayFolder="" measureGroup="Table4" count="0">
      <extLst>
        <ext xmlns:x15="http://schemas.microsoft.com/office/spreadsheetml/2010/11/main" uri="{B97F6D7D-B522-45F9-BDA1-12C45D357490}">
          <x15:cacheHierarchy aggregatedColumn="22"/>
        </ext>
      </extLst>
    </cacheHierarchy>
    <cacheHierarchy uniqueName="[Measures].[Max of Discount%]" caption="Max of Discount%" measure="1" displayFolder="" measureGroup="Table4" count="0">
      <extLst>
        <ext xmlns:x15="http://schemas.microsoft.com/office/spreadsheetml/2010/11/main" uri="{B97F6D7D-B522-45F9-BDA1-12C45D357490}">
          <x15:cacheHierarchy aggregatedColumn="23"/>
        </ext>
      </extLst>
    </cacheHierarchy>
    <cacheHierarchy uniqueName="[Measures].[Sum of Rating]" caption="Sum of Rating" measure="1" displayFolder="" measureGroup="Table4" count="0">
      <extLst>
        <ext xmlns:x15="http://schemas.microsoft.com/office/spreadsheetml/2010/11/main" uri="{B97F6D7D-B522-45F9-BDA1-12C45D357490}">
          <x15:cacheHierarchy aggregatedColumn="21"/>
        </ext>
      </extLst>
    </cacheHierarchy>
    <cacheHierarchy uniqueName="[Measures].[Count of Discount%]" caption="Count of Discount%" measure="1" displayFolder="" measureGroup="Table4" count="0">
      <extLst>
        <ext xmlns:x15="http://schemas.microsoft.com/office/spreadsheetml/2010/11/main" uri="{B97F6D7D-B522-45F9-BDA1-12C45D357490}">
          <x15:cacheHierarchy aggregatedColumn="23"/>
        </ext>
      </extLst>
    </cacheHierarchy>
    <cacheHierarchy uniqueName="[Measures].[Total Brands]" caption="Total Brands" measure="1" displayFolder="" measureGroup="Table4" count="0"/>
    <cacheHierarchy uniqueName="[Measures].[Resolution types]" caption="Resolution types" measure="1" displayFolder="" measureGroup="Table4" count="0"/>
    <cacheHierarchy uniqueName="[Measures].[No.of resoultion sells]" caption="No.of resoultion sells" measure="1" displayFolder="" measureGroup="Table4" count="0"/>
    <cacheHierarchy uniqueName="[Measures].[Total Operating systems]" caption="Total Operating systems" measure="1" displayFolder="" measureGroup="Table4" count="0"/>
    <cacheHierarchy uniqueName="[Measures].[__XL_Count Table4]" caption="__XL_Count Table4" measure="1" displayFolder="" measureGroup="Table4"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ies>
  <kpis count="0"/>
  <dimensions count="3">
    <dimension measure="1" name="Measures" uniqueName="[Measures]" caption="Measures"/>
    <dimension name="Range" uniqueName="[Range]" caption="Range"/>
    <dimension name="Table4" uniqueName="[Table4]" caption="Table4"/>
  </dimensions>
  <measureGroups count="2">
    <measureGroup name="Range" caption="Range"/>
    <measureGroup name="Table4" caption="Table4"/>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jkumar D" refreshedDate="45630.584813078705" backgroundQuery="1" createdVersion="8" refreshedVersion="8" minRefreshableVersion="3" recordCount="0" supportSubquery="1" supportAdvancedDrill="1" xr:uid="{2FED270C-77AE-4C7C-AAFC-5FE7FAC57F83}">
  <cacheSource type="external" connectionId="1"/>
  <cacheFields count="4">
    <cacheField name="[Measures].[Sum of Selling Price]" caption="Sum of Selling Price" numFmtId="0" hierarchy="28" level="32767"/>
    <cacheField name="[Measures].[Sum of Original Price]" caption="Sum of Original Price" numFmtId="0" hierarchy="29" level="32767"/>
    <cacheField name="[Measures].[Average of Discount%]" caption="Average of Discount%" numFmtId="0" hierarchy="31" level="32767"/>
    <cacheField name="[Table4].[Ratings Strings].[Ratings Strings]" caption="Ratings Strings" numFmtId="0" hierarchy="27" level="1">
      <sharedItems containsSemiMixedTypes="0" containsNonDate="0" containsString="0"/>
    </cacheField>
  </cacheFields>
  <cacheHierarchies count="45">
    <cacheHierarchy uniqueName="[Range].[Rgl]" caption="Rgl" attribute="1" defaultMemberUniqueName="[Range].[Rgl].[All]" allUniqueName="[Range].[Rgl].[All]" dimensionUniqueName="[Range]" displayFolder="" count="0" memberValueDatatype="130" unbalanced="0"/>
    <cacheHierarchy uniqueName="[Range].[Full HD LED]" caption="Full HD LED" attribute="1" defaultMemberUniqueName="[Range].[Full HD LED].[All]" allUniqueName="[Range].[Full HD LED].[All]" dimensionUniqueName="[Range]" displayFolder="" count="0" memberValueDatatype="130" unbalanced="0"/>
    <cacheHierarchy uniqueName="[Range].[20]" caption="20" attribute="1" defaultMemberUniqueName="[Range].[20].[All]" allUniqueName="[Range].[20].[All]" dimensionUniqueName="[Range]" displayFolder="" count="0" memberValueDatatype="20" unbalanced="0"/>
    <cacheHierarchy uniqueName="[Range].[4849]" caption="4849" attribute="1" defaultMemberUniqueName="[Range].[4849].[All]" allUniqueName="[Range].[4849].[All]" dimensionUniqueName="[Range]" displayFolder="" count="0" memberValueDatatype="20" unbalanced="0"/>
    <cacheHierarchy uniqueName="[Range].[8990]" caption="8990" attribute="1" defaultMemberUniqueName="[Range].[8990].[All]" allUniqueName="[Range].[8990].[All]" dimensionUniqueName="[Range]" displayFolder="" count="0" memberValueDatatype="20" unbalanced="0"/>
    <cacheHierarchy uniqueName="[Range].[HomeOS]" caption="HomeOS" attribute="1" defaultMemberUniqueName="[Range].[HomeOS].[All]" allUniqueName="[Range].[HomeOS].[All]" dimensionUniqueName="[Range]" displayFolder="" count="0" memberValueDatatype="130" unbalanced="0"/>
    <cacheHierarchy uniqueName="[Range].[3.9]" caption="3.9" attribute="1" defaultMemberUniqueName="[Range].[3.9].[All]" allUniqueName="[Range].[3.9].[All]" dimensionUniqueName="[Range]" displayFolder="" count="0" memberValueDatatype="5" unbalanced="0"/>
    <cacheHierarchy uniqueName="[Range].[4141]" caption="4141" attribute="1" defaultMemberUniqueName="[Range].[4141].[All]" allUniqueName="[Range].[4141].[All]" dimensionUniqueName="[Range]" displayFolder="" count="0" memberValueDatatype="20" unbalanced="0"/>
    <cacheHierarchy uniqueName="[Range].[46%]" caption="46%" attribute="1" defaultMemberUniqueName="[Range].[46%].[All]" allUniqueName="[Range].[46%].[All]" dimensionUniqueName="[Range]" displayFolder="" count="0" memberValueDatatype="130" unbalanced="0"/>
    <cacheHierarchy uniqueName="[Range].[-4141]" caption="-4141" attribute="1" defaultMemberUniqueName="[Range].[-4141].[All]" allUniqueName="[Range].[-4141].[All]" dimensionUniqueName="[Range]" displayFolder="" count="0" memberValueDatatype="20" unbalanced="0"/>
    <cacheHierarchy uniqueName="[Range].[-85%]" caption="-85%" attribute="1" defaultMemberUniqueName="[Range].[-85%].[All]" allUniqueName="[Range].[-85%].[All]" dimensionUniqueName="[Range]" displayFolder="" count="0" memberValueDatatype="5" unbalanced="0"/>
    <cacheHierarchy uniqueName="[Range].[Medium Ratings]" caption="Medium Ratings" attribute="1" defaultMemberUniqueName="[Range].[Medium Ratings].[All]" allUniqueName="[Range].[Medium Ratings].[All]" dimensionUniqueName="[Range]" displayFolder="" count="0" memberValueDatatype="130" unbalanced="0"/>
    <cacheHierarchy uniqueName="[Range].[$ 12,000.00]" caption="$ 12,000.00" attribute="1" defaultMemberUniqueName="[Range].[$ 12,000.00].[All]" allUniqueName="[Range].[$ 12,000.00].[All]" dimensionUniqueName="[Range]" displayFolder="" count="0" memberValueDatatype="5" unbalanced="0"/>
    <cacheHierarchy uniqueName="[Range].[$ 5,490]" caption="$ 5,490" attribute="1" defaultMemberUniqueName="[Range].[$ 5,490].[All]" allUniqueName="[Range].[$ 5,490].[All]" dimensionUniqueName="[Range]" displayFolder="" count="0" memberValueDatatype="5" unbalanced="0"/>
    <cacheHierarchy uniqueName="[Table4].[Brand]" caption="Brand" attribute="1" defaultMemberUniqueName="[Table4].[Brand].[All]" allUniqueName="[Table4].[Brand].[All]" dimensionUniqueName="[Table4]" displayFolder="" count="0" memberValueDatatype="130" unbalanced="0"/>
    <cacheHierarchy uniqueName="[Table4].[Brand-Renamed]" caption="Brand-Renamed" attribute="1" defaultMemberUniqueName="[Table4].[Brand-Renamed].[All]" allUniqueName="[Table4].[Brand-Renamed].[All]" dimensionUniqueName="[Table4]" displayFolder="" count="0" memberValueDatatype="130" unbalanced="0"/>
    <cacheHierarchy uniqueName="[Table4].[Resolution]" caption="Resolution" attribute="1" defaultMemberUniqueName="[Table4].[Resolution].[All]" allUniqueName="[Table4].[Resolution].[All]" dimensionUniqueName="[Table4]" displayFolder="" count="0" memberValueDatatype="130" unbalanced="0"/>
    <cacheHierarchy uniqueName="[Table4].[Size]" caption="Size" attribute="1" defaultMemberUniqueName="[Table4].[Size].[All]" allUniqueName="[Table4].[Size].[All]" dimensionUniqueName="[Table4]" displayFolder="" count="0" memberValueDatatype="20" unbalanced="0"/>
    <cacheHierarchy uniqueName="[Table4].[Selling Price]" caption="Selling Price" attribute="1" defaultMemberUniqueName="[Table4].[Selling Price].[All]" allUniqueName="[Table4].[Selling Price].[All]" dimensionUniqueName="[Table4]" displayFolder="" count="0" memberValueDatatype="20" unbalanced="0"/>
    <cacheHierarchy uniqueName="[Table4].[Original Price]" caption="Original Price" attribute="1" defaultMemberUniqueName="[Table4].[Original Price].[All]" allUniqueName="[Table4].[Original Price].[All]" dimensionUniqueName="[Table4]" displayFolder="" count="0" memberValueDatatype="20" unbalanced="0"/>
    <cacheHierarchy uniqueName="[Table4].[Operating System]" caption="Operating System" attribute="1" defaultMemberUniqueName="[Table4].[Operating System].[All]" allUniqueName="[Table4].[Operating System].[All]" dimensionUniqueName="[Table4]" displayFolder="" count="0" memberValueDatatype="130" unbalanced="0"/>
    <cacheHierarchy uniqueName="[Table4].[Rating]" caption="Rating" attribute="1" defaultMemberUniqueName="[Table4].[Rating].[All]" allUniqueName="[Table4].[Rating].[All]" dimensionUniqueName="[Table4]" displayFolder="" count="0" memberValueDatatype="5" unbalanced="0"/>
    <cacheHierarchy uniqueName="[Table4].[Discount]" caption="Discount" attribute="1" defaultMemberUniqueName="[Table4].[Discount].[All]" allUniqueName="[Table4].[Discount].[All]" dimensionUniqueName="[Table4]" displayFolder="" count="0" memberValueDatatype="20" unbalanced="0"/>
    <cacheHierarchy uniqueName="[Table4].[Discount%]" caption="Discount%" attribute="1" defaultMemberUniqueName="[Table4].[Discount%].[All]" allUniqueName="[Table4].[Discount%].[All]" dimensionUniqueName="[Table4]" displayFolder="" count="0" memberValueDatatype="5" unbalanced="0"/>
    <cacheHierarchy uniqueName="[Table4].[Profit]" caption="Profit" attribute="1" defaultMemberUniqueName="[Table4].[Profit].[All]" allUniqueName="[Table4].[Profit].[All]" dimensionUniqueName="[Table4]" displayFolder="" count="0" memberValueDatatype="20" unbalanced="0"/>
    <cacheHierarchy uniqueName="[Table4].[Profit%]" caption="Profit%" attribute="1" defaultMemberUniqueName="[Table4].[Profit%].[All]" allUniqueName="[Table4].[Profit%].[All]" dimensionUniqueName="[Table4]" displayFolder="" count="0" memberValueDatatype="5" unbalanced="0"/>
    <cacheHierarchy uniqueName="[Table4].[Discount Rating]" caption="Discount Rating" attribute="1" defaultMemberUniqueName="[Table4].[Discount Rating].[All]" allUniqueName="[Table4].[Discount Rating].[All]" dimensionUniqueName="[Table4]" displayFolder="" count="0" memberValueDatatype="130" unbalanced="0"/>
    <cacheHierarchy uniqueName="[Table4].[Ratings Strings]" caption="Ratings Strings" attribute="1" defaultMemberUniqueName="[Table4].[Ratings Strings].[All]" allUniqueName="[Table4].[Ratings Strings].[All]" dimensionUniqueName="[Table4]" displayFolder="" count="2" memberValueDatatype="130" unbalanced="0">
      <fieldsUsage count="2">
        <fieldUsage x="-1"/>
        <fieldUsage x="3"/>
      </fieldsUsage>
    </cacheHierarchy>
    <cacheHierarchy uniqueName="[Measures].[Sum of Selling Price]" caption="Sum of Selling Price" measure="1" displayFolder="" measureGroup="Table4" count="0" oneField="1">
      <fieldsUsage count="1">
        <fieldUsage x="0"/>
      </fieldsUsage>
      <extLst>
        <ext xmlns:x15="http://schemas.microsoft.com/office/spreadsheetml/2010/11/main" uri="{B97F6D7D-B522-45F9-BDA1-12C45D357490}">
          <x15:cacheHierarchy aggregatedColumn="18"/>
        </ext>
      </extLst>
    </cacheHierarchy>
    <cacheHierarchy uniqueName="[Measures].[Sum of Original Price]" caption="Sum of Original Price" measure="1" displayFolder="" measureGroup="Table4" count="0" oneField="1">
      <fieldsUsage count="1">
        <fieldUsage x="1"/>
      </fieldsUsage>
      <extLst>
        <ext xmlns:x15="http://schemas.microsoft.com/office/spreadsheetml/2010/11/main" uri="{B97F6D7D-B522-45F9-BDA1-12C45D357490}">
          <x15:cacheHierarchy aggregatedColumn="19"/>
        </ext>
      </extLst>
    </cacheHierarchy>
    <cacheHierarchy uniqueName="[Measures].[Sum of Discount%]" caption="Sum of Discount%" measure="1" displayFolder="" measureGroup="Table4" count="0">
      <extLst>
        <ext xmlns:x15="http://schemas.microsoft.com/office/spreadsheetml/2010/11/main" uri="{B97F6D7D-B522-45F9-BDA1-12C45D357490}">
          <x15:cacheHierarchy aggregatedColumn="23"/>
        </ext>
      </extLst>
    </cacheHierarchy>
    <cacheHierarchy uniqueName="[Measures].[Average of Discount%]" caption="Average of Discount%" measure="1" displayFolder="" measureGroup="Table4" count="0" oneField="1">
      <fieldsUsage count="1">
        <fieldUsage x="2"/>
      </fieldsUsage>
      <extLst>
        <ext xmlns:x15="http://schemas.microsoft.com/office/spreadsheetml/2010/11/main" uri="{B97F6D7D-B522-45F9-BDA1-12C45D357490}">
          <x15:cacheHierarchy aggregatedColumn="23"/>
        </ext>
      </extLst>
    </cacheHierarchy>
    <cacheHierarchy uniqueName="[Measures].[Sum of Discount]" caption="Sum of Discount" measure="1" displayFolder="" measureGroup="Table4" count="0">
      <extLst>
        <ext xmlns:x15="http://schemas.microsoft.com/office/spreadsheetml/2010/11/main" uri="{B97F6D7D-B522-45F9-BDA1-12C45D357490}">
          <x15:cacheHierarchy aggregatedColumn="22"/>
        </ext>
      </extLst>
    </cacheHierarchy>
    <cacheHierarchy uniqueName="[Measures].[Sum of Profit%]" caption="Sum of Profit%" measure="1" displayFolder="" measureGroup="Table4" count="0">
      <extLst>
        <ext xmlns:x15="http://schemas.microsoft.com/office/spreadsheetml/2010/11/main" uri="{B97F6D7D-B522-45F9-BDA1-12C45D357490}">
          <x15:cacheHierarchy aggregatedColumn="25"/>
        </ext>
      </extLst>
    </cacheHierarchy>
    <cacheHierarchy uniqueName="[Measures].[Max of Discount]" caption="Max of Discount" measure="1" displayFolder="" measureGroup="Table4" count="0">
      <extLst>
        <ext xmlns:x15="http://schemas.microsoft.com/office/spreadsheetml/2010/11/main" uri="{B97F6D7D-B522-45F9-BDA1-12C45D357490}">
          <x15:cacheHierarchy aggregatedColumn="22"/>
        </ext>
      </extLst>
    </cacheHierarchy>
    <cacheHierarchy uniqueName="[Measures].[Max of Discount%]" caption="Max of Discount%" measure="1" displayFolder="" measureGroup="Table4" count="0">
      <extLst>
        <ext xmlns:x15="http://schemas.microsoft.com/office/spreadsheetml/2010/11/main" uri="{B97F6D7D-B522-45F9-BDA1-12C45D357490}">
          <x15:cacheHierarchy aggregatedColumn="23"/>
        </ext>
      </extLst>
    </cacheHierarchy>
    <cacheHierarchy uniqueName="[Measures].[Sum of Rating]" caption="Sum of Rating" measure="1" displayFolder="" measureGroup="Table4" count="0">
      <extLst>
        <ext xmlns:x15="http://schemas.microsoft.com/office/spreadsheetml/2010/11/main" uri="{B97F6D7D-B522-45F9-BDA1-12C45D357490}">
          <x15:cacheHierarchy aggregatedColumn="21"/>
        </ext>
      </extLst>
    </cacheHierarchy>
    <cacheHierarchy uniqueName="[Measures].[Count of Discount%]" caption="Count of Discount%" measure="1" displayFolder="" measureGroup="Table4" count="0">
      <extLst>
        <ext xmlns:x15="http://schemas.microsoft.com/office/spreadsheetml/2010/11/main" uri="{B97F6D7D-B522-45F9-BDA1-12C45D357490}">
          <x15:cacheHierarchy aggregatedColumn="23"/>
        </ext>
      </extLst>
    </cacheHierarchy>
    <cacheHierarchy uniqueName="[Measures].[Total Brands]" caption="Total Brands" measure="1" displayFolder="" measureGroup="Table4" count="0"/>
    <cacheHierarchy uniqueName="[Measures].[Resolution types]" caption="Resolution types" measure="1" displayFolder="" measureGroup="Table4" count="0"/>
    <cacheHierarchy uniqueName="[Measures].[No.of resoultion sells]" caption="No.of resoultion sells" measure="1" displayFolder="" measureGroup="Table4" count="0"/>
    <cacheHierarchy uniqueName="[Measures].[Total Operating systems]" caption="Total Operating systems" measure="1" displayFolder="" measureGroup="Table4" count="0"/>
    <cacheHierarchy uniqueName="[Measures].[__XL_Count Table4]" caption="__XL_Count Table4" measure="1" displayFolder="" measureGroup="Table4"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ies>
  <kpis count="0"/>
  <dimensions count="3">
    <dimension measure="1" name="Measures" uniqueName="[Measures]" caption="Measures"/>
    <dimension name="Range" uniqueName="[Range]" caption="Range"/>
    <dimension name="Table4" uniqueName="[Table4]" caption="Table4"/>
  </dimensions>
  <measureGroups count="2">
    <measureGroup name="Range" caption="Range"/>
    <measureGroup name="Table4" caption="Table4"/>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jkumar D" refreshedDate="45630.584813773145" backgroundQuery="1" createdVersion="8" refreshedVersion="8" minRefreshableVersion="3" recordCount="0" supportSubquery="1" supportAdvancedDrill="1" xr:uid="{A18110DB-A4A6-482A-9DF2-5932AC10B9EB}">
  <cacheSource type="external" connectionId="1"/>
  <cacheFields count="3">
    <cacheField name="[Table4].[Brand-Renamed].[Brand-Renamed]" caption="Brand-Renamed" numFmtId="0" hierarchy="15" level="1">
      <sharedItems count="10">
        <s v="Haier"/>
        <s v="Iffalcon By Tcl"/>
        <s v="Lg"/>
        <s v="Lloyd"/>
        <s v="Panasonic"/>
        <s v="Philips"/>
        <s v="Samsung"/>
        <s v="Sony"/>
        <s v="Tcl"/>
        <s v="Vu"/>
      </sharedItems>
    </cacheField>
    <cacheField name="[Measures].[Sum of Discount]" caption="Sum of Discount" numFmtId="0" hierarchy="32" level="32767"/>
    <cacheField name="[Table4].[Ratings Strings].[Ratings Strings]" caption="Ratings Strings" numFmtId="0" hierarchy="27" level="1">
      <sharedItems containsSemiMixedTypes="0" containsNonDate="0" containsString="0"/>
    </cacheField>
  </cacheFields>
  <cacheHierarchies count="45">
    <cacheHierarchy uniqueName="[Range].[Rgl]" caption="Rgl" attribute="1" defaultMemberUniqueName="[Range].[Rgl].[All]" allUniqueName="[Range].[Rgl].[All]" dimensionUniqueName="[Range]" displayFolder="" count="0" memberValueDatatype="130" unbalanced="0"/>
    <cacheHierarchy uniqueName="[Range].[Full HD LED]" caption="Full HD LED" attribute="1" defaultMemberUniqueName="[Range].[Full HD LED].[All]" allUniqueName="[Range].[Full HD LED].[All]" dimensionUniqueName="[Range]" displayFolder="" count="0" memberValueDatatype="130" unbalanced="0"/>
    <cacheHierarchy uniqueName="[Range].[20]" caption="20" attribute="1" defaultMemberUniqueName="[Range].[20].[All]" allUniqueName="[Range].[20].[All]" dimensionUniqueName="[Range]" displayFolder="" count="0" memberValueDatatype="20" unbalanced="0"/>
    <cacheHierarchy uniqueName="[Range].[4849]" caption="4849" attribute="1" defaultMemberUniqueName="[Range].[4849].[All]" allUniqueName="[Range].[4849].[All]" dimensionUniqueName="[Range]" displayFolder="" count="0" memberValueDatatype="20" unbalanced="0"/>
    <cacheHierarchy uniqueName="[Range].[8990]" caption="8990" attribute="1" defaultMemberUniqueName="[Range].[8990].[All]" allUniqueName="[Range].[8990].[All]" dimensionUniqueName="[Range]" displayFolder="" count="0" memberValueDatatype="20" unbalanced="0"/>
    <cacheHierarchy uniqueName="[Range].[HomeOS]" caption="HomeOS" attribute="1" defaultMemberUniqueName="[Range].[HomeOS].[All]" allUniqueName="[Range].[HomeOS].[All]" dimensionUniqueName="[Range]" displayFolder="" count="0" memberValueDatatype="130" unbalanced="0"/>
    <cacheHierarchy uniqueName="[Range].[3.9]" caption="3.9" attribute="1" defaultMemberUniqueName="[Range].[3.9].[All]" allUniqueName="[Range].[3.9].[All]" dimensionUniqueName="[Range]" displayFolder="" count="0" memberValueDatatype="5" unbalanced="0"/>
    <cacheHierarchy uniqueName="[Range].[4141]" caption="4141" attribute="1" defaultMemberUniqueName="[Range].[4141].[All]" allUniqueName="[Range].[4141].[All]" dimensionUniqueName="[Range]" displayFolder="" count="0" memberValueDatatype="20" unbalanced="0"/>
    <cacheHierarchy uniqueName="[Range].[46%]" caption="46%" attribute="1" defaultMemberUniqueName="[Range].[46%].[All]" allUniqueName="[Range].[46%].[All]" dimensionUniqueName="[Range]" displayFolder="" count="0" memberValueDatatype="130" unbalanced="0"/>
    <cacheHierarchy uniqueName="[Range].[-4141]" caption="-4141" attribute="1" defaultMemberUniqueName="[Range].[-4141].[All]" allUniqueName="[Range].[-4141].[All]" dimensionUniqueName="[Range]" displayFolder="" count="0" memberValueDatatype="20" unbalanced="0"/>
    <cacheHierarchy uniqueName="[Range].[-85%]" caption="-85%" attribute="1" defaultMemberUniqueName="[Range].[-85%].[All]" allUniqueName="[Range].[-85%].[All]" dimensionUniqueName="[Range]" displayFolder="" count="0" memberValueDatatype="5" unbalanced="0"/>
    <cacheHierarchy uniqueName="[Range].[Medium Ratings]" caption="Medium Ratings" attribute="1" defaultMemberUniqueName="[Range].[Medium Ratings].[All]" allUniqueName="[Range].[Medium Ratings].[All]" dimensionUniqueName="[Range]" displayFolder="" count="0" memberValueDatatype="130" unbalanced="0"/>
    <cacheHierarchy uniqueName="[Range].[$ 12,000.00]" caption="$ 12,000.00" attribute="1" defaultMemberUniqueName="[Range].[$ 12,000.00].[All]" allUniqueName="[Range].[$ 12,000.00].[All]" dimensionUniqueName="[Range]" displayFolder="" count="0" memberValueDatatype="5" unbalanced="0"/>
    <cacheHierarchy uniqueName="[Range].[$ 5,490]" caption="$ 5,490" attribute="1" defaultMemberUniqueName="[Range].[$ 5,490].[All]" allUniqueName="[Range].[$ 5,490].[All]" dimensionUniqueName="[Range]" displayFolder="" count="0" memberValueDatatype="5" unbalanced="0"/>
    <cacheHierarchy uniqueName="[Table4].[Brand]" caption="Brand" attribute="1" defaultMemberUniqueName="[Table4].[Brand].[All]" allUniqueName="[Table4].[Brand].[All]" dimensionUniqueName="[Table4]" displayFolder="" count="0" memberValueDatatype="130" unbalanced="0"/>
    <cacheHierarchy uniqueName="[Table4].[Brand-Renamed]" caption="Brand-Renamed" attribute="1" defaultMemberUniqueName="[Table4].[Brand-Renamed].[All]" allUniqueName="[Table4].[Brand-Renamed].[All]" dimensionUniqueName="[Table4]" displayFolder="" count="2" memberValueDatatype="130" unbalanced="0">
      <fieldsUsage count="2">
        <fieldUsage x="-1"/>
        <fieldUsage x="0"/>
      </fieldsUsage>
    </cacheHierarchy>
    <cacheHierarchy uniqueName="[Table4].[Resolution]" caption="Resolution" attribute="1" defaultMemberUniqueName="[Table4].[Resolution].[All]" allUniqueName="[Table4].[Resolution].[All]" dimensionUniqueName="[Table4]" displayFolder="" count="0" memberValueDatatype="130" unbalanced="0"/>
    <cacheHierarchy uniqueName="[Table4].[Size]" caption="Size" attribute="1" defaultMemberUniqueName="[Table4].[Size].[All]" allUniqueName="[Table4].[Size].[All]" dimensionUniqueName="[Table4]" displayFolder="" count="0" memberValueDatatype="20" unbalanced="0"/>
    <cacheHierarchy uniqueName="[Table4].[Selling Price]" caption="Selling Price" attribute="1" defaultMemberUniqueName="[Table4].[Selling Price].[All]" allUniqueName="[Table4].[Selling Price].[All]" dimensionUniqueName="[Table4]" displayFolder="" count="0" memberValueDatatype="20" unbalanced="0"/>
    <cacheHierarchy uniqueName="[Table4].[Original Price]" caption="Original Price" attribute="1" defaultMemberUniqueName="[Table4].[Original Price].[All]" allUniqueName="[Table4].[Original Price].[All]" dimensionUniqueName="[Table4]" displayFolder="" count="0" memberValueDatatype="20" unbalanced="0"/>
    <cacheHierarchy uniqueName="[Table4].[Operating System]" caption="Operating System" attribute="1" defaultMemberUniqueName="[Table4].[Operating System].[All]" allUniqueName="[Table4].[Operating System].[All]" dimensionUniqueName="[Table4]" displayFolder="" count="0" memberValueDatatype="130" unbalanced="0"/>
    <cacheHierarchy uniqueName="[Table4].[Rating]" caption="Rating" attribute="1" defaultMemberUniqueName="[Table4].[Rating].[All]" allUniqueName="[Table4].[Rating].[All]" dimensionUniqueName="[Table4]" displayFolder="" count="0" memberValueDatatype="5" unbalanced="0"/>
    <cacheHierarchy uniqueName="[Table4].[Discount]" caption="Discount" attribute="1" defaultMemberUniqueName="[Table4].[Discount].[All]" allUniqueName="[Table4].[Discount].[All]" dimensionUniqueName="[Table4]" displayFolder="" count="0" memberValueDatatype="20" unbalanced="0"/>
    <cacheHierarchy uniqueName="[Table4].[Discount%]" caption="Discount%" attribute="1" defaultMemberUniqueName="[Table4].[Discount%].[All]" allUniqueName="[Table4].[Discount%].[All]" dimensionUniqueName="[Table4]" displayFolder="" count="0" memberValueDatatype="5" unbalanced="0"/>
    <cacheHierarchy uniqueName="[Table4].[Profit]" caption="Profit" attribute="1" defaultMemberUniqueName="[Table4].[Profit].[All]" allUniqueName="[Table4].[Profit].[All]" dimensionUniqueName="[Table4]" displayFolder="" count="0" memberValueDatatype="20" unbalanced="0"/>
    <cacheHierarchy uniqueName="[Table4].[Profit%]" caption="Profit%" attribute="1" defaultMemberUniqueName="[Table4].[Profit%].[All]" allUniqueName="[Table4].[Profit%].[All]" dimensionUniqueName="[Table4]" displayFolder="" count="0" memberValueDatatype="5" unbalanced="0"/>
    <cacheHierarchy uniqueName="[Table4].[Discount Rating]" caption="Discount Rating" attribute="1" defaultMemberUniqueName="[Table4].[Discount Rating].[All]" allUniqueName="[Table4].[Discount Rating].[All]" dimensionUniqueName="[Table4]" displayFolder="" count="0" memberValueDatatype="130" unbalanced="0"/>
    <cacheHierarchy uniqueName="[Table4].[Ratings Strings]" caption="Ratings Strings" attribute="1" defaultMemberUniqueName="[Table4].[Ratings Strings].[All]" allUniqueName="[Table4].[Ratings Strings].[All]" dimensionUniqueName="[Table4]" displayFolder="" count="2" memberValueDatatype="130" unbalanced="0">
      <fieldsUsage count="2">
        <fieldUsage x="-1"/>
        <fieldUsage x="2"/>
      </fieldsUsage>
    </cacheHierarchy>
    <cacheHierarchy uniqueName="[Measures].[Sum of Selling Price]" caption="Sum of Selling Price" measure="1" displayFolder="" measureGroup="Table4" count="0">
      <extLst>
        <ext xmlns:x15="http://schemas.microsoft.com/office/spreadsheetml/2010/11/main" uri="{B97F6D7D-B522-45F9-BDA1-12C45D357490}">
          <x15:cacheHierarchy aggregatedColumn="18"/>
        </ext>
      </extLst>
    </cacheHierarchy>
    <cacheHierarchy uniqueName="[Measures].[Sum of Original Price]" caption="Sum of Original Price" measure="1" displayFolder="" measureGroup="Table4" count="0">
      <extLst>
        <ext xmlns:x15="http://schemas.microsoft.com/office/spreadsheetml/2010/11/main" uri="{B97F6D7D-B522-45F9-BDA1-12C45D357490}">
          <x15:cacheHierarchy aggregatedColumn="19"/>
        </ext>
      </extLst>
    </cacheHierarchy>
    <cacheHierarchy uniqueName="[Measures].[Sum of Discount%]" caption="Sum of Discount%" measure="1" displayFolder="" measureGroup="Table4" count="0">
      <extLst>
        <ext xmlns:x15="http://schemas.microsoft.com/office/spreadsheetml/2010/11/main" uri="{B97F6D7D-B522-45F9-BDA1-12C45D357490}">
          <x15:cacheHierarchy aggregatedColumn="23"/>
        </ext>
      </extLst>
    </cacheHierarchy>
    <cacheHierarchy uniqueName="[Measures].[Average of Discount%]" caption="Average of Discount%" measure="1" displayFolder="" measureGroup="Table4" count="0">
      <extLst>
        <ext xmlns:x15="http://schemas.microsoft.com/office/spreadsheetml/2010/11/main" uri="{B97F6D7D-B522-45F9-BDA1-12C45D357490}">
          <x15:cacheHierarchy aggregatedColumn="23"/>
        </ext>
      </extLst>
    </cacheHierarchy>
    <cacheHierarchy uniqueName="[Measures].[Sum of Discount]" caption="Sum of Discount" measure="1" displayFolder="" measureGroup="Table4" count="0" oneField="1">
      <fieldsUsage count="1">
        <fieldUsage x="1"/>
      </fieldsUsage>
      <extLst>
        <ext xmlns:x15="http://schemas.microsoft.com/office/spreadsheetml/2010/11/main" uri="{B97F6D7D-B522-45F9-BDA1-12C45D357490}">
          <x15:cacheHierarchy aggregatedColumn="22"/>
        </ext>
      </extLst>
    </cacheHierarchy>
    <cacheHierarchy uniqueName="[Measures].[Sum of Profit%]" caption="Sum of Profit%" measure="1" displayFolder="" measureGroup="Table4" count="0">
      <extLst>
        <ext xmlns:x15="http://schemas.microsoft.com/office/spreadsheetml/2010/11/main" uri="{B97F6D7D-B522-45F9-BDA1-12C45D357490}">
          <x15:cacheHierarchy aggregatedColumn="25"/>
        </ext>
      </extLst>
    </cacheHierarchy>
    <cacheHierarchy uniqueName="[Measures].[Max of Discount]" caption="Max of Discount" measure="1" displayFolder="" measureGroup="Table4" count="0">
      <extLst>
        <ext xmlns:x15="http://schemas.microsoft.com/office/spreadsheetml/2010/11/main" uri="{B97F6D7D-B522-45F9-BDA1-12C45D357490}">
          <x15:cacheHierarchy aggregatedColumn="22"/>
        </ext>
      </extLst>
    </cacheHierarchy>
    <cacheHierarchy uniqueName="[Measures].[Max of Discount%]" caption="Max of Discount%" measure="1" displayFolder="" measureGroup="Table4" count="0">
      <extLst>
        <ext xmlns:x15="http://schemas.microsoft.com/office/spreadsheetml/2010/11/main" uri="{B97F6D7D-B522-45F9-BDA1-12C45D357490}">
          <x15:cacheHierarchy aggregatedColumn="23"/>
        </ext>
      </extLst>
    </cacheHierarchy>
    <cacheHierarchy uniqueName="[Measures].[Sum of Rating]" caption="Sum of Rating" measure="1" displayFolder="" measureGroup="Table4" count="0">
      <extLst>
        <ext xmlns:x15="http://schemas.microsoft.com/office/spreadsheetml/2010/11/main" uri="{B97F6D7D-B522-45F9-BDA1-12C45D357490}">
          <x15:cacheHierarchy aggregatedColumn="21"/>
        </ext>
      </extLst>
    </cacheHierarchy>
    <cacheHierarchy uniqueName="[Measures].[Count of Discount%]" caption="Count of Discount%" measure="1" displayFolder="" measureGroup="Table4" count="0">
      <extLst>
        <ext xmlns:x15="http://schemas.microsoft.com/office/spreadsheetml/2010/11/main" uri="{B97F6D7D-B522-45F9-BDA1-12C45D357490}">
          <x15:cacheHierarchy aggregatedColumn="23"/>
        </ext>
      </extLst>
    </cacheHierarchy>
    <cacheHierarchy uniqueName="[Measures].[Total Brands]" caption="Total Brands" measure="1" displayFolder="" measureGroup="Table4" count="0"/>
    <cacheHierarchy uniqueName="[Measures].[Resolution types]" caption="Resolution types" measure="1" displayFolder="" measureGroup="Table4" count="0"/>
    <cacheHierarchy uniqueName="[Measures].[No.of resoultion sells]" caption="No.of resoultion sells" measure="1" displayFolder="" measureGroup="Table4" count="0"/>
    <cacheHierarchy uniqueName="[Measures].[Total Operating systems]" caption="Total Operating systems" measure="1" displayFolder="" measureGroup="Table4" count="0"/>
    <cacheHierarchy uniqueName="[Measures].[__XL_Count Table4]" caption="__XL_Count Table4" measure="1" displayFolder="" measureGroup="Table4"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ies>
  <kpis count="0"/>
  <dimensions count="3">
    <dimension measure="1" name="Measures" uniqueName="[Measures]" caption="Measures"/>
    <dimension name="Range" uniqueName="[Range]" caption="Range"/>
    <dimension name="Table4" uniqueName="[Table4]" caption="Table4"/>
  </dimensions>
  <measureGroups count="2">
    <measureGroup name="Range" caption="Range"/>
    <measureGroup name="Table4" caption="Table4"/>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jkumar D" refreshedDate="45630.584814467591" backgroundQuery="1" createdVersion="8" refreshedVersion="8" minRefreshableVersion="3" recordCount="0" supportSubquery="1" supportAdvancedDrill="1" xr:uid="{2FF814F2-4D8D-4F8D-9CC2-7CF144E48184}">
  <cacheSource type="external" connectionId="1"/>
  <cacheFields count="2">
    <cacheField name="[Table4].[Brand-Renamed].[Brand-Renamed]" caption="Brand-Renamed" numFmtId="0" hierarchy="15" level="1">
      <sharedItems count="15">
        <s v="Haier"/>
        <s v="Hisense"/>
        <s v="Iffalcon By Tcl"/>
        <s v="Lg"/>
        <s v="Lloyd"/>
        <s v="Mi"/>
        <s v="Micromax"/>
        <s v="Panasonic"/>
        <s v="Philips"/>
        <s v="Samsung"/>
        <s v="Sansui"/>
        <s v="Sharp"/>
        <s v="Sony"/>
        <s v="Tcl"/>
        <s v="Vu"/>
      </sharedItems>
    </cacheField>
    <cacheField name="[Table4].[Ratings Strings].[Ratings Strings]" caption="Ratings Strings" numFmtId="0" hierarchy="27" level="1">
      <sharedItems count="4">
        <s v="Bad Ratings"/>
        <s v="Good Ratings"/>
        <s v="Medium Ratings"/>
        <s v="Ratings Not Given"/>
      </sharedItems>
    </cacheField>
  </cacheFields>
  <cacheHierarchies count="45">
    <cacheHierarchy uniqueName="[Range].[Rgl]" caption="Rgl" attribute="1" defaultMemberUniqueName="[Range].[Rgl].[All]" allUniqueName="[Range].[Rgl].[All]" dimensionUniqueName="[Range]" displayFolder="" count="0" memberValueDatatype="130" unbalanced="0"/>
    <cacheHierarchy uniqueName="[Range].[Full HD LED]" caption="Full HD LED" attribute="1" defaultMemberUniqueName="[Range].[Full HD LED].[All]" allUniqueName="[Range].[Full HD LED].[All]" dimensionUniqueName="[Range]" displayFolder="" count="0" memberValueDatatype="130" unbalanced="0"/>
    <cacheHierarchy uniqueName="[Range].[20]" caption="20" attribute="1" defaultMemberUniqueName="[Range].[20].[All]" allUniqueName="[Range].[20].[All]" dimensionUniqueName="[Range]" displayFolder="" count="0" memberValueDatatype="20" unbalanced="0"/>
    <cacheHierarchy uniqueName="[Range].[4849]" caption="4849" attribute="1" defaultMemberUniqueName="[Range].[4849].[All]" allUniqueName="[Range].[4849].[All]" dimensionUniqueName="[Range]" displayFolder="" count="0" memberValueDatatype="20" unbalanced="0"/>
    <cacheHierarchy uniqueName="[Range].[8990]" caption="8990" attribute="1" defaultMemberUniqueName="[Range].[8990].[All]" allUniqueName="[Range].[8990].[All]" dimensionUniqueName="[Range]" displayFolder="" count="0" memberValueDatatype="20" unbalanced="0"/>
    <cacheHierarchy uniqueName="[Range].[HomeOS]" caption="HomeOS" attribute="1" defaultMemberUniqueName="[Range].[HomeOS].[All]" allUniqueName="[Range].[HomeOS].[All]" dimensionUniqueName="[Range]" displayFolder="" count="0" memberValueDatatype="130" unbalanced="0"/>
    <cacheHierarchy uniqueName="[Range].[3.9]" caption="3.9" attribute="1" defaultMemberUniqueName="[Range].[3.9].[All]" allUniqueName="[Range].[3.9].[All]" dimensionUniqueName="[Range]" displayFolder="" count="0" memberValueDatatype="5" unbalanced="0"/>
    <cacheHierarchy uniqueName="[Range].[4141]" caption="4141" attribute="1" defaultMemberUniqueName="[Range].[4141].[All]" allUniqueName="[Range].[4141].[All]" dimensionUniqueName="[Range]" displayFolder="" count="0" memberValueDatatype="20" unbalanced="0"/>
    <cacheHierarchy uniqueName="[Range].[46%]" caption="46%" attribute="1" defaultMemberUniqueName="[Range].[46%].[All]" allUniqueName="[Range].[46%].[All]" dimensionUniqueName="[Range]" displayFolder="" count="0" memberValueDatatype="130" unbalanced="0"/>
    <cacheHierarchy uniqueName="[Range].[-4141]" caption="-4141" attribute="1" defaultMemberUniqueName="[Range].[-4141].[All]" allUniqueName="[Range].[-4141].[All]" dimensionUniqueName="[Range]" displayFolder="" count="0" memberValueDatatype="20" unbalanced="0"/>
    <cacheHierarchy uniqueName="[Range].[-85%]" caption="-85%" attribute="1" defaultMemberUniqueName="[Range].[-85%].[All]" allUniqueName="[Range].[-85%].[All]" dimensionUniqueName="[Range]" displayFolder="" count="0" memberValueDatatype="5" unbalanced="0"/>
    <cacheHierarchy uniqueName="[Range].[Medium Ratings]" caption="Medium Ratings" attribute="1" defaultMemberUniqueName="[Range].[Medium Ratings].[All]" allUniqueName="[Range].[Medium Ratings].[All]" dimensionUniqueName="[Range]" displayFolder="" count="0" memberValueDatatype="130" unbalanced="0"/>
    <cacheHierarchy uniqueName="[Range].[$ 12,000.00]" caption="$ 12,000.00" attribute="1" defaultMemberUniqueName="[Range].[$ 12,000.00].[All]" allUniqueName="[Range].[$ 12,000.00].[All]" dimensionUniqueName="[Range]" displayFolder="" count="0" memberValueDatatype="5" unbalanced="0"/>
    <cacheHierarchy uniqueName="[Range].[$ 5,490]" caption="$ 5,490" attribute="1" defaultMemberUniqueName="[Range].[$ 5,490].[All]" allUniqueName="[Range].[$ 5,490].[All]" dimensionUniqueName="[Range]" displayFolder="" count="0" memberValueDatatype="5" unbalanced="0"/>
    <cacheHierarchy uniqueName="[Table4].[Brand]" caption="Brand" attribute="1" defaultMemberUniqueName="[Table4].[Brand].[All]" allUniqueName="[Table4].[Brand].[All]" dimensionUniqueName="[Table4]" displayFolder="" count="0" memberValueDatatype="130" unbalanced="0"/>
    <cacheHierarchy uniqueName="[Table4].[Brand-Renamed]" caption="Brand-Renamed" attribute="1" defaultMemberUniqueName="[Table4].[Brand-Renamed].[All]" allUniqueName="[Table4].[Brand-Renamed].[All]" dimensionUniqueName="[Table4]" displayFolder="" count="2" memberValueDatatype="130" unbalanced="0">
      <fieldsUsage count="2">
        <fieldUsage x="-1"/>
        <fieldUsage x="0"/>
      </fieldsUsage>
    </cacheHierarchy>
    <cacheHierarchy uniqueName="[Table4].[Resolution]" caption="Resolution" attribute="1" defaultMemberUniqueName="[Table4].[Resolution].[All]" allUniqueName="[Table4].[Resolution].[All]" dimensionUniqueName="[Table4]" displayFolder="" count="0" memberValueDatatype="130" unbalanced="0"/>
    <cacheHierarchy uniqueName="[Table4].[Size]" caption="Size" attribute="1" defaultMemberUniqueName="[Table4].[Size].[All]" allUniqueName="[Table4].[Size].[All]" dimensionUniqueName="[Table4]" displayFolder="" count="0" memberValueDatatype="20" unbalanced="0"/>
    <cacheHierarchy uniqueName="[Table4].[Selling Price]" caption="Selling Price" attribute="1" defaultMemberUniqueName="[Table4].[Selling Price].[All]" allUniqueName="[Table4].[Selling Price].[All]" dimensionUniqueName="[Table4]" displayFolder="" count="0" memberValueDatatype="20" unbalanced="0"/>
    <cacheHierarchy uniqueName="[Table4].[Original Price]" caption="Original Price" attribute="1" defaultMemberUniqueName="[Table4].[Original Price].[All]" allUniqueName="[Table4].[Original Price].[All]" dimensionUniqueName="[Table4]" displayFolder="" count="0" memberValueDatatype="20" unbalanced="0"/>
    <cacheHierarchy uniqueName="[Table4].[Operating System]" caption="Operating System" attribute="1" defaultMemberUniqueName="[Table4].[Operating System].[All]" allUniqueName="[Table4].[Operating System].[All]" dimensionUniqueName="[Table4]" displayFolder="" count="0" memberValueDatatype="130" unbalanced="0"/>
    <cacheHierarchy uniqueName="[Table4].[Rating]" caption="Rating" attribute="1" defaultMemberUniqueName="[Table4].[Rating].[All]" allUniqueName="[Table4].[Rating].[All]" dimensionUniqueName="[Table4]" displayFolder="" count="0" memberValueDatatype="5" unbalanced="0"/>
    <cacheHierarchy uniqueName="[Table4].[Discount]" caption="Discount" attribute="1" defaultMemberUniqueName="[Table4].[Discount].[All]" allUniqueName="[Table4].[Discount].[All]" dimensionUniqueName="[Table4]" displayFolder="" count="0" memberValueDatatype="20" unbalanced="0"/>
    <cacheHierarchy uniqueName="[Table4].[Discount%]" caption="Discount%" attribute="1" defaultMemberUniqueName="[Table4].[Discount%].[All]" allUniqueName="[Table4].[Discount%].[All]" dimensionUniqueName="[Table4]" displayFolder="" count="0" memberValueDatatype="5" unbalanced="0"/>
    <cacheHierarchy uniqueName="[Table4].[Profit]" caption="Profit" attribute="1" defaultMemberUniqueName="[Table4].[Profit].[All]" allUniqueName="[Table4].[Profit].[All]" dimensionUniqueName="[Table4]" displayFolder="" count="0" memberValueDatatype="20" unbalanced="0"/>
    <cacheHierarchy uniqueName="[Table4].[Profit%]" caption="Profit%" attribute="1" defaultMemberUniqueName="[Table4].[Profit%].[All]" allUniqueName="[Table4].[Profit%].[All]" dimensionUniqueName="[Table4]" displayFolder="" count="0" memberValueDatatype="5" unbalanced="0"/>
    <cacheHierarchy uniqueName="[Table4].[Discount Rating]" caption="Discount Rating" attribute="1" defaultMemberUniqueName="[Table4].[Discount Rating].[All]" allUniqueName="[Table4].[Discount Rating].[All]" dimensionUniqueName="[Table4]" displayFolder="" count="0" memberValueDatatype="130" unbalanced="0"/>
    <cacheHierarchy uniqueName="[Table4].[Ratings Strings]" caption="Ratings Strings" attribute="1" defaultMemberUniqueName="[Table4].[Ratings Strings].[All]" allUniqueName="[Table4].[Ratings Strings].[All]" dimensionUniqueName="[Table4]" displayFolder="" count="2" memberValueDatatype="130" unbalanced="0">
      <fieldsUsage count="2">
        <fieldUsage x="-1"/>
        <fieldUsage x="1"/>
      </fieldsUsage>
    </cacheHierarchy>
    <cacheHierarchy uniqueName="[Measures].[Sum of Selling Price]" caption="Sum of Selling Price" measure="1" displayFolder="" measureGroup="Table4" count="0">
      <extLst>
        <ext xmlns:x15="http://schemas.microsoft.com/office/spreadsheetml/2010/11/main" uri="{B97F6D7D-B522-45F9-BDA1-12C45D357490}">
          <x15:cacheHierarchy aggregatedColumn="18"/>
        </ext>
      </extLst>
    </cacheHierarchy>
    <cacheHierarchy uniqueName="[Measures].[Sum of Original Price]" caption="Sum of Original Price" measure="1" displayFolder="" measureGroup="Table4" count="0">
      <extLst>
        <ext xmlns:x15="http://schemas.microsoft.com/office/spreadsheetml/2010/11/main" uri="{B97F6D7D-B522-45F9-BDA1-12C45D357490}">
          <x15:cacheHierarchy aggregatedColumn="19"/>
        </ext>
      </extLst>
    </cacheHierarchy>
    <cacheHierarchy uniqueName="[Measures].[Sum of Discount%]" caption="Sum of Discount%" measure="1" displayFolder="" measureGroup="Table4" count="0">
      <extLst>
        <ext xmlns:x15="http://schemas.microsoft.com/office/spreadsheetml/2010/11/main" uri="{B97F6D7D-B522-45F9-BDA1-12C45D357490}">
          <x15:cacheHierarchy aggregatedColumn="23"/>
        </ext>
      </extLst>
    </cacheHierarchy>
    <cacheHierarchy uniqueName="[Measures].[Average of Discount%]" caption="Average of Discount%" measure="1" displayFolder="" measureGroup="Table4" count="0">
      <extLst>
        <ext xmlns:x15="http://schemas.microsoft.com/office/spreadsheetml/2010/11/main" uri="{B97F6D7D-B522-45F9-BDA1-12C45D357490}">
          <x15:cacheHierarchy aggregatedColumn="23"/>
        </ext>
      </extLst>
    </cacheHierarchy>
    <cacheHierarchy uniqueName="[Measures].[Sum of Discount]" caption="Sum of Discount" measure="1" displayFolder="" measureGroup="Table4" count="0">
      <extLst>
        <ext xmlns:x15="http://schemas.microsoft.com/office/spreadsheetml/2010/11/main" uri="{B97F6D7D-B522-45F9-BDA1-12C45D357490}">
          <x15:cacheHierarchy aggregatedColumn="22"/>
        </ext>
      </extLst>
    </cacheHierarchy>
    <cacheHierarchy uniqueName="[Measures].[Sum of Profit%]" caption="Sum of Profit%" measure="1" displayFolder="" measureGroup="Table4" count="0">
      <extLst>
        <ext xmlns:x15="http://schemas.microsoft.com/office/spreadsheetml/2010/11/main" uri="{B97F6D7D-B522-45F9-BDA1-12C45D357490}">
          <x15:cacheHierarchy aggregatedColumn="25"/>
        </ext>
      </extLst>
    </cacheHierarchy>
    <cacheHierarchy uniqueName="[Measures].[Max of Discount]" caption="Max of Discount" measure="1" displayFolder="" measureGroup="Table4" count="0">
      <extLst>
        <ext xmlns:x15="http://schemas.microsoft.com/office/spreadsheetml/2010/11/main" uri="{B97F6D7D-B522-45F9-BDA1-12C45D357490}">
          <x15:cacheHierarchy aggregatedColumn="22"/>
        </ext>
      </extLst>
    </cacheHierarchy>
    <cacheHierarchy uniqueName="[Measures].[Max of Discount%]" caption="Max of Discount%" measure="1" displayFolder="" measureGroup="Table4" count="0">
      <extLst>
        <ext xmlns:x15="http://schemas.microsoft.com/office/spreadsheetml/2010/11/main" uri="{B97F6D7D-B522-45F9-BDA1-12C45D357490}">
          <x15:cacheHierarchy aggregatedColumn="23"/>
        </ext>
      </extLst>
    </cacheHierarchy>
    <cacheHierarchy uniqueName="[Measures].[Sum of Rating]" caption="Sum of Rating" measure="1" displayFolder="" measureGroup="Table4" count="0">
      <extLst>
        <ext xmlns:x15="http://schemas.microsoft.com/office/spreadsheetml/2010/11/main" uri="{B97F6D7D-B522-45F9-BDA1-12C45D357490}">
          <x15:cacheHierarchy aggregatedColumn="21"/>
        </ext>
      </extLst>
    </cacheHierarchy>
    <cacheHierarchy uniqueName="[Measures].[Count of Discount%]" caption="Count of Discount%" measure="1" displayFolder="" measureGroup="Table4" count="0">
      <extLst>
        <ext xmlns:x15="http://schemas.microsoft.com/office/spreadsheetml/2010/11/main" uri="{B97F6D7D-B522-45F9-BDA1-12C45D357490}">
          <x15:cacheHierarchy aggregatedColumn="23"/>
        </ext>
      </extLst>
    </cacheHierarchy>
    <cacheHierarchy uniqueName="[Measures].[Total Brands]" caption="Total Brands" measure="1" displayFolder="" measureGroup="Table4" count="0"/>
    <cacheHierarchy uniqueName="[Measures].[Resolution types]" caption="Resolution types" measure="1" displayFolder="" measureGroup="Table4" count="0"/>
    <cacheHierarchy uniqueName="[Measures].[No.of resoultion sells]" caption="No.of resoultion sells" measure="1" displayFolder="" measureGroup="Table4" count="0"/>
    <cacheHierarchy uniqueName="[Measures].[Total Operating systems]" caption="Total Operating systems" measure="1" displayFolder="" measureGroup="Table4" count="0"/>
    <cacheHierarchy uniqueName="[Measures].[__XL_Count Table4]" caption="__XL_Count Table4" measure="1" displayFolder="" measureGroup="Table4"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ies>
  <kpis count="0"/>
  <dimensions count="3">
    <dimension measure="1" name="Measures" uniqueName="[Measures]" caption="Measures"/>
    <dimension name="Range" uniqueName="[Range]" caption="Range"/>
    <dimension name="Table4" uniqueName="[Table4]" caption="Table4"/>
  </dimensions>
  <measureGroups count="2">
    <measureGroup name="Range" caption="Range"/>
    <measureGroup name="Table4" caption="Table4"/>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jkumar D" refreshedDate="45624.668327083331" backgroundQuery="1" createdVersion="3" refreshedVersion="8" minRefreshableVersion="3" recordCount="0" supportSubquery="1" supportAdvancedDrill="1" xr:uid="{AE1D5D90-164C-4471-91A2-0356F8D99372}">
  <cacheSource type="external" connectionId="1">
    <extLst>
      <ext xmlns:x14="http://schemas.microsoft.com/office/spreadsheetml/2009/9/main" uri="{F057638F-6D5F-4e77-A914-E7F072B9BCA8}">
        <x14:sourceConnection name="ThisWorkbookDataModel"/>
      </ext>
    </extLst>
  </cacheSource>
  <cacheFields count="0"/>
  <cacheHierarchies count="45">
    <cacheHierarchy uniqueName="[Range].[Rgl]" caption="Rgl" attribute="1" defaultMemberUniqueName="[Range].[Rgl].[All]" allUniqueName="[Range].[Rgl].[All]" dimensionUniqueName="[Range]" displayFolder="" count="0" memberValueDatatype="130" unbalanced="0"/>
    <cacheHierarchy uniqueName="[Range].[Full HD LED]" caption="Full HD LED" attribute="1" defaultMemberUniqueName="[Range].[Full HD LED].[All]" allUniqueName="[Range].[Full HD LED].[All]" dimensionUniqueName="[Range]" displayFolder="" count="0" memberValueDatatype="130" unbalanced="0"/>
    <cacheHierarchy uniqueName="[Range].[20]" caption="20" attribute="1" defaultMemberUniqueName="[Range].[20].[All]" allUniqueName="[Range].[20].[All]" dimensionUniqueName="[Range]" displayFolder="" count="0" memberValueDatatype="20" unbalanced="0"/>
    <cacheHierarchy uniqueName="[Range].[4849]" caption="4849" attribute="1" defaultMemberUniqueName="[Range].[4849].[All]" allUniqueName="[Range].[4849].[All]" dimensionUniqueName="[Range]" displayFolder="" count="0" memberValueDatatype="20" unbalanced="0"/>
    <cacheHierarchy uniqueName="[Range].[8990]" caption="8990" attribute="1" defaultMemberUniqueName="[Range].[8990].[All]" allUniqueName="[Range].[8990].[All]" dimensionUniqueName="[Range]" displayFolder="" count="0" memberValueDatatype="20" unbalanced="0"/>
    <cacheHierarchy uniqueName="[Range].[HomeOS]" caption="HomeOS" attribute="1" defaultMemberUniqueName="[Range].[HomeOS].[All]" allUniqueName="[Range].[HomeOS].[All]" dimensionUniqueName="[Range]" displayFolder="" count="0" memberValueDatatype="130" unbalanced="0"/>
    <cacheHierarchy uniqueName="[Range].[3.9]" caption="3.9" attribute="1" defaultMemberUniqueName="[Range].[3.9].[All]" allUniqueName="[Range].[3.9].[All]" dimensionUniqueName="[Range]" displayFolder="" count="0" memberValueDatatype="5" unbalanced="0"/>
    <cacheHierarchy uniqueName="[Range].[4141]" caption="4141" attribute="1" defaultMemberUniqueName="[Range].[4141].[All]" allUniqueName="[Range].[4141].[All]" dimensionUniqueName="[Range]" displayFolder="" count="0" memberValueDatatype="20" unbalanced="0"/>
    <cacheHierarchy uniqueName="[Range].[46%]" caption="46%" attribute="1" defaultMemberUniqueName="[Range].[46%].[All]" allUniqueName="[Range].[46%].[All]" dimensionUniqueName="[Range]" displayFolder="" count="0" memberValueDatatype="130" unbalanced="0"/>
    <cacheHierarchy uniqueName="[Range].[-4141]" caption="-4141" attribute="1" defaultMemberUniqueName="[Range].[-4141].[All]" allUniqueName="[Range].[-4141].[All]" dimensionUniqueName="[Range]" displayFolder="" count="0" memberValueDatatype="20" unbalanced="0"/>
    <cacheHierarchy uniqueName="[Range].[-85%]" caption="-85%" attribute="1" defaultMemberUniqueName="[Range].[-85%].[All]" allUniqueName="[Range].[-85%].[All]" dimensionUniqueName="[Range]" displayFolder="" count="0" memberValueDatatype="5" unbalanced="0"/>
    <cacheHierarchy uniqueName="[Range].[Medium Ratings]" caption="Medium Ratings" attribute="1" defaultMemberUniqueName="[Range].[Medium Ratings].[All]" allUniqueName="[Range].[Medium Ratings].[All]" dimensionUniqueName="[Range]" displayFolder="" count="0" memberValueDatatype="130" unbalanced="0"/>
    <cacheHierarchy uniqueName="[Range].[$ 12,000.00]" caption="$ 12,000.00" attribute="1" defaultMemberUniqueName="[Range].[$ 12,000.00].[All]" allUniqueName="[Range].[$ 12,000.00].[All]" dimensionUniqueName="[Range]" displayFolder="" count="0" memberValueDatatype="5" unbalanced="0"/>
    <cacheHierarchy uniqueName="[Range].[$ 5,490]" caption="$ 5,490" attribute="1" defaultMemberUniqueName="[Range].[$ 5,490].[All]" allUniqueName="[Range].[$ 5,490].[All]" dimensionUniqueName="[Range]" displayFolder="" count="0" memberValueDatatype="5" unbalanced="0"/>
    <cacheHierarchy uniqueName="[Table4].[Brand]" caption="Brand" attribute="1" defaultMemberUniqueName="[Table4].[Brand].[All]" allUniqueName="[Table4].[Brand].[All]" dimensionUniqueName="[Table4]" displayFolder="" count="0" memberValueDatatype="130" unbalanced="0"/>
    <cacheHierarchy uniqueName="[Table4].[Brand-Renamed]" caption="Brand-Renamed" attribute="1" defaultMemberUniqueName="[Table4].[Brand-Renamed].[All]" allUniqueName="[Table4].[Brand-Renamed].[All]" dimensionUniqueName="[Table4]" displayFolder="" count="0" memberValueDatatype="130" unbalanced="0"/>
    <cacheHierarchy uniqueName="[Table4].[Resolution]" caption="Resolution" attribute="1" defaultMemberUniqueName="[Table4].[Resolution].[All]" allUniqueName="[Table4].[Resolution].[All]" dimensionUniqueName="[Table4]" displayFolder="" count="0" memberValueDatatype="130" unbalanced="0"/>
    <cacheHierarchy uniqueName="[Table4].[Size]" caption="Size" attribute="1" defaultMemberUniqueName="[Table4].[Size].[All]" allUniqueName="[Table4].[Size].[All]" dimensionUniqueName="[Table4]" displayFolder="" count="0" memberValueDatatype="20" unbalanced="0"/>
    <cacheHierarchy uniqueName="[Table4].[Selling Price]" caption="Selling Price" attribute="1" defaultMemberUniqueName="[Table4].[Selling Price].[All]" allUniqueName="[Table4].[Selling Price].[All]" dimensionUniqueName="[Table4]" displayFolder="" count="0" memberValueDatatype="20" unbalanced="0"/>
    <cacheHierarchy uniqueName="[Table4].[Original Price]" caption="Original Price" attribute="1" defaultMemberUniqueName="[Table4].[Original Price].[All]" allUniqueName="[Table4].[Original Price].[All]" dimensionUniqueName="[Table4]" displayFolder="" count="0" memberValueDatatype="20" unbalanced="0"/>
    <cacheHierarchy uniqueName="[Table4].[Operating System]" caption="Operating System" attribute="1" defaultMemberUniqueName="[Table4].[Operating System].[All]" allUniqueName="[Table4].[Operating System].[All]" dimensionUniqueName="[Table4]" displayFolder="" count="0" memberValueDatatype="130" unbalanced="0"/>
    <cacheHierarchy uniqueName="[Table4].[Rating]" caption="Rating" attribute="1" defaultMemberUniqueName="[Table4].[Rating].[All]" allUniqueName="[Table4].[Rating].[All]" dimensionUniqueName="[Table4]" displayFolder="" count="0" memberValueDatatype="5" unbalanced="0"/>
    <cacheHierarchy uniqueName="[Table4].[Discount]" caption="Discount" attribute="1" defaultMemberUniqueName="[Table4].[Discount].[All]" allUniqueName="[Table4].[Discount].[All]" dimensionUniqueName="[Table4]" displayFolder="" count="0" memberValueDatatype="20" unbalanced="0"/>
    <cacheHierarchy uniqueName="[Table4].[Discount%]" caption="Discount%" attribute="1" defaultMemberUniqueName="[Table4].[Discount%].[All]" allUniqueName="[Table4].[Discount%].[All]" dimensionUniqueName="[Table4]" displayFolder="" count="0" memberValueDatatype="5" unbalanced="0"/>
    <cacheHierarchy uniqueName="[Table4].[Profit]" caption="Profit" attribute="1" defaultMemberUniqueName="[Table4].[Profit].[All]" allUniqueName="[Table4].[Profit].[All]" dimensionUniqueName="[Table4]" displayFolder="" count="0" memberValueDatatype="20" unbalanced="0"/>
    <cacheHierarchy uniqueName="[Table4].[Profit%]" caption="Profit%" attribute="1" defaultMemberUniqueName="[Table4].[Profit%].[All]" allUniqueName="[Table4].[Profit%].[All]" dimensionUniqueName="[Table4]" displayFolder="" count="0" memberValueDatatype="5" unbalanced="0"/>
    <cacheHierarchy uniqueName="[Table4].[Discount Rating]" caption="Discount Rating" attribute="1" defaultMemberUniqueName="[Table4].[Discount Rating].[All]" allUniqueName="[Table4].[Discount Rating].[All]" dimensionUniqueName="[Table4]" displayFolder="" count="0" memberValueDatatype="130" unbalanced="0"/>
    <cacheHierarchy uniqueName="[Table4].[Ratings Strings]" caption="Ratings Strings" attribute="1" defaultMemberUniqueName="[Table4].[Ratings Strings].[All]" allUniqueName="[Table4].[Ratings Strings].[All]" dimensionUniqueName="[Table4]" displayFolder="" count="2" memberValueDatatype="130" unbalanced="0"/>
    <cacheHierarchy uniqueName="[Measures].[Sum of Selling Price]" caption="Sum of Selling Price" measure="1" displayFolder="" measureGroup="Table4" count="0">
      <extLst>
        <ext xmlns:x15="http://schemas.microsoft.com/office/spreadsheetml/2010/11/main" uri="{B97F6D7D-B522-45F9-BDA1-12C45D357490}">
          <x15:cacheHierarchy aggregatedColumn="18"/>
        </ext>
      </extLst>
    </cacheHierarchy>
    <cacheHierarchy uniqueName="[Measures].[Sum of Original Price]" caption="Sum of Original Price" measure="1" displayFolder="" measureGroup="Table4" count="0">
      <extLst>
        <ext xmlns:x15="http://schemas.microsoft.com/office/spreadsheetml/2010/11/main" uri="{B97F6D7D-B522-45F9-BDA1-12C45D357490}">
          <x15:cacheHierarchy aggregatedColumn="19"/>
        </ext>
      </extLst>
    </cacheHierarchy>
    <cacheHierarchy uniqueName="[Measures].[Sum of Discount%]" caption="Sum of Discount%" measure="1" displayFolder="" measureGroup="Table4" count="0">
      <extLst>
        <ext xmlns:x15="http://schemas.microsoft.com/office/spreadsheetml/2010/11/main" uri="{B97F6D7D-B522-45F9-BDA1-12C45D357490}">
          <x15:cacheHierarchy aggregatedColumn="23"/>
        </ext>
      </extLst>
    </cacheHierarchy>
    <cacheHierarchy uniqueName="[Measures].[Average of Discount%]" caption="Average of Discount%" measure="1" displayFolder="" measureGroup="Table4" count="0">
      <extLst>
        <ext xmlns:x15="http://schemas.microsoft.com/office/spreadsheetml/2010/11/main" uri="{B97F6D7D-B522-45F9-BDA1-12C45D357490}">
          <x15:cacheHierarchy aggregatedColumn="23"/>
        </ext>
      </extLst>
    </cacheHierarchy>
    <cacheHierarchy uniqueName="[Measures].[Sum of Discount]" caption="Sum of Discount" measure="1" displayFolder="" measureGroup="Table4" count="0">
      <extLst>
        <ext xmlns:x15="http://schemas.microsoft.com/office/spreadsheetml/2010/11/main" uri="{B97F6D7D-B522-45F9-BDA1-12C45D357490}">
          <x15:cacheHierarchy aggregatedColumn="22"/>
        </ext>
      </extLst>
    </cacheHierarchy>
    <cacheHierarchy uniqueName="[Measures].[Sum of Profit%]" caption="Sum of Profit%" measure="1" displayFolder="" measureGroup="Table4" count="0">
      <extLst>
        <ext xmlns:x15="http://schemas.microsoft.com/office/spreadsheetml/2010/11/main" uri="{B97F6D7D-B522-45F9-BDA1-12C45D357490}">
          <x15:cacheHierarchy aggregatedColumn="25"/>
        </ext>
      </extLst>
    </cacheHierarchy>
    <cacheHierarchy uniqueName="[Measures].[Max of Discount]" caption="Max of Discount" measure="1" displayFolder="" measureGroup="Table4" count="0">
      <extLst>
        <ext xmlns:x15="http://schemas.microsoft.com/office/spreadsheetml/2010/11/main" uri="{B97F6D7D-B522-45F9-BDA1-12C45D357490}">
          <x15:cacheHierarchy aggregatedColumn="22"/>
        </ext>
      </extLst>
    </cacheHierarchy>
    <cacheHierarchy uniqueName="[Measures].[Max of Discount%]" caption="Max of Discount%" measure="1" displayFolder="" measureGroup="Table4" count="0">
      <extLst>
        <ext xmlns:x15="http://schemas.microsoft.com/office/spreadsheetml/2010/11/main" uri="{B97F6D7D-B522-45F9-BDA1-12C45D357490}">
          <x15:cacheHierarchy aggregatedColumn="23"/>
        </ext>
      </extLst>
    </cacheHierarchy>
    <cacheHierarchy uniqueName="[Measures].[Sum of Rating]" caption="Sum of Rating" measure="1" displayFolder="" measureGroup="Table4" count="0">
      <extLst>
        <ext xmlns:x15="http://schemas.microsoft.com/office/spreadsheetml/2010/11/main" uri="{B97F6D7D-B522-45F9-BDA1-12C45D357490}">
          <x15:cacheHierarchy aggregatedColumn="21"/>
        </ext>
      </extLst>
    </cacheHierarchy>
    <cacheHierarchy uniqueName="[Measures].[Count of Discount%]" caption="Count of Discount%" measure="1" displayFolder="" measureGroup="Table4" count="0">
      <extLst>
        <ext xmlns:x15="http://schemas.microsoft.com/office/spreadsheetml/2010/11/main" uri="{B97F6D7D-B522-45F9-BDA1-12C45D357490}">
          <x15:cacheHierarchy aggregatedColumn="23"/>
        </ext>
      </extLst>
    </cacheHierarchy>
    <cacheHierarchy uniqueName="[Measures].[Total Brands]" caption="Total Brands" measure="1" displayFolder="" measureGroup="Table4" count="0"/>
    <cacheHierarchy uniqueName="[Measures].[Resolution types]" caption="Resolution types" measure="1" displayFolder="" measureGroup="Table4" count="0"/>
    <cacheHierarchy uniqueName="[Measures].[No.of resoultion sells]" caption="No.of resoultion sells" measure="1" displayFolder="" measureGroup="Table4" count="0"/>
    <cacheHierarchy uniqueName="[Measures].[Total Operating systems]" caption="Total Operating systems" measure="1" displayFolder="" measureGroup="Table4" count="0"/>
    <cacheHierarchy uniqueName="[Measures].[__XL_Count Table4]" caption="__XL_Count Table4" measure="1" displayFolder="" measureGroup="Table4"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573264911"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8">
  <r>
    <x v="0"/>
    <n v="8"/>
    <n v="0"/>
    <n v="2"/>
    <n v="3"/>
    <n v="0"/>
    <n v="397592"/>
    <n v="0"/>
    <n v="29998"/>
    <n v="77497"/>
    <n v="0"/>
  </r>
  <r>
    <x v="1"/>
    <n v="22"/>
    <n v="6"/>
    <n v="9"/>
    <n v="7"/>
    <n v="0"/>
    <n v="1542574"/>
    <n v="446976"/>
    <n v="106120"/>
    <n v="359456"/>
    <n v="0"/>
  </r>
  <r>
    <x v="2"/>
    <n v="3"/>
    <n v="0"/>
    <n v="3"/>
    <n v="1"/>
    <n v="0"/>
    <n v="113997"/>
    <n v="0"/>
    <n v="38997"/>
    <n v="17999"/>
    <n v="0"/>
  </r>
  <r>
    <x v="3"/>
    <n v="8"/>
    <n v="1"/>
    <n v="5"/>
    <n v="5"/>
    <n v="0"/>
    <n v="318470"/>
    <n v="58999"/>
    <n v="76495"/>
    <n v="130990"/>
    <n v="0"/>
  </r>
  <r>
    <x v="4"/>
    <n v="4"/>
    <n v="2"/>
    <n v="1"/>
    <n v="2"/>
    <n v="0"/>
    <n v="213996"/>
    <n v="147889"/>
    <n v="15999"/>
    <n v="48498"/>
    <n v="0"/>
  </r>
  <r>
    <x v="5"/>
    <n v="6"/>
    <n v="2"/>
    <n v="2"/>
    <n v="0"/>
    <n v="0"/>
    <n v="276985"/>
    <n v="584980"/>
    <n v="35989"/>
    <n v="0"/>
    <n v="0"/>
  </r>
  <r>
    <x v="6"/>
    <n v="79"/>
    <n v="0"/>
    <n v="14"/>
    <n v="27"/>
    <n v="2"/>
    <n v="9311841"/>
    <n v="0"/>
    <n v="264715"/>
    <n v="2131021"/>
    <n v="115980"/>
  </r>
  <r>
    <x v="7"/>
    <n v="1"/>
    <n v="0"/>
    <n v="4"/>
    <n v="3"/>
    <n v="0"/>
    <n v="64999"/>
    <n v="0"/>
    <n v="41496"/>
    <n v="35497"/>
    <n v="0"/>
  </r>
  <r>
    <x v="8"/>
    <n v="13"/>
    <n v="3"/>
    <n v="1"/>
    <n v="2"/>
    <n v="0"/>
    <n v="687478"/>
    <n v="286988"/>
    <n v="13990"/>
    <n v="41998"/>
    <n v="0"/>
  </r>
  <r>
    <x v="9"/>
    <n v="6"/>
    <n v="0"/>
    <n v="2"/>
    <n v="1"/>
    <n v="0"/>
    <n v="177485"/>
    <n v="0"/>
    <n v="23498"/>
    <n v="18999"/>
    <n v="0"/>
  </r>
  <r>
    <x v="10"/>
    <n v="55"/>
    <n v="36"/>
    <n v="16"/>
    <n v="37"/>
    <n v="2"/>
    <n v="6159657"/>
    <n v="5194394"/>
    <n v="372366"/>
    <n v="3787655"/>
    <n v="113000"/>
  </r>
  <r>
    <x v="11"/>
    <n v="0"/>
    <n v="0"/>
    <n v="1"/>
    <n v="2"/>
    <n v="0"/>
    <n v="0"/>
    <n v="0"/>
    <n v="11999"/>
    <n v="39498"/>
    <n v="0"/>
  </r>
  <r>
    <x v="12"/>
    <n v="16"/>
    <n v="1"/>
    <n v="3"/>
    <n v="3"/>
    <n v="0"/>
    <n v="716454"/>
    <n v="259999"/>
    <n v="39997"/>
    <n v="56497"/>
    <n v="0"/>
  </r>
  <r>
    <x v="13"/>
    <n v="8"/>
    <n v="1"/>
    <n v="1"/>
    <n v="1"/>
    <n v="0"/>
    <n v="328992"/>
    <n v="54999"/>
    <n v="16499"/>
    <n v="26999"/>
    <n v="0"/>
  </r>
  <r>
    <x v="14"/>
    <n v="9"/>
    <n v="0"/>
    <n v="5"/>
    <n v="4"/>
    <n v="0"/>
    <n v="312991"/>
    <n v="0"/>
    <n v="62995"/>
    <n v="78496"/>
    <n v="0"/>
  </r>
  <r>
    <x v="15"/>
    <n v="38"/>
    <n v="0"/>
    <n v="8"/>
    <n v="16"/>
    <n v="0"/>
    <n v="4655442"/>
    <n v="0"/>
    <n v="195504"/>
    <n v="688310"/>
    <n v="0"/>
  </r>
  <r>
    <x v="16"/>
    <n v="6"/>
    <n v="0"/>
    <n v="4"/>
    <n v="5"/>
    <n v="0"/>
    <n v="209485"/>
    <n v="0"/>
    <n v="44496"/>
    <n v="100995"/>
    <n v="0"/>
  </r>
  <r>
    <x v="17"/>
    <n v="9"/>
    <n v="2"/>
    <n v="2"/>
    <n v="2"/>
    <n v="0"/>
    <n v="381991"/>
    <n v="101998"/>
    <n v="38998"/>
    <n v="52998"/>
    <n v="0"/>
  </r>
  <r>
    <x v="18"/>
    <n v="7"/>
    <n v="0"/>
    <n v="3"/>
    <n v="7"/>
    <n v="0"/>
    <n v="335993"/>
    <n v="0"/>
    <n v="48838"/>
    <n v="195104"/>
    <n v="0"/>
  </r>
  <r>
    <x v="19"/>
    <n v="5"/>
    <n v="0"/>
    <n v="3"/>
    <n v="1"/>
    <n v="0"/>
    <n v="218986"/>
    <n v="0"/>
    <n v="43997"/>
    <n v="21999"/>
    <n v="0"/>
  </r>
  <r>
    <x v="20"/>
    <n v="8"/>
    <n v="0"/>
    <n v="4"/>
    <n v="3"/>
    <n v="0"/>
    <n v="265692"/>
    <n v="0"/>
    <n v="36996"/>
    <n v="52997"/>
    <n v="0"/>
  </r>
  <r>
    <x v="21"/>
    <n v="2"/>
    <n v="0"/>
    <n v="5"/>
    <n v="0"/>
    <n v="0"/>
    <n v="51848"/>
    <n v="0"/>
    <n v="54695"/>
    <n v="0"/>
    <n v="0"/>
  </r>
  <r>
    <x v="22"/>
    <n v="0"/>
    <n v="0"/>
    <n v="9"/>
    <n v="2"/>
    <n v="0"/>
    <n v="0"/>
    <n v="0"/>
    <n v="143473"/>
    <n v="45498"/>
    <n v="0"/>
  </r>
  <r>
    <x v="23"/>
    <n v="15"/>
    <n v="0"/>
    <n v="5"/>
    <n v="10"/>
    <n v="0"/>
    <n v="1080943"/>
    <n v="0"/>
    <n v="130874"/>
    <n v="393002"/>
    <n v="0"/>
  </r>
  <r>
    <x v="24"/>
    <n v="3"/>
    <n v="0"/>
    <n v="14"/>
    <n v="8"/>
    <n v="0"/>
    <n v="184479"/>
    <n v="0"/>
    <n v="180142"/>
    <n v="307118"/>
    <n v="0"/>
  </r>
  <r>
    <x v="25"/>
    <n v="9"/>
    <n v="1"/>
    <n v="5"/>
    <n v="3"/>
    <n v="0"/>
    <n v="470147"/>
    <n v="49900"/>
    <n v="79569"/>
    <n v="78479"/>
    <n v="0"/>
  </r>
  <r>
    <x v="26"/>
    <n v="2"/>
    <n v="0"/>
    <n v="8"/>
    <n v="2"/>
    <n v="0"/>
    <n v="86980"/>
    <n v="0"/>
    <n v="118428"/>
    <n v="62980"/>
    <n v="0"/>
  </r>
  <r>
    <x v="27"/>
    <n v="0"/>
    <n v="0"/>
    <n v="6"/>
    <n v="6"/>
    <n v="0"/>
    <n v="0"/>
    <n v="0"/>
    <n v="59994"/>
    <n v="100994"/>
    <n v="0"/>
  </r>
  <r>
    <x v="28"/>
    <n v="1"/>
    <n v="0"/>
    <n v="4"/>
    <n v="1"/>
    <n v="0"/>
    <n v="27599"/>
    <n v="0"/>
    <n v="46996"/>
    <n v="18499"/>
    <n v="0"/>
  </r>
  <r>
    <x v="29"/>
    <n v="7"/>
    <n v="0"/>
    <n v="5"/>
    <n v="6"/>
    <n v="0"/>
    <n v="387576"/>
    <n v="0"/>
    <n v="82208"/>
    <n v="189308"/>
    <n v="0"/>
  </r>
  <r>
    <x v="30"/>
    <n v="3"/>
    <n v="0"/>
    <n v="4"/>
    <n v="5"/>
    <n v="0"/>
    <n v="116189"/>
    <n v="0"/>
    <n v="70329"/>
    <n v="169968"/>
    <n v="0"/>
  </r>
  <r>
    <x v="31"/>
    <n v="0"/>
    <n v="0"/>
    <n v="2"/>
    <n v="7"/>
    <n v="0"/>
    <n v="0"/>
    <n v="0"/>
    <n v="21280"/>
    <n v="78678"/>
    <n v="0"/>
  </r>
  <r>
    <x v="32"/>
    <n v="6"/>
    <n v="0"/>
    <n v="8"/>
    <n v="8"/>
    <n v="0"/>
    <n v="276985"/>
    <n v="0"/>
    <n v="122146"/>
    <n v="352429"/>
    <n v="0"/>
  </r>
  <r>
    <x v="33"/>
    <n v="1"/>
    <n v="0"/>
    <n v="4"/>
    <n v="1"/>
    <n v="0"/>
    <n v="65900"/>
    <n v="0"/>
    <n v="61260"/>
    <n v="21990"/>
    <n v="0"/>
  </r>
  <r>
    <x v="34"/>
    <n v="2"/>
    <n v="0"/>
    <n v="3"/>
    <n v="3"/>
    <n v="0"/>
    <n v="117980"/>
    <n v="0"/>
    <n v="50770"/>
    <n v="104980"/>
    <n v="0"/>
  </r>
  <r>
    <x v="35"/>
    <n v="1"/>
    <n v="0"/>
    <n v="8"/>
    <n v="4"/>
    <n v="0"/>
    <n v="60859"/>
    <n v="0"/>
    <n v="164385"/>
    <n v="149408"/>
    <n v="0"/>
  </r>
  <r>
    <x v="36"/>
    <n v="2"/>
    <n v="0"/>
    <n v="2"/>
    <n v="0"/>
    <n v="0"/>
    <n v="92980"/>
    <n v="0"/>
    <n v="45489"/>
    <n v="0"/>
    <n v="0"/>
  </r>
  <r>
    <x v="37"/>
    <n v="4"/>
    <n v="0"/>
    <n v="2"/>
    <n v="3"/>
    <n v="0"/>
    <n v="206497"/>
    <n v="0"/>
    <n v="29988"/>
    <n v="54497"/>
    <n v="0"/>
  </r>
  <r>
    <x v="38"/>
    <n v="3"/>
    <n v="0"/>
    <n v="0"/>
    <n v="0"/>
    <n v="0"/>
    <n v="120979"/>
    <n v="0"/>
    <n v="0"/>
    <n v="0"/>
    <n v="0"/>
  </r>
  <r>
    <x v="39"/>
    <n v="3"/>
    <n v="2"/>
    <n v="6"/>
    <n v="0"/>
    <n v="0"/>
    <n v="132889"/>
    <n v="121980"/>
    <n v="80738"/>
    <n v="0"/>
    <n v="0"/>
  </r>
  <r>
    <x v="40"/>
    <n v="4"/>
    <n v="1"/>
    <n v="1"/>
    <n v="0"/>
    <n v="0"/>
    <n v="238570"/>
    <n v="55947"/>
    <n v="17500"/>
    <n v="0"/>
    <n v="0"/>
  </r>
  <r>
    <x v="41"/>
    <n v="1"/>
    <n v="0"/>
    <n v="3"/>
    <n v="0"/>
    <n v="0"/>
    <n v="24990"/>
    <n v="0"/>
    <n v="52979"/>
    <n v="0"/>
    <n v="0"/>
  </r>
  <r>
    <x v="42"/>
    <n v="0"/>
    <n v="0"/>
    <n v="1"/>
    <n v="0"/>
    <n v="0"/>
    <n v="0"/>
    <n v="0"/>
    <n v="24999"/>
    <n v="0"/>
    <n v="0"/>
  </r>
  <r>
    <x v="43"/>
    <n v="1"/>
    <n v="2"/>
    <n v="1"/>
    <n v="1"/>
    <n v="0"/>
    <n v="32999"/>
    <n v="159998"/>
    <n v="13999"/>
    <n v="22999"/>
    <n v="0"/>
  </r>
  <r>
    <x v="44"/>
    <n v="2"/>
    <n v="0"/>
    <n v="4"/>
    <n v="0"/>
    <n v="0"/>
    <n v="63998"/>
    <n v="0"/>
    <n v="44996"/>
    <n v="0"/>
    <n v="0"/>
  </r>
  <r>
    <x v="45"/>
    <n v="0"/>
    <n v="0"/>
    <n v="3"/>
    <n v="4"/>
    <n v="0"/>
    <n v="0"/>
    <n v="0"/>
    <n v="52299"/>
    <n v="139086"/>
    <n v="0"/>
  </r>
  <r>
    <x v="46"/>
    <n v="1"/>
    <n v="0"/>
    <n v="2"/>
    <n v="0"/>
    <n v="0"/>
    <n v="35199"/>
    <n v="0"/>
    <n v="19133"/>
    <n v="0"/>
    <n v="0"/>
  </r>
  <r>
    <x v="47"/>
    <n v="4"/>
    <n v="0"/>
    <n v="2"/>
    <n v="0"/>
    <n v="0"/>
    <n v="164989"/>
    <n v="0"/>
    <n v="29989"/>
    <n v="0"/>
    <n v="0"/>
  </r>
  <r>
    <x v="48"/>
    <n v="2"/>
    <n v="0"/>
    <n v="4"/>
    <n v="2"/>
    <n v="0"/>
    <n v="51898"/>
    <n v="0"/>
    <n v="51969"/>
    <n v="31480"/>
    <n v="0"/>
  </r>
  <r>
    <x v="49"/>
    <n v="0"/>
    <n v="0"/>
    <n v="1"/>
    <n v="0"/>
    <n v="0"/>
    <n v="0"/>
    <n v="0"/>
    <n v="8659"/>
    <n v="0"/>
    <n v="0"/>
  </r>
  <r>
    <x v="50"/>
    <n v="0"/>
    <n v="0"/>
    <n v="1"/>
    <n v="0"/>
    <n v="0"/>
    <n v="0"/>
    <n v="0"/>
    <n v="7499"/>
    <n v="0"/>
    <n v="0"/>
  </r>
  <r>
    <x v="51"/>
    <n v="2"/>
    <n v="0"/>
    <n v="0"/>
    <n v="0"/>
    <n v="0"/>
    <n v="90998"/>
    <n v="0"/>
    <n v="0"/>
    <n v="0"/>
    <n v="0"/>
  </r>
  <r>
    <x v="52"/>
    <n v="0"/>
    <n v="0"/>
    <n v="1"/>
    <n v="3"/>
    <n v="0"/>
    <n v="0"/>
    <n v="0"/>
    <n v="7490"/>
    <n v="43779"/>
    <n v="0"/>
  </r>
  <r>
    <x v="53"/>
    <n v="0"/>
    <n v="0"/>
    <n v="4"/>
    <n v="0"/>
    <n v="0"/>
    <n v="0"/>
    <n v="0"/>
    <n v="26896"/>
    <n v="0"/>
    <n v="0"/>
  </r>
  <r>
    <x v="54"/>
    <n v="1"/>
    <n v="0"/>
    <n v="2"/>
    <n v="5"/>
    <n v="0"/>
    <n v="37396"/>
    <n v="0"/>
    <n v="24210"/>
    <n v="1135770"/>
    <n v="0"/>
  </r>
  <r>
    <x v="55"/>
    <n v="0"/>
    <n v="0"/>
    <n v="3"/>
    <n v="0"/>
    <n v="0"/>
    <n v="0"/>
    <n v="0"/>
    <n v="17597"/>
    <n v="0"/>
    <n v="0"/>
  </r>
  <r>
    <x v="56"/>
    <n v="2"/>
    <n v="0"/>
    <n v="0"/>
    <n v="3"/>
    <n v="0"/>
    <n v="100980"/>
    <n v="0"/>
    <n v="0"/>
    <n v="115970"/>
    <n v="0"/>
  </r>
  <r>
    <x v="57"/>
    <n v="4"/>
    <n v="0"/>
    <n v="3"/>
    <n v="1"/>
    <n v="0"/>
    <n v="225740"/>
    <n v="0"/>
    <n v="39970"/>
    <n v="17990"/>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12">
  <r>
    <x v="0"/>
    <x v="0"/>
    <x v="0"/>
    <n v="55"/>
    <n v="37999"/>
    <n v="54990"/>
    <x v="0"/>
    <n v="4.3"/>
    <n v="16991"/>
    <x v="0"/>
    <n v="-16991"/>
    <n v="-0.44714334587752308"/>
    <x v="0"/>
    <s v="Medium Ratings"/>
    <n v="46990"/>
    <n v="29999"/>
  </r>
  <r>
    <x v="1"/>
    <x v="1"/>
    <x v="1"/>
    <n v="55"/>
    <n v="52999"/>
    <n v="129990"/>
    <x v="1"/>
    <n v="4.4000000000000004"/>
    <n v="76991"/>
    <x v="1"/>
    <n v="-76991"/>
    <n v="-1.4526877865620107"/>
    <x v="1"/>
    <s v="Medium Ratings"/>
    <n v="77990"/>
    <n v="40999"/>
  </r>
  <r>
    <x v="2"/>
    <x v="2"/>
    <x v="2"/>
    <n v="32"/>
    <n v="13999"/>
    <n v="17999"/>
    <x v="1"/>
    <n v="4.3"/>
    <n v="4000"/>
    <x v="2"/>
    <n v="-4000"/>
    <n v="-0.28573469533538109"/>
    <x v="0"/>
    <s v="Medium Ratings"/>
    <n v="23999"/>
    <n v="17999"/>
  </r>
  <r>
    <x v="3"/>
    <x v="3"/>
    <x v="2"/>
    <n v="32"/>
    <n v="14999"/>
    <n v="19999"/>
    <x v="1"/>
    <n v="4.4000000000000004"/>
    <n v="5000"/>
    <x v="0"/>
    <n v="-5000"/>
    <n v="-0.33335555703713582"/>
    <x v="0"/>
    <s v="Medium Ratings"/>
    <n v="34999"/>
    <n v="27999"/>
  </r>
  <r>
    <x v="2"/>
    <x v="2"/>
    <x v="2"/>
    <n v="32"/>
    <n v="12999"/>
    <n v="21999"/>
    <x v="1"/>
    <n v="4.3"/>
    <n v="9000"/>
    <x v="3"/>
    <n v="-9000"/>
    <n v="-0.69236095084237248"/>
    <x v="0"/>
    <s v="Medium Ratings"/>
    <n v="23999"/>
    <n v="17999"/>
  </r>
  <r>
    <x v="4"/>
    <x v="4"/>
    <x v="2"/>
    <n v="32"/>
    <n v="15999"/>
    <n v="19999"/>
    <x v="1"/>
    <n v="4.3"/>
    <n v="4000"/>
    <x v="2"/>
    <n v="-4000"/>
    <n v="-0.25001562597662352"/>
    <x v="0"/>
    <s v="Medium Ratings"/>
    <n v="59999"/>
    <n v="49999"/>
  </r>
  <r>
    <x v="4"/>
    <x v="4"/>
    <x v="3"/>
    <n v="43"/>
    <n v="25999"/>
    <n v="29999"/>
    <x v="1"/>
    <n v="4.3"/>
    <n v="4000"/>
    <x v="4"/>
    <n v="-4000"/>
    <n v="-0.15385207123350897"/>
    <x v="2"/>
    <s v="Medium Ratings"/>
    <n v="59999"/>
    <n v="49999"/>
  </r>
  <r>
    <x v="1"/>
    <x v="1"/>
    <x v="0"/>
    <n v="65"/>
    <n v="57999"/>
    <n v="119990"/>
    <x v="1"/>
    <n v="4.2"/>
    <n v="61991"/>
    <x v="5"/>
    <n v="-61991"/>
    <n v="-1.0688287729098778"/>
    <x v="1"/>
    <s v="Medium Ratings"/>
    <n v="77990"/>
    <n v="40999"/>
  </r>
  <r>
    <x v="3"/>
    <x v="3"/>
    <x v="3"/>
    <n v="40"/>
    <n v="21999"/>
    <n v="29999"/>
    <x v="1"/>
    <n v="4.3"/>
    <n v="8000"/>
    <x v="0"/>
    <n v="-8000"/>
    <n v="-0.36365289331333245"/>
    <x v="0"/>
    <s v="Medium Ratings"/>
    <n v="34999"/>
    <n v="27999"/>
  </r>
  <r>
    <x v="2"/>
    <x v="2"/>
    <x v="0"/>
    <n v="43"/>
    <n v="26999"/>
    <n v="32999"/>
    <x v="1"/>
    <n v="4.3"/>
    <n v="6000"/>
    <x v="2"/>
    <n v="-6000"/>
    <n v="-0.22223045297973998"/>
    <x v="0"/>
    <s v="Medium Ratings"/>
    <n v="23999"/>
    <n v="17999"/>
  </r>
  <r>
    <x v="3"/>
    <x v="3"/>
    <x v="0"/>
    <n v="43"/>
    <n v="27999"/>
    <n v="34999"/>
    <x v="1"/>
    <n v="4.3"/>
    <n v="7000"/>
    <x v="2"/>
    <n v="-7000"/>
    <n v="-0.25000892889031751"/>
    <x v="0"/>
    <s v="Medium Ratings"/>
    <n v="34999"/>
    <n v="27999"/>
  </r>
  <r>
    <x v="5"/>
    <x v="5"/>
    <x v="0"/>
    <n v="55"/>
    <n v="36999"/>
    <n v="49990"/>
    <x v="1"/>
    <n v="4.4000000000000004"/>
    <n v="12991"/>
    <x v="0"/>
    <n v="-12991"/>
    <n v="-0.35111759777291279"/>
    <x v="0"/>
    <s v="Medium Ratings"/>
    <n v="50490"/>
    <n v="39499"/>
  </r>
  <r>
    <x v="3"/>
    <x v="3"/>
    <x v="0"/>
    <n v="50"/>
    <n v="35999"/>
    <n v="41999"/>
    <x v="1"/>
    <n v="4.3"/>
    <n v="6000"/>
    <x v="4"/>
    <n v="-6000"/>
    <n v="-0.16667129642490069"/>
    <x v="2"/>
    <s v="Medium Ratings"/>
    <n v="34999"/>
    <n v="27999"/>
  </r>
  <r>
    <x v="3"/>
    <x v="3"/>
    <x v="2"/>
    <n v="32"/>
    <n v="15499"/>
    <n v="19999"/>
    <x v="1"/>
    <n v="4.3"/>
    <n v="4500"/>
    <x v="2"/>
    <n v="-4500"/>
    <n v="-0.29034131234273181"/>
    <x v="0"/>
    <s v="Medium Ratings"/>
    <n v="34999"/>
    <n v="27999"/>
  </r>
  <r>
    <x v="3"/>
    <x v="3"/>
    <x v="2"/>
    <n v="32"/>
    <n v="14999"/>
    <n v="19999"/>
    <x v="1"/>
    <n v="4.3"/>
    <n v="5000"/>
    <x v="0"/>
    <n v="-5000"/>
    <n v="-0.33335555703713582"/>
    <x v="0"/>
    <s v="Medium Ratings"/>
    <n v="34999"/>
    <n v="27999"/>
  </r>
  <r>
    <x v="5"/>
    <x v="5"/>
    <x v="0"/>
    <n v="70"/>
    <n v="89999"/>
    <n v="119990"/>
    <x v="1"/>
    <n v="4.4000000000000004"/>
    <n v="29991"/>
    <x v="2"/>
    <n v="-29991"/>
    <n v="-0.33323703596706628"/>
    <x v="0"/>
    <s v="Medium Ratings"/>
    <n v="50490"/>
    <n v="39499"/>
  </r>
  <r>
    <x v="6"/>
    <x v="6"/>
    <x v="2"/>
    <n v="32"/>
    <n v="17499"/>
    <n v="21990"/>
    <x v="2"/>
    <n v="4.4000000000000004"/>
    <n v="4491"/>
    <x v="2"/>
    <n v="-4491"/>
    <n v="-0.25664323675638606"/>
    <x v="0"/>
    <s v="Medium Ratings"/>
    <n v="98990"/>
    <n v="76737"/>
  </r>
  <r>
    <x v="3"/>
    <x v="3"/>
    <x v="3"/>
    <n v="43"/>
    <n v="25999"/>
    <n v="31999"/>
    <x v="1"/>
    <n v="4.3"/>
    <n v="6000"/>
    <x v="2"/>
    <n v="-6000"/>
    <n v="-0.23077810685026348"/>
    <x v="0"/>
    <s v="Medium Ratings"/>
    <n v="34999"/>
    <n v="27999"/>
  </r>
  <r>
    <x v="3"/>
    <x v="3"/>
    <x v="0"/>
    <n v="55"/>
    <n v="45999"/>
    <n v="69999"/>
    <x v="1"/>
    <n v="4.2"/>
    <n v="24000"/>
    <x v="0"/>
    <n v="-24000"/>
    <n v="-0.521750472836366"/>
    <x v="0"/>
    <s v="Medium Ratings"/>
    <n v="34999"/>
    <n v="27999"/>
  </r>
  <r>
    <x v="0"/>
    <x v="0"/>
    <x v="0"/>
    <n v="43"/>
    <n v="27999"/>
    <n v="39990"/>
    <x v="0"/>
    <n v="4.3"/>
    <n v="11991"/>
    <x v="0"/>
    <n v="-11991"/>
    <n v="-0.42826529518911388"/>
    <x v="0"/>
    <s v="Medium Ratings"/>
    <n v="46990"/>
    <n v="29999"/>
  </r>
  <r>
    <x v="7"/>
    <x v="7"/>
    <x v="2"/>
    <n v="32"/>
    <n v="9999"/>
    <n v="19999"/>
    <x v="3"/>
    <n v="4.3"/>
    <n v="10000"/>
    <x v="5"/>
    <n v="-10000"/>
    <n v="-1.000100010001"/>
    <x v="1"/>
    <s v="Medium Ratings"/>
    <n v="17499"/>
    <n v="10249"/>
  </r>
  <r>
    <x v="3"/>
    <x v="3"/>
    <x v="0"/>
    <n v="43"/>
    <n v="31999"/>
    <n v="49999"/>
    <x v="1"/>
    <n v="4.2"/>
    <n v="18000"/>
    <x v="3"/>
    <n v="-18000"/>
    <n v="-0.56251757867433361"/>
    <x v="0"/>
    <s v="Medium Ratings"/>
    <n v="34999"/>
    <n v="27999"/>
  </r>
  <r>
    <x v="8"/>
    <x v="8"/>
    <x v="0"/>
    <n v="55"/>
    <n v="32999"/>
    <n v="70990"/>
    <x v="1"/>
    <n v="4.3"/>
    <n v="37991"/>
    <x v="5"/>
    <n v="-37991"/>
    <n v="-1.1512773114336798"/>
    <x v="1"/>
    <s v="Medium Ratings"/>
    <n v="76990"/>
    <n v="36999"/>
  </r>
  <r>
    <x v="1"/>
    <x v="1"/>
    <x v="0"/>
    <n v="50"/>
    <n v="33999"/>
    <n v="62990"/>
    <x v="1"/>
    <n v="4.4000000000000004"/>
    <n v="28991"/>
    <x v="5"/>
    <n v="-28991"/>
    <n v="-0.85270155004558956"/>
    <x v="1"/>
    <s v="Medium Ratings"/>
    <n v="77990"/>
    <n v="40999"/>
  </r>
  <r>
    <x v="4"/>
    <x v="4"/>
    <x v="3"/>
    <n v="40"/>
    <n v="22499"/>
    <n v="27999"/>
    <x v="1"/>
    <n v="4.3"/>
    <n v="5500"/>
    <x v="2"/>
    <n v="-5500"/>
    <n v="-0.24445530912485"/>
    <x v="0"/>
    <s v="Medium Ratings"/>
    <n v="59999"/>
    <n v="49999"/>
  </r>
  <r>
    <x v="9"/>
    <x v="9"/>
    <x v="2"/>
    <n v="32"/>
    <n v="10999"/>
    <n v="36990"/>
    <x v="1"/>
    <n v="4.2"/>
    <n v="25991"/>
    <x v="6"/>
    <n v="-25991"/>
    <n v="-2.3630330030002726"/>
    <x v="1"/>
    <s v="Medium Ratings"/>
    <n v="54990"/>
    <n v="25999"/>
  </r>
  <r>
    <x v="0"/>
    <x v="0"/>
    <x v="2"/>
    <n v="32"/>
    <n v="12499"/>
    <n v="14990"/>
    <x v="0"/>
    <n v="4.4000000000000004"/>
    <n v="2491"/>
    <x v="2"/>
    <n v="-2491"/>
    <n v="-0.19929594367549405"/>
    <x v="0"/>
    <s v="Medium Ratings"/>
    <n v="46990"/>
    <n v="29999"/>
  </r>
  <r>
    <x v="3"/>
    <x v="3"/>
    <x v="3"/>
    <n v="43"/>
    <n v="24999"/>
    <n v="34999"/>
    <x v="1"/>
    <n v="4.3"/>
    <n v="10000"/>
    <x v="0"/>
    <n v="-10000"/>
    <n v="-0.40001600064002563"/>
    <x v="0"/>
    <s v="Medium Ratings"/>
    <n v="34999"/>
    <n v="27999"/>
  </r>
  <r>
    <x v="10"/>
    <x v="10"/>
    <x v="0"/>
    <n v="43"/>
    <n v="38990"/>
    <n v="54900"/>
    <x v="4"/>
    <n v="4.3"/>
    <n v="15910"/>
    <x v="0"/>
    <n v="-15910"/>
    <n v="-0.40805334701205437"/>
    <x v="0"/>
    <s v="Medium Ratings"/>
    <n v="100945"/>
    <n v="74490"/>
  </r>
  <r>
    <x v="3"/>
    <x v="3"/>
    <x v="0"/>
    <n v="55"/>
    <n v="42999"/>
    <n v="49999"/>
    <x v="1"/>
    <n v="4.3"/>
    <n v="7000"/>
    <x v="4"/>
    <n v="-7000"/>
    <n v="-0.16279448359264168"/>
    <x v="2"/>
    <s v="Medium Ratings"/>
    <n v="34999"/>
    <n v="27999"/>
  </r>
  <r>
    <x v="6"/>
    <x v="6"/>
    <x v="3"/>
    <n v="43"/>
    <n v="33490"/>
    <n v="40990"/>
    <x v="5"/>
    <n v="4.4000000000000004"/>
    <n v="7500"/>
    <x v="2"/>
    <n v="-7500"/>
    <n v="-0.22394744699910421"/>
    <x v="0"/>
    <s v="Medium Ratings"/>
    <n v="98990"/>
    <n v="76737"/>
  </r>
  <r>
    <x v="11"/>
    <x v="11"/>
    <x v="3"/>
    <n v="43"/>
    <n v="20499"/>
    <n v="24999"/>
    <x v="1"/>
    <n v="4.2"/>
    <n v="4500"/>
    <x v="2"/>
    <n v="-4500"/>
    <n v="-0.21952290355627105"/>
    <x v="0"/>
    <s v="Medium Ratings"/>
    <n v="24999"/>
    <n v="18999"/>
  </r>
  <r>
    <x v="3"/>
    <x v="3"/>
    <x v="0"/>
    <n v="50"/>
    <n v="41999"/>
    <n v="59999"/>
    <x v="1"/>
    <n v="4.2"/>
    <n v="18000"/>
    <x v="0"/>
    <n v="-18000"/>
    <n v="-0.42858163289602136"/>
    <x v="0"/>
    <s v="Medium Ratings"/>
    <n v="34999"/>
    <n v="27999"/>
  </r>
  <r>
    <x v="11"/>
    <x v="11"/>
    <x v="2"/>
    <n v="32"/>
    <n v="11999"/>
    <n v="17999"/>
    <x v="1"/>
    <n v="4.2"/>
    <n v="6000"/>
    <x v="0"/>
    <n v="-6000"/>
    <n v="-0.50004167013917822"/>
    <x v="0"/>
    <s v="Medium Ratings"/>
    <n v="24999"/>
    <n v="18999"/>
  </r>
  <r>
    <x v="6"/>
    <x v="6"/>
    <x v="0"/>
    <n v="55"/>
    <n v="52999"/>
    <n v="79990"/>
    <x v="5"/>
    <n v="4.4000000000000004"/>
    <n v="26991"/>
    <x v="0"/>
    <n v="-26991"/>
    <n v="-0.50927375988226198"/>
    <x v="0"/>
    <s v="Medium Ratings"/>
    <n v="98990"/>
    <n v="76737"/>
  </r>
  <r>
    <x v="12"/>
    <x v="12"/>
    <x v="0"/>
    <n v="55"/>
    <n v="46999"/>
    <n v="85000"/>
    <x v="1"/>
    <n v="4.4000000000000004"/>
    <n v="38001"/>
    <x v="3"/>
    <n v="-38001"/>
    <n v="-0.80854911806634189"/>
    <x v="0"/>
    <s v="Medium Ratings"/>
    <n v="49990"/>
    <n v="30999"/>
  </r>
  <r>
    <x v="13"/>
    <x v="13"/>
    <x v="0"/>
    <n v="43"/>
    <n v="32999"/>
    <n v="48999"/>
    <x v="1"/>
    <n v="4.4000000000000004"/>
    <n v="16000"/>
    <x v="0"/>
    <n v="-16000"/>
    <n v="-0.48486317767205067"/>
    <x v="0"/>
    <s v="Medium Ratings"/>
    <n v="59999"/>
    <n v="39999"/>
  </r>
  <r>
    <x v="12"/>
    <x v="12"/>
    <x v="0"/>
    <n v="43"/>
    <n v="31000"/>
    <n v="39999"/>
    <x v="1"/>
    <n v="4.4000000000000004"/>
    <n v="8999"/>
    <x v="2"/>
    <n v="-8999"/>
    <n v="-0.29029032258064519"/>
    <x v="0"/>
    <s v="Medium Ratings"/>
    <n v="49990"/>
    <n v="30999"/>
  </r>
  <r>
    <x v="13"/>
    <x v="13"/>
    <x v="0"/>
    <n v="50"/>
    <n v="39999"/>
    <n v="59999"/>
    <x v="1"/>
    <n v="4.4000000000000004"/>
    <n v="20000"/>
    <x v="0"/>
    <n v="-20000"/>
    <n v="-0.50001250031250777"/>
    <x v="0"/>
    <s v="Medium Ratings"/>
    <n v="59999"/>
    <n v="39999"/>
  </r>
  <r>
    <x v="14"/>
    <x v="14"/>
    <x v="0"/>
    <n v="50"/>
    <n v="32999"/>
    <n v="40999"/>
    <x v="1"/>
    <n v="4.4000000000000004"/>
    <n v="8000"/>
    <x v="2"/>
    <n v="-8000"/>
    <n v="-0.24243158883602534"/>
    <x v="0"/>
    <s v="Medium Ratings"/>
    <n v="28999"/>
    <n v="21749"/>
  </r>
  <r>
    <x v="14"/>
    <x v="14"/>
    <x v="2"/>
    <n v="24"/>
    <n v="8499"/>
    <n v="10499"/>
    <x v="1"/>
    <n v="4.0999999999999996"/>
    <n v="2000"/>
    <x v="2"/>
    <n v="-2000"/>
    <n v="-0.23532180256500765"/>
    <x v="0"/>
    <s v="Medium Ratings"/>
    <n v="28999"/>
    <n v="21749"/>
  </r>
  <r>
    <x v="3"/>
    <x v="3"/>
    <x v="1"/>
    <n v="55"/>
    <n v="58999"/>
    <n v="59999"/>
    <x v="1"/>
    <n v="4.4000000000000004"/>
    <n v="1000"/>
    <x v="7"/>
    <n v="-1000"/>
    <n v="-1.6949439821013917E-2"/>
    <x v="2"/>
    <s v="Medium Ratings"/>
    <n v="34999"/>
    <n v="27999"/>
  </r>
  <r>
    <x v="4"/>
    <x v="4"/>
    <x v="0"/>
    <n v="55"/>
    <n v="49999"/>
    <n v="59999"/>
    <x v="1"/>
    <n v="4.3"/>
    <n v="10000"/>
    <x v="2"/>
    <n v="-10000"/>
    <n v="-0.2000040000800016"/>
    <x v="0"/>
    <s v="Medium Ratings"/>
    <n v="59999"/>
    <n v="49999"/>
  </r>
  <r>
    <x v="12"/>
    <x v="12"/>
    <x v="0"/>
    <n v="50"/>
    <n v="40999"/>
    <n v="65000"/>
    <x v="1"/>
    <n v="4.4000000000000004"/>
    <n v="24001"/>
    <x v="3"/>
    <n v="-24001"/>
    <n v="-0.58540452206151372"/>
    <x v="0"/>
    <s v="Medium Ratings"/>
    <n v="49990"/>
    <n v="30999"/>
  </r>
  <r>
    <x v="6"/>
    <x v="6"/>
    <x v="0"/>
    <n v="43"/>
    <n v="42990"/>
    <n v="59990"/>
    <x v="5"/>
    <n v="4.5"/>
    <n v="17000"/>
    <x v="0"/>
    <n v="-17000"/>
    <n v="-0.39544080018608979"/>
    <x v="0"/>
    <s v="Good Ratings"/>
    <n v="98990"/>
    <n v="76737"/>
  </r>
  <r>
    <x v="8"/>
    <x v="8"/>
    <x v="0"/>
    <n v="43"/>
    <n v="24999"/>
    <n v="47990"/>
    <x v="1"/>
    <n v="4.3"/>
    <n v="22991"/>
    <x v="5"/>
    <n v="-22991"/>
    <n v="-0.91967678707148282"/>
    <x v="1"/>
    <s v="Medium Ratings"/>
    <n v="76990"/>
    <n v="36999"/>
  </r>
  <r>
    <x v="13"/>
    <x v="13"/>
    <x v="0"/>
    <n v="43"/>
    <n v="31999"/>
    <n v="45999"/>
    <x v="1"/>
    <n v="4.0999999999999996"/>
    <n v="14000"/>
    <x v="0"/>
    <n v="-14000"/>
    <n v="-0.43751367230225946"/>
    <x v="0"/>
    <s v="Medium Ratings"/>
    <n v="59999"/>
    <n v="39999"/>
  </r>
  <r>
    <x v="14"/>
    <x v="14"/>
    <x v="3"/>
    <n v="42"/>
    <n v="20499"/>
    <n v="27999"/>
    <x v="1"/>
    <n v="4.3"/>
    <n v="7500"/>
    <x v="0"/>
    <n v="-7500"/>
    <n v="-0.36587150592711842"/>
    <x v="0"/>
    <s v="Medium Ratings"/>
    <n v="28999"/>
    <n v="21749"/>
  </r>
  <r>
    <x v="14"/>
    <x v="14"/>
    <x v="0"/>
    <n v="55"/>
    <n v="34999"/>
    <n v="46999"/>
    <x v="1"/>
    <n v="4.2"/>
    <n v="12000"/>
    <x v="0"/>
    <n v="-12000"/>
    <n v="-0.34286693905540161"/>
    <x v="0"/>
    <s v="Medium Ratings"/>
    <n v="28999"/>
    <n v="21749"/>
  </r>
  <r>
    <x v="8"/>
    <x v="8"/>
    <x v="3"/>
    <n v="43"/>
    <n v="21999"/>
    <n v="44990"/>
    <x v="1"/>
    <n v="4.2"/>
    <n v="22991"/>
    <x v="5"/>
    <n v="-22991"/>
    <n v="-1.0450929587708533"/>
    <x v="1"/>
    <s v="Medium Ratings"/>
    <n v="76990"/>
    <n v="36999"/>
  </r>
  <r>
    <x v="13"/>
    <x v="13"/>
    <x v="0"/>
    <n v="55"/>
    <n v="44999"/>
    <n v="62999"/>
    <x v="1"/>
    <n v="4.4000000000000004"/>
    <n v="18000"/>
    <x v="0"/>
    <n v="-18000"/>
    <n v="-0.40000888908642412"/>
    <x v="0"/>
    <s v="Medium Ratings"/>
    <n v="59999"/>
    <n v="39999"/>
  </r>
  <r>
    <x v="15"/>
    <x v="15"/>
    <x v="2"/>
    <n v="32"/>
    <n v="25490"/>
    <n v="29900"/>
    <x v="2"/>
    <n v="4.5"/>
    <n v="4410"/>
    <x v="4"/>
    <n v="-4410"/>
    <n v="-0.1730090231463319"/>
    <x v="2"/>
    <s v="Good Ratings"/>
    <n v="87400"/>
    <n v="64294.5"/>
  </r>
  <r>
    <x v="14"/>
    <x v="14"/>
    <x v="0"/>
    <n v="50"/>
    <n v="31999"/>
    <n v="42999"/>
    <x v="1"/>
    <n v="4.2"/>
    <n v="11000"/>
    <x v="0"/>
    <n v="-11000"/>
    <n v="-0.34376074252320388"/>
    <x v="0"/>
    <s v="Medium Ratings"/>
    <n v="28999"/>
    <n v="21749"/>
  </r>
  <r>
    <x v="16"/>
    <x v="16"/>
    <x v="0"/>
    <n v="55"/>
    <n v="36999"/>
    <n v="47999"/>
    <x v="1"/>
    <n v="4.4000000000000004"/>
    <n v="11000"/>
    <x v="2"/>
    <n v="-11000"/>
    <n v="-0.29730533257655611"/>
    <x v="0"/>
    <s v="Medium Ratings"/>
    <n v="31990"/>
    <n v="22499"/>
  </r>
  <r>
    <x v="17"/>
    <x v="17"/>
    <x v="0"/>
    <n v="43"/>
    <n v="32999"/>
    <n v="46999"/>
    <x v="1"/>
    <n v="4.3"/>
    <n v="14000"/>
    <x v="0"/>
    <n v="-14000"/>
    <n v="-0.42425528046304434"/>
    <x v="0"/>
    <s v="Medium Ratings"/>
    <n v="54050"/>
    <n v="35999"/>
  </r>
  <r>
    <x v="14"/>
    <x v="14"/>
    <x v="3"/>
    <n v="40"/>
    <n v="19499"/>
    <n v="21499"/>
    <x v="1"/>
    <n v="4.4000000000000004"/>
    <n v="2000"/>
    <x v="4"/>
    <n v="-2000"/>
    <n v="-0.10256936253141187"/>
    <x v="2"/>
    <s v="Medium Ratings"/>
    <n v="28999"/>
    <n v="21749"/>
  </r>
  <r>
    <x v="10"/>
    <x v="10"/>
    <x v="2"/>
    <n v="32"/>
    <n v="18490"/>
    <n v="20900"/>
    <x v="4"/>
    <n v="4.3"/>
    <n v="2410"/>
    <x v="4"/>
    <n v="-2410"/>
    <n v="-0.13034072471606273"/>
    <x v="2"/>
    <s v="Medium Ratings"/>
    <n v="100945"/>
    <n v="74490"/>
  </r>
  <r>
    <x v="6"/>
    <x v="6"/>
    <x v="0"/>
    <n v="50"/>
    <n v="49999"/>
    <n v="64990"/>
    <x v="5"/>
    <n v="4.4000000000000004"/>
    <n v="14991"/>
    <x v="2"/>
    <n v="-14991"/>
    <n v="-0.29982599651993042"/>
    <x v="0"/>
    <s v="Medium Ratings"/>
    <n v="98990"/>
    <n v="76737"/>
  </r>
  <r>
    <x v="8"/>
    <x v="8"/>
    <x v="0"/>
    <n v="55"/>
    <n v="35999"/>
    <n v="106990"/>
    <x v="1"/>
    <n v="4.3"/>
    <n v="70991"/>
    <x v="6"/>
    <n v="-70991"/>
    <n v="-1.9720270007500209"/>
    <x v="1"/>
    <s v="Medium Ratings"/>
    <n v="76990"/>
    <n v="36999"/>
  </r>
  <r>
    <x v="14"/>
    <x v="14"/>
    <x v="2"/>
    <n v="32"/>
    <n v="11999"/>
    <n v="14499"/>
    <x v="1"/>
    <n v="4.4000000000000004"/>
    <n v="2500"/>
    <x v="2"/>
    <n v="-2500"/>
    <n v="-0.20835069589132427"/>
    <x v="0"/>
    <s v="Medium Ratings"/>
    <n v="28999"/>
    <n v="21749"/>
  </r>
  <r>
    <x v="17"/>
    <x v="17"/>
    <x v="1"/>
    <n v="50"/>
    <n v="45999"/>
    <n v="59999"/>
    <x v="1"/>
    <n v="4.3"/>
    <n v="14000"/>
    <x v="2"/>
    <n v="-14000"/>
    <n v="-0.30435444248788018"/>
    <x v="0"/>
    <s v="Medium Ratings"/>
    <n v="54050"/>
    <n v="35999"/>
  </r>
  <r>
    <x v="17"/>
    <x v="17"/>
    <x v="3"/>
    <n v="40"/>
    <n v="24999"/>
    <n v="39999"/>
    <x v="1"/>
    <n v="4.4000000000000004"/>
    <n v="15000"/>
    <x v="3"/>
    <n v="-15000"/>
    <n v="-0.60002400096003838"/>
    <x v="0"/>
    <s v="Medium Ratings"/>
    <n v="54050"/>
    <n v="35999"/>
  </r>
  <r>
    <x v="16"/>
    <x v="16"/>
    <x v="2"/>
    <n v="32"/>
    <n v="12999"/>
    <n v="18499"/>
    <x v="1"/>
    <n v="4.4000000000000004"/>
    <n v="5500"/>
    <x v="0"/>
    <n v="-5500"/>
    <n v="-0.42310946995922766"/>
    <x v="0"/>
    <s v="Medium Ratings"/>
    <n v="31990"/>
    <n v="22499"/>
  </r>
  <r>
    <x v="10"/>
    <x v="10"/>
    <x v="0"/>
    <n v="50"/>
    <n v="51990"/>
    <n v="71400"/>
    <x v="4"/>
    <n v="4.3"/>
    <n v="19410"/>
    <x v="0"/>
    <n v="-19410"/>
    <n v="-0.37334102712060013"/>
    <x v="0"/>
    <s v="Medium Ratings"/>
    <n v="100945"/>
    <n v="74490"/>
  </r>
  <r>
    <x v="17"/>
    <x v="17"/>
    <x v="2"/>
    <n v="32"/>
    <n v="20999"/>
    <n v="29999"/>
    <x v="1"/>
    <n v="4.4000000000000004"/>
    <n v="9000"/>
    <x v="0"/>
    <n v="-9000"/>
    <n v="-0.42859183770655745"/>
    <x v="0"/>
    <s v="Medium Ratings"/>
    <n v="54050"/>
    <n v="35999"/>
  </r>
  <r>
    <x v="1"/>
    <x v="1"/>
    <x v="1"/>
    <n v="50"/>
    <n v="45999"/>
    <n v="109990"/>
    <x v="1"/>
    <n v="4.4000000000000004"/>
    <n v="63991"/>
    <x v="1"/>
    <n v="-63991"/>
    <n v="-1.3911389378029957"/>
    <x v="1"/>
    <s v="Medium Ratings"/>
    <n v="77990"/>
    <n v="40999"/>
  </r>
  <r>
    <x v="15"/>
    <x v="15"/>
    <x v="3"/>
    <n v="43"/>
    <n v="43490"/>
    <n v="44900"/>
    <x v="2"/>
    <n v="4.5"/>
    <n v="1410"/>
    <x v="7"/>
    <n v="-1410"/>
    <n v="-3.2421246263508854E-2"/>
    <x v="2"/>
    <s v="Good Ratings"/>
    <n v="87400"/>
    <n v="64294.5"/>
  </r>
  <r>
    <x v="18"/>
    <x v="18"/>
    <x v="0"/>
    <n v="58"/>
    <n v="45999"/>
    <n v="89990"/>
    <x v="1"/>
    <n v="4.2"/>
    <n v="43991"/>
    <x v="5"/>
    <n v="-43991"/>
    <n v="-0.95634687710602406"/>
    <x v="1"/>
    <s v="Medium Ratings"/>
    <n v="44990"/>
    <n v="33459"/>
  </r>
  <r>
    <x v="9"/>
    <x v="9"/>
    <x v="0"/>
    <n v="55"/>
    <n v="34999"/>
    <n v="73990"/>
    <x v="1"/>
    <n v="4.3"/>
    <n v="38991"/>
    <x v="5"/>
    <n v="-38991"/>
    <n v="-1.1140604017257636"/>
    <x v="1"/>
    <s v="Medium Ratings"/>
    <n v="54990"/>
    <n v="25999"/>
  </r>
  <r>
    <x v="18"/>
    <x v="18"/>
    <x v="0"/>
    <n v="50"/>
    <n v="38999"/>
    <n v="69990"/>
    <x v="2"/>
    <n v="4.2"/>
    <n v="30991"/>
    <x v="3"/>
    <n v="-30991"/>
    <n v="-0.79466140157439935"/>
    <x v="0"/>
    <s v="Medium Ratings"/>
    <n v="44990"/>
    <n v="33459"/>
  </r>
  <r>
    <x v="13"/>
    <x v="13"/>
    <x v="1"/>
    <n v="55"/>
    <n v="54999"/>
    <n v="79999"/>
    <x v="1"/>
    <n v="4.2"/>
    <n v="25000"/>
    <x v="0"/>
    <n v="-25000"/>
    <n v="-0.45455371915853016"/>
    <x v="0"/>
    <s v="Medium Ratings"/>
    <n v="59999"/>
    <n v="39999"/>
  </r>
  <r>
    <x v="15"/>
    <x v="15"/>
    <x v="3"/>
    <n v="49"/>
    <n v="44999"/>
    <n v="69900"/>
    <x v="1"/>
    <n v="4.5"/>
    <n v="24901"/>
    <x v="3"/>
    <n v="-24901"/>
    <n v="-0.55336785261894705"/>
    <x v="0"/>
    <s v="Good Ratings"/>
    <n v="87400"/>
    <n v="64294.5"/>
  </r>
  <r>
    <x v="16"/>
    <x v="16"/>
    <x v="3"/>
    <n v="40"/>
    <n v="19499"/>
    <n v="20999"/>
    <x v="1"/>
    <n v="4.4000000000000004"/>
    <n v="1500"/>
    <x v="4"/>
    <n v="-1500"/>
    <n v="-7.6927021898558906E-2"/>
    <x v="2"/>
    <s v="Medium Ratings"/>
    <n v="31990"/>
    <n v="22499"/>
  </r>
  <r>
    <x v="16"/>
    <x v="16"/>
    <x v="3"/>
    <n v="42"/>
    <n v="20499"/>
    <n v="27999"/>
    <x v="1"/>
    <n v="4.4000000000000004"/>
    <n v="7500"/>
    <x v="0"/>
    <n v="-7500"/>
    <n v="-0.36587150592711842"/>
    <x v="0"/>
    <s v="Medium Ratings"/>
    <n v="31990"/>
    <n v="22499"/>
  </r>
  <r>
    <x v="17"/>
    <x v="17"/>
    <x v="0"/>
    <n v="50"/>
    <n v="39999"/>
    <n v="54999"/>
    <x v="1"/>
    <n v="4.3"/>
    <n v="15000"/>
    <x v="0"/>
    <n v="-15000"/>
    <n v="-0.37500937523438088"/>
    <x v="0"/>
    <s v="Medium Ratings"/>
    <n v="54050"/>
    <n v="35999"/>
  </r>
  <r>
    <x v="19"/>
    <x v="19"/>
    <x v="2"/>
    <n v="32"/>
    <n v="13999"/>
    <n v="19990"/>
    <x v="1"/>
    <n v="3.9"/>
    <n v="5991"/>
    <x v="0"/>
    <n v="-5991"/>
    <n v="-0.42795913993856705"/>
    <x v="0"/>
    <s v="Medium Ratings"/>
    <n v="34990"/>
    <n v="34990"/>
  </r>
  <r>
    <x v="1"/>
    <x v="1"/>
    <x v="3"/>
    <n v="55"/>
    <n v="41999"/>
    <n v="109990"/>
    <x v="1"/>
    <n v="4.3"/>
    <n v="67991"/>
    <x v="1"/>
    <n v="-67991"/>
    <n v="-1.6188718779018547"/>
    <x v="1"/>
    <s v="Medium Ratings"/>
    <n v="77990"/>
    <n v="40999"/>
  </r>
  <r>
    <x v="10"/>
    <x v="10"/>
    <x v="2"/>
    <n v="32"/>
    <n v="16290"/>
    <n v="16400"/>
    <x v="4"/>
    <n v="4.3"/>
    <n v="110"/>
    <x v="7"/>
    <n v="-110"/>
    <n v="-6.752608962553714E-3"/>
    <x v="2"/>
    <s v="Medium Ratings"/>
    <n v="100945"/>
    <n v="74490"/>
  </r>
  <r>
    <x v="1"/>
    <x v="1"/>
    <x v="0"/>
    <n v="43"/>
    <n v="29999"/>
    <n v="51990"/>
    <x v="2"/>
    <n v="4.4000000000000004"/>
    <n v="21991"/>
    <x v="3"/>
    <n v="-21991"/>
    <n v="-0.73305776859228644"/>
    <x v="0"/>
    <s v="Medium Ratings"/>
    <n v="77990"/>
    <n v="40999"/>
  </r>
  <r>
    <x v="20"/>
    <x v="20"/>
    <x v="3"/>
    <n v="42"/>
    <n v="20999"/>
    <n v="29999"/>
    <x v="1"/>
    <n v="4.4000000000000004"/>
    <n v="9000"/>
    <x v="0"/>
    <n v="-9000"/>
    <n v="-0.42859183770655745"/>
    <x v="0"/>
    <s v="Medium Ratings"/>
    <n v="40000"/>
    <n v="21999"/>
  </r>
  <r>
    <x v="18"/>
    <x v="18"/>
    <x v="3"/>
    <n v="43"/>
    <n v="29999"/>
    <n v="44990"/>
    <x v="1"/>
    <n v="4.2"/>
    <n v="14991"/>
    <x v="0"/>
    <n v="-14991"/>
    <n v="-0.49971665722190739"/>
    <x v="0"/>
    <s v="Medium Ratings"/>
    <n v="44990"/>
    <n v="33459"/>
  </r>
  <r>
    <x v="13"/>
    <x v="13"/>
    <x v="0"/>
    <n v="55"/>
    <n v="39999"/>
    <n v="59999"/>
    <x v="1"/>
    <n v="4.3"/>
    <n v="20000"/>
    <x v="0"/>
    <n v="-20000"/>
    <n v="-0.50001250031250777"/>
    <x v="0"/>
    <s v="Medium Ratings"/>
    <n v="59999"/>
    <n v="39999"/>
  </r>
  <r>
    <x v="5"/>
    <x v="5"/>
    <x v="0"/>
    <n v="55"/>
    <n v="46999"/>
    <n v="59990"/>
    <x v="1"/>
    <n v="4.5"/>
    <n v="12991"/>
    <x v="2"/>
    <n v="-12991"/>
    <n v="-0.27641013638588058"/>
    <x v="0"/>
    <s v="Good Ratings"/>
    <n v="50490"/>
    <n v="39499"/>
  </r>
  <r>
    <x v="2"/>
    <x v="2"/>
    <x v="0"/>
    <n v="50"/>
    <n v="39999"/>
    <n v="42999"/>
    <x v="1"/>
    <n v="4.3"/>
    <n v="3000"/>
    <x v="4"/>
    <n v="-3000"/>
    <n v="-7.5001875046876165E-2"/>
    <x v="2"/>
    <s v="Medium Ratings"/>
    <n v="23999"/>
    <n v="17999"/>
  </r>
  <r>
    <x v="10"/>
    <x v="10"/>
    <x v="1"/>
    <n v="55"/>
    <n v="76999"/>
    <n v="129900"/>
    <x v="4"/>
    <n v="4.5"/>
    <n v="52901"/>
    <x v="3"/>
    <n v="-52901"/>
    <n v="-0.68703489655709815"/>
    <x v="0"/>
    <s v="Good Ratings"/>
    <n v="100945"/>
    <n v="74490"/>
  </r>
  <r>
    <x v="13"/>
    <x v="13"/>
    <x v="2"/>
    <n v="32"/>
    <n v="16499"/>
    <n v="19999"/>
    <x v="1"/>
    <n v="4.3"/>
    <n v="3500"/>
    <x v="2"/>
    <n v="-3500"/>
    <n v="-0.21213406873143828"/>
    <x v="0"/>
    <s v="Medium Ratings"/>
    <n v="59999"/>
    <n v="39999"/>
  </r>
  <r>
    <x v="18"/>
    <x v="18"/>
    <x v="0"/>
    <n v="50"/>
    <n v="42999"/>
    <n v="79990"/>
    <x v="1"/>
    <n v="4"/>
    <n v="36991"/>
    <x v="5"/>
    <n v="-36991"/>
    <n v="-0.8602758203679155"/>
    <x v="1"/>
    <s v="Medium Ratings"/>
    <n v="44990"/>
    <n v="33459"/>
  </r>
  <r>
    <x v="3"/>
    <x v="3"/>
    <x v="3"/>
    <n v="43"/>
    <n v="24999"/>
    <n v="25999"/>
    <x v="1"/>
    <n v="4.4000000000000004"/>
    <n v="1000"/>
    <x v="7"/>
    <n v="-1000"/>
    <n v="-4.0001600064002558E-2"/>
    <x v="2"/>
    <s v="Medium Ratings"/>
    <n v="34999"/>
    <n v="27999"/>
  </r>
  <r>
    <x v="19"/>
    <x v="19"/>
    <x v="3"/>
    <n v="42"/>
    <n v="21999"/>
    <n v="29990"/>
    <x v="1"/>
    <n v="3.9"/>
    <n v="7991"/>
    <x v="0"/>
    <n v="-7991"/>
    <n v="-0.36324378380835493"/>
    <x v="0"/>
    <s v="Medium Ratings"/>
    <n v="34990"/>
    <n v="34990"/>
  </r>
  <r>
    <x v="19"/>
    <x v="19"/>
    <x v="0"/>
    <n v="50"/>
    <n v="34999"/>
    <n v="44990"/>
    <x v="1"/>
    <n v="3.6"/>
    <n v="9991"/>
    <x v="2"/>
    <n v="-9991"/>
    <n v="-0.28546529900854312"/>
    <x v="0"/>
    <s v="Bad Ratings"/>
    <n v="34990"/>
    <n v="34990"/>
  </r>
  <r>
    <x v="16"/>
    <x v="16"/>
    <x v="0"/>
    <n v="43"/>
    <n v="25999"/>
    <n v="37999"/>
    <x v="1"/>
    <n v="4.4000000000000004"/>
    <n v="12000"/>
    <x v="0"/>
    <n v="-12000"/>
    <n v="-0.46155621370052696"/>
    <x v="0"/>
    <s v="Medium Ratings"/>
    <n v="31990"/>
    <n v="22499"/>
  </r>
  <r>
    <x v="13"/>
    <x v="13"/>
    <x v="0"/>
    <n v="50"/>
    <n v="35999"/>
    <n v="54999"/>
    <x v="1"/>
    <n v="4.3"/>
    <n v="19000"/>
    <x v="0"/>
    <n v="-19000"/>
    <n v="-0.52779243867885217"/>
    <x v="0"/>
    <s v="Medium Ratings"/>
    <n v="59999"/>
    <n v="39999"/>
  </r>
  <r>
    <x v="9"/>
    <x v="9"/>
    <x v="3"/>
    <n v="42"/>
    <n v="18999"/>
    <n v="48990"/>
    <x v="1"/>
    <n v="4.2"/>
    <n v="29991"/>
    <x v="1"/>
    <n v="-29991"/>
    <n v="-1.5785567661455866"/>
    <x v="1"/>
    <s v="Medium Ratings"/>
    <n v="54990"/>
    <n v="25999"/>
  </r>
  <r>
    <x v="20"/>
    <x v="20"/>
    <x v="0"/>
    <n v="50"/>
    <n v="34499"/>
    <n v="47999"/>
    <x v="1"/>
    <n v="4.7"/>
    <n v="13500"/>
    <x v="0"/>
    <n v="-13500"/>
    <n v="-0.39131569030986407"/>
    <x v="0"/>
    <s v="Good Ratings"/>
    <n v="40000"/>
    <n v="21999"/>
  </r>
  <r>
    <x v="10"/>
    <x v="10"/>
    <x v="0"/>
    <n v="55"/>
    <n v="55990"/>
    <n v="76900"/>
    <x v="4"/>
    <n v="4.3"/>
    <n v="20910"/>
    <x v="0"/>
    <n v="-20910"/>
    <n v="-0.37345954634756207"/>
    <x v="0"/>
    <s v="Medium Ratings"/>
    <n v="100945"/>
    <n v="74490"/>
  </r>
  <r>
    <x v="8"/>
    <x v="8"/>
    <x v="1"/>
    <n v="55"/>
    <n v="44999"/>
    <n v="126990"/>
    <x v="1"/>
    <n v="4.3"/>
    <n v="81991"/>
    <x v="1"/>
    <n v="-81991"/>
    <n v="-1.8220627125047224"/>
    <x v="1"/>
    <s v="Medium Ratings"/>
    <n v="76990"/>
    <n v="36999"/>
  </r>
  <r>
    <x v="14"/>
    <x v="14"/>
    <x v="0"/>
    <n v="65"/>
    <n v="53999"/>
    <n v="70499"/>
    <x v="1"/>
    <n v="4.4000000000000004"/>
    <n v="16500"/>
    <x v="2"/>
    <n v="-16500"/>
    <n v="-0.30556121409655734"/>
    <x v="0"/>
    <s v="Medium Ratings"/>
    <n v="28999"/>
    <n v="21749"/>
  </r>
  <r>
    <x v="10"/>
    <x v="10"/>
    <x v="3"/>
    <n v="32"/>
    <n v="20880"/>
    <n v="24275"/>
    <x v="4"/>
    <n v="4.2"/>
    <n v="3395"/>
    <x v="4"/>
    <n v="-3395"/>
    <n v="-0.16259578544061304"/>
    <x v="2"/>
    <s v="Medium Ratings"/>
    <n v="100945"/>
    <n v="74490"/>
  </r>
  <r>
    <x v="8"/>
    <x v="8"/>
    <x v="3"/>
    <n v="40"/>
    <n v="19999"/>
    <n v="36990"/>
    <x v="1"/>
    <n v="4.3"/>
    <n v="16991"/>
    <x v="5"/>
    <n v="-16991"/>
    <n v="-0.84959247962398121"/>
    <x v="1"/>
    <s v="Medium Ratings"/>
    <n v="76990"/>
    <n v="36999"/>
  </r>
  <r>
    <x v="20"/>
    <x v="20"/>
    <x v="0"/>
    <n v="43"/>
    <n v="28999"/>
    <n v="41999"/>
    <x v="1"/>
    <n v="4.7"/>
    <n v="13000"/>
    <x v="0"/>
    <n v="-13000"/>
    <n v="-0.44829132039035829"/>
    <x v="0"/>
    <s v="Good Ratings"/>
    <n v="40000"/>
    <n v="21999"/>
  </r>
  <r>
    <x v="14"/>
    <x v="14"/>
    <x v="0"/>
    <n v="43"/>
    <n v="22999"/>
    <n v="29999"/>
    <x v="1"/>
    <n v="4.3"/>
    <n v="7000"/>
    <x v="2"/>
    <n v="-7000"/>
    <n v="-0.30436105917648593"/>
    <x v="0"/>
    <s v="Medium Ratings"/>
    <n v="28999"/>
    <n v="21749"/>
  </r>
  <r>
    <x v="21"/>
    <x v="21"/>
    <x v="2"/>
    <n v="32"/>
    <n v="8699"/>
    <n v="16999"/>
    <x v="1"/>
    <n v="3.8"/>
    <n v="8300"/>
    <x v="5"/>
    <n v="-8300"/>
    <n v="-0.95413265892631338"/>
    <x v="1"/>
    <s v="Medium Ratings"/>
    <n v="21999"/>
    <n v="13699"/>
  </r>
  <r>
    <x v="6"/>
    <x v="6"/>
    <x v="0"/>
    <n v="55"/>
    <n v="57999"/>
    <n v="89990"/>
    <x v="5"/>
    <n v="4.5"/>
    <n v="31991"/>
    <x v="3"/>
    <n v="-31991"/>
    <n v="-0.55157847549095673"/>
    <x v="0"/>
    <s v="Good Ratings"/>
    <n v="98990"/>
    <n v="76737"/>
  </r>
  <r>
    <x v="15"/>
    <x v="15"/>
    <x v="0"/>
    <n v="43"/>
    <n v="44999"/>
    <n v="66900"/>
    <x v="2"/>
    <n v="4.5"/>
    <n v="21901"/>
    <x v="0"/>
    <n v="-21901"/>
    <n v="-0.48669970443787641"/>
    <x v="0"/>
    <s v="Good Ratings"/>
    <n v="87400"/>
    <n v="64294.5"/>
  </r>
  <r>
    <x v="10"/>
    <x v="10"/>
    <x v="1"/>
    <n v="50"/>
    <n v="84999"/>
    <n v="119900"/>
    <x v="4"/>
    <n v="4.8"/>
    <n v="34901"/>
    <x v="0"/>
    <n v="-34901"/>
    <n v="-0.41060483064506642"/>
    <x v="0"/>
    <s v="Good Ratings"/>
    <n v="100945"/>
    <n v="74490"/>
  </r>
  <r>
    <x v="1"/>
    <x v="1"/>
    <x v="0"/>
    <n v="55"/>
    <n v="39999"/>
    <n v="75990"/>
    <x v="1"/>
    <n v="4.4000000000000004"/>
    <n v="35991"/>
    <x v="5"/>
    <n v="-35991"/>
    <n v="-0.89979749493737349"/>
    <x v="1"/>
    <s v="Medium Ratings"/>
    <n v="77990"/>
    <n v="40999"/>
  </r>
  <r>
    <x v="19"/>
    <x v="19"/>
    <x v="0"/>
    <n v="58"/>
    <n v="38999"/>
    <n v="59990"/>
    <x v="1"/>
    <n v="4"/>
    <n v="20991"/>
    <x v="0"/>
    <n v="-20991"/>
    <n v="-0.5382445703735993"/>
    <x v="0"/>
    <s v="Medium Ratings"/>
    <n v="34990"/>
    <n v="34990"/>
  </r>
  <r>
    <x v="14"/>
    <x v="14"/>
    <x v="0"/>
    <n v="43"/>
    <n v="27999"/>
    <n v="37999"/>
    <x v="1"/>
    <n v="4.4000000000000004"/>
    <n v="10000"/>
    <x v="0"/>
    <n v="-10000"/>
    <n v="-0.3571556127004536"/>
    <x v="0"/>
    <s v="Medium Ratings"/>
    <n v="28999"/>
    <n v="21749"/>
  </r>
  <r>
    <x v="10"/>
    <x v="10"/>
    <x v="1"/>
    <n v="50"/>
    <n v="68999"/>
    <n v="112900"/>
    <x v="4"/>
    <n v="4.5"/>
    <n v="43901"/>
    <x v="3"/>
    <n v="-43901"/>
    <n v="-0.63625559790721609"/>
    <x v="0"/>
    <s v="Good Ratings"/>
    <n v="100945"/>
    <n v="74490"/>
  </r>
  <r>
    <x v="12"/>
    <x v="12"/>
    <x v="0"/>
    <n v="65"/>
    <n v="56999"/>
    <n v="75000"/>
    <x v="1"/>
    <n v="4.4000000000000004"/>
    <n v="18001"/>
    <x v="2"/>
    <n v="-18001"/>
    <n v="-0.31581255811505465"/>
    <x v="0"/>
    <s v="Medium Ratings"/>
    <n v="49990"/>
    <n v="30999"/>
  </r>
  <r>
    <x v="1"/>
    <x v="1"/>
    <x v="2"/>
    <n v="32"/>
    <n v="16499"/>
    <n v="29990"/>
    <x v="1"/>
    <n v="4.2"/>
    <n v="13491"/>
    <x v="3"/>
    <n v="-13491"/>
    <n v="-0.8176859203588096"/>
    <x v="0"/>
    <s v="Medium Ratings"/>
    <n v="77990"/>
    <n v="40999"/>
  </r>
  <r>
    <x v="5"/>
    <x v="5"/>
    <x v="0"/>
    <n v="43"/>
    <n v="29990"/>
    <n v="36990"/>
    <x v="1"/>
    <n v="4.3"/>
    <n v="7000"/>
    <x v="2"/>
    <n v="-7000"/>
    <n v="-0.23341113704568189"/>
    <x v="0"/>
    <s v="Medium Ratings"/>
    <n v="50490"/>
    <n v="39499"/>
  </r>
  <r>
    <x v="16"/>
    <x v="16"/>
    <x v="0"/>
    <n v="55"/>
    <n v="34499"/>
    <n v="39990"/>
    <x v="1"/>
    <n v="4.3"/>
    <n v="5491"/>
    <x v="4"/>
    <n v="-5491"/>
    <n v="-0.1591640337401084"/>
    <x v="2"/>
    <s v="Medium Ratings"/>
    <n v="31990"/>
    <n v="22499"/>
  </r>
  <r>
    <x v="15"/>
    <x v="15"/>
    <x v="3"/>
    <n v="43"/>
    <n v="44900"/>
    <n v="44900"/>
    <x v="2"/>
    <n v="4.5999999999999996"/>
    <n v="0"/>
    <x v="7"/>
    <n v="0"/>
    <n v="0"/>
    <x v="2"/>
    <s v="Good Ratings"/>
    <n v="87400"/>
    <n v="64294.5"/>
  </r>
  <r>
    <x v="20"/>
    <x v="20"/>
    <x v="0"/>
    <n v="55"/>
    <n v="39999"/>
    <n v="55999"/>
    <x v="1"/>
    <n v="4.7"/>
    <n v="16000"/>
    <x v="0"/>
    <n v="-16000"/>
    <n v="-0.40001000025000627"/>
    <x v="0"/>
    <s v="Good Ratings"/>
    <n v="40000"/>
    <n v="21999"/>
  </r>
  <r>
    <x v="14"/>
    <x v="14"/>
    <x v="2"/>
    <n v="32"/>
    <n v="11999"/>
    <n v="14990"/>
    <x v="1"/>
    <n v="4.0999999999999996"/>
    <n v="2991"/>
    <x v="2"/>
    <n v="-2991"/>
    <n v="-0.24927077256438038"/>
    <x v="0"/>
    <s v="Medium Ratings"/>
    <n v="28999"/>
    <n v="21749"/>
  </r>
  <r>
    <x v="5"/>
    <x v="5"/>
    <x v="0"/>
    <n v="43"/>
    <n v="30999"/>
    <n v="36990"/>
    <x v="1"/>
    <n v="4.4000000000000004"/>
    <n v="5991"/>
    <x v="2"/>
    <n v="-5991"/>
    <n v="-0.19326429884834995"/>
    <x v="0"/>
    <s v="Medium Ratings"/>
    <n v="50490"/>
    <n v="39499"/>
  </r>
  <r>
    <x v="10"/>
    <x v="10"/>
    <x v="3"/>
    <n v="43"/>
    <n v="32999"/>
    <n v="53900"/>
    <x v="4"/>
    <n v="4.4000000000000004"/>
    <n v="20901"/>
    <x v="3"/>
    <n v="-20901"/>
    <n v="-0.63338282978272065"/>
    <x v="0"/>
    <s v="Medium Ratings"/>
    <n v="100945"/>
    <n v="74490"/>
  </r>
  <r>
    <x v="10"/>
    <x v="10"/>
    <x v="3"/>
    <n v="43"/>
    <n v="36580"/>
    <n v="39900"/>
    <x v="4"/>
    <n v="4.3"/>
    <n v="3320"/>
    <x v="4"/>
    <n v="-3320"/>
    <n v="-9.0759978130125749E-2"/>
    <x v="2"/>
    <s v="Medium Ratings"/>
    <n v="100945"/>
    <n v="74490"/>
  </r>
  <r>
    <x v="16"/>
    <x v="16"/>
    <x v="2"/>
    <n v="24"/>
    <n v="8499"/>
    <n v="10499"/>
    <x v="1"/>
    <n v="4"/>
    <n v="2000"/>
    <x v="2"/>
    <n v="-2000"/>
    <n v="-0.23532180256500765"/>
    <x v="0"/>
    <s v="Medium Ratings"/>
    <n v="31990"/>
    <n v="22499"/>
  </r>
  <r>
    <x v="14"/>
    <x v="14"/>
    <x v="0"/>
    <n v="55"/>
    <n v="34999"/>
    <n v="46999"/>
    <x v="1"/>
    <n v="4.3"/>
    <n v="12000"/>
    <x v="0"/>
    <n v="-12000"/>
    <n v="-0.34286693905540161"/>
    <x v="0"/>
    <s v="Medium Ratings"/>
    <n v="28999"/>
    <n v="21749"/>
  </r>
  <r>
    <x v="15"/>
    <x v="15"/>
    <x v="0"/>
    <n v="43"/>
    <n v="56720"/>
    <n v="72900"/>
    <x v="2"/>
    <n v="4.8"/>
    <n v="16180"/>
    <x v="2"/>
    <n v="-16180"/>
    <n v="-0.28526093088857546"/>
    <x v="0"/>
    <s v="Good Ratings"/>
    <n v="87400"/>
    <n v="64294.5"/>
  </r>
  <r>
    <x v="22"/>
    <x v="22"/>
    <x v="2"/>
    <n v="24"/>
    <n v="9990"/>
    <n v="12990"/>
    <x v="1"/>
    <m/>
    <n v="3000"/>
    <x v="2"/>
    <n v="-3000"/>
    <n v="-0.3003003003003003"/>
    <x v="0"/>
    <s v="Ratings Not Given"/>
    <n v="20990"/>
    <n v="16499"/>
  </r>
  <r>
    <x v="17"/>
    <x v="17"/>
    <x v="2"/>
    <n v="32"/>
    <n v="17999"/>
    <n v="21799"/>
    <x v="1"/>
    <n v="4.3"/>
    <n v="3800"/>
    <x v="2"/>
    <n v="-3800"/>
    <n v="-0.21112284015778654"/>
    <x v="0"/>
    <s v="Medium Ratings"/>
    <n v="54050"/>
    <n v="35999"/>
  </r>
  <r>
    <x v="23"/>
    <x v="23"/>
    <x v="0"/>
    <n v="50"/>
    <n v="37999"/>
    <n v="42990"/>
    <x v="1"/>
    <n v="4.2"/>
    <n v="4991"/>
    <x v="4"/>
    <n v="-4991"/>
    <n v="-0.13134556172530856"/>
    <x v="2"/>
    <s v="Medium Ratings"/>
    <n v="64195"/>
    <n v="43129"/>
  </r>
  <r>
    <x v="17"/>
    <x v="17"/>
    <x v="1"/>
    <n v="55"/>
    <n v="55999"/>
    <n v="63999"/>
    <x v="1"/>
    <n v="4.3"/>
    <n v="8000"/>
    <x v="4"/>
    <n v="-8000"/>
    <n v="-0.14285969392310577"/>
    <x v="2"/>
    <s v="Medium Ratings"/>
    <n v="54050"/>
    <n v="35999"/>
  </r>
  <r>
    <x v="1"/>
    <x v="1"/>
    <x v="3"/>
    <n v="65"/>
    <n v="63999"/>
    <n v="159990"/>
    <x v="1"/>
    <n v="4.3"/>
    <n v="95991"/>
    <x v="1"/>
    <n v="-95991"/>
    <n v="-1.4998828106689166"/>
    <x v="1"/>
    <s v="Medium Ratings"/>
    <n v="77990"/>
    <n v="40999"/>
  </r>
  <r>
    <x v="9"/>
    <x v="9"/>
    <x v="0"/>
    <n v="43"/>
    <n v="23999"/>
    <n v="54990"/>
    <x v="1"/>
    <n v="4.3"/>
    <n v="30991"/>
    <x v="1"/>
    <n v="-30991"/>
    <n v="-1.2913454727280302"/>
    <x v="1"/>
    <s v="Medium Ratings"/>
    <n v="54990"/>
    <n v="25999"/>
  </r>
  <r>
    <x v="6"/>
    <x v="6"/>
    <x v="0"/>
    <n v="55"/>
    <n v="65999"/>
    <n v="109990"/>
    <x v="5"/>
    <n v="4.5"/>
    <n v="43991"/>
    <x v="3"/>
    <n v="-43991"/>
    <n v="-0.66654040212730492"/>
    <x v="0"/>
    <s v="Good Ratings"/>
    <n v="98990"/>
    <n v="76737"/>
  </r>
  <r>
    <x v="9"/>
    <x v="9"/>
    <x v="0"/>
    <n v="50"/>
    <n v="31499"/>
    <n v="64990"/>
    <x v="1"/>
    <n v="4.3"/>
    <n v="33491"/>
    <x v="5"/>
    <n v="-33491"/>
    <n v="-1.0632401028604084"/>
    <x v="1"/>
    <s v="Medium Ratings"/>
    <n v="54990"/>
    <n v="25999"/>
  </r>
  <r>
    <x v="1"/>
    <x v="1"/>
    <x v="3"/>
    <n v="43"/>
    <n v="27190"/>
    <n v="47990"/>
    <x v="1"/>
    <n v="4.3"/>
    <n v="20800"/>
    <x v="3"/>
    <n v="-20800"/>
    <n v="-0.76498712762044874"/>
    <x v="0"/>
    <s v="Medium Ratings"/>
    <n v="77990"/>
    <n v="40999"/>
  </r>
  <r>
    <x v="12"/>
    <x v="12"/>
    <x v="0"/>
    <n v="43"/>
    <n v="30999"/>
    <n v="36000"/>
    <x v="1"/>
    <n v="4.3"/>
    <n v="5001"/>
    <x v="4"/>
    <n v="-5001"/>
    <n v="-0.16132778476725054"/>
    <x v="2"/>
    <s v="Medium Ratings"/>
    <n v="49990"/>
    <n v="30999"/>
  </r>
  <r>
    <x v="0"/>
    <x v="0"/>
    <x v="3"/>
    <n v="43"/>
    <n v="22499"/>
    <n v="26990"/>
    <x v="0"/>
    <n v="4.4000000000000004"/>
    <n v="4491"/>
    <x v="2"/>
    <n v="-4491"/>
    <n v="-0.19960887150540024"/>
    <x v="0"/>
    <s v="Medium Ratings"/>
    <n v="46990"/>
    <n v="29999"/>
  </r>
  <r>
    <x v="5"/>
    <x v="5"/>
    <x v="0"/>
    <n v="58"/>
    <n v="41999"/>
    <n v="50990"/>
    <x v="1"/>
    <n v="4.4000000000000004"/>
    <n v="8991"/>
    <x v="2"/>
    <n v="-8991"/>
    <n v="-0.21407652563156265"/>
    <x v="0"/>
    <s v="Medium Ratings"/>
    <n v="50490"/>
    <n v="39499"/>
  </r>
  <r>
    <x v="17"/>
    <x v="17"/>
    <x v="0"/>
    <n v="65"/>
    <n v="56999"/>
    <n v="115399"/>
    <x v="1"/>
    <n v="4.3"/>
    <n v="58400"/>
    <x v="5"/>
    <n v="-58400"/>
    <n v="-1.0245793785855892"/>
    <x v="1"/>
    <s v="Medium Ratings"/>
    <n v="54050"/>
    <n v="35999"/>
  </r>
  <r>
    <x v="6"/>
    <x v="6"/>
    <x v="2"/>
    <n v="32"/>
    <n v="24057"/>
    <n v="29990"/>
    <x v="5"/>
    <n v="4.3"/>
    <n v="5933"/>
    <x v="2"/>
    <n v="-5933"/>
    <n v="-0.24662260464729602"/>
    <x v="0"/>
    <s v="Medium Ratings"/>
    <n v="98990"/>
    <n v="76737"/>
  </r>
  <r>
    <x v="10"/>
    <x v="10"/>
    <x v="1"/>
    <n v="50"/>
    <n v="73990"/>
    <n v="119900"/>
    <x v="4"/>
    <n v="4.3"/>
    <n v="45910"/>
    <x v="3"/>
    <n v="-45910"/>
    <n v="-0.62048925530477095"/>
    <x v="0"/>
    <s v="Medium Ratings"/>
    <n v="100945"/>
    <n v="74490"/>
  </r>
  <r>
    <x v="13"/>
    <x v="13"/>
    <x v="3"/>
    <n v="43"/>
    <n v="26999"/>
    <n v="39999"/>
    <x v="1"/>
    <n v="4.2"/>
    <n v="13000"/>
    <x v="0"/>
    <n v="-13000"/>
    <n v="-0.48149931478943664"/>
    <x v="0"/>
    <s v="Medium Ratings"/>
    <n v="59999"/>
    <n v="39999"/>
  </r>
  <r>
    <x v="24"/>
    <x v="24"/>
    <x v="2"/>
    <n v="32"/>
    <n v="13299"/>
    <n v="19900"/>
    <x v="1"/>
    <n v="4.4000000000000004"/>
    <n v="6601"/>
    <x v="0"/>
    <n v="-6601"/>
    <n v="-0.49635310925633508"/>
    <x v="0"/>
    <s v="Medium Ratings"/>
    <n v="24990"/>
    <n v="16825"/>
  </r>
  <r>
    <x v="16"/>
    <x v="16"/>
    <x v="0"/>
    <n v="50"/>
    <n v="32999"/>
    <n v="42999"/>
    <x v="1"/>
    <n v="4.4000000000000004"/>
    <n v="10000"/>
    <x v="2"/>
    <n v="-10000"/>
    <n v="-0.30303948604503167"/>
    <x v="0"/>
    <s v="Medium Ratings"/>
    <n v="31990"/>
    <n v="22499"/>
  </r>
  <r>
    <x v="24"/>
    <x v="24"/>
    <x v="2"/>
    <n v="39"/>
    <n v="18999"/>
    <n v="24990"/>
    <x v="1"/>
    <n v="3.5"/>
    <n v="5991"/>
    <x v="2"/>
    <n v="-5991"/>
    <n v="-0.31533238591504814"/>
    <x v="0"/>
    <s v="Bad Ratings"/>
    <n v="24990"/>
    <n v="16825"/>
  </r>
  <r>
    <x v="16"/>
    <x v="16"/>
    <x v="0"/>
    <n v="50"/>
    <n v="30999"/>
    <n v="33999"/>
    <x v="1"/>
    <n v="4.3"/>
    <n v="3000"/>
    <x v="4"/>
    <n v="-3000"/>
    <n v="-9.6777315397270885E-2"/>
    <x v="2"/>
    <s v="Medium Ratings"/>
    <n v="31990"/>
    <n v="22499"/>
  </r>
  <r>
    <x v="13"/>
    <x v="13"/>
    <x v="0"/>
    <n v="55"/>
    <n v="44999"/>
    <n v="59999"/>
    <x v="1"/>
    <n v="4.0999999999999996"/>
    <n v="15000"/>
    <x v="0"/>
    <n v="-15000"/>
    <n v="-0.33334074090535343"/>
    <x v="0"/>
    <s v="Medium Ratings"/>
    <n v="59999"/>
    <n v="39999"/>
  </r>
  <r>
    <x v="8"/>
    <x v="8"/>
    <x v="0"/>
    <n v="65"/>
    <n v="53999"/>
    <n v="106990"/>
    <x v="1"/>
    <n v="4.3"/>
    <n v="52991"/>
    <x v="5"/>
    <n v="-52991"/>
    <n v="-0.98133298764791943"/>
    <x v="1"/>
    <s v="Medium Ratings"/>
    <n v="76990"/>
    <n v="36999"/>
  </r>
  <r>
    <x v="18"/>
    <x v="18"/>
    <x v="0"/>
    <n v="58"/>
    <n v="41999"/>
    <n v="119990"/>
    <x v="1"/>
    <n v="4.2"/>
    <n v="77991"/>
    <x v="1"/>
    <n v="-77991"/>
    <n v="-1.8569727850663111"/>
    <x v="1"/>
    <s v="Medium Ratings"/>
    <n v="44990"/>
    <n v="33459"/>
  </r>
  <r>
    <x v="25"/>
    <x v="25"/>
    <x v="0"/>
    <n v="50"/>
    <n v="36990"/>
    <n v="45190"/>
    <x v="1"/>
    <n v="4.5"/>
    <n v="8200"/>
    <x v="2"/>
    <n v="-8200"/>
    <n v="-0.22168153555014869"/>
    <x v="0"/>
    <s v="Good Ratings"/>
    <n v="35174.5"/>
    <n v="29990"/>
  </r>
  <r>
    <x v="10"/>
    <x v="10"/>
    <x v="1"/>
    <n v="43"/>
    <n v="59990"/>
    <n v="94900"/>
    <x v="4"/>
    <n v="4.7"/>
    <n v="34910"/>
    <x v="3"/>
    <n v="-34910"/>
    <n v="-0.58193032172028669"/>
    <x v="0"/>
    <s v="Good Ratings"/>
    <n v="100945"/>
    <n v="74490"/>
  </r>
  <r>
    <x v="6"/>
    <x v="6"/>
    <x v="2"/>
    <n v="32"/>
    <n v="19890"/>
    <n v="27990"/>
    <x v="2"/>
    <n v="4.3"/>
    <n v="8100"/>
    <x v="0"/>
    <n v="-8100"/>
    <n v="-0.40723981900452488"/>
    <x v="0"/>
    <s v="Medium Ratings"/>
    <n v="98990"/>
    <n v="76737"/>
  </r>
  <r>
    <x v="4"/>
    <x v="4"/>
    <x v="0"/>
    <n v="55"/>
    <n v="52999"/>
    <n v="59999"/>
    <x v="1"/>
    <n v="4.3"/>
    <n v="7000"/>
    <x v="4"/>
    <n v="-7000"/>
    <n v="-0.13207796373516481"/>
    <x v="2"/>
    <s v="Medium Ratings"/>
    <n v="59999"/>
    <n v="49999"/>
  </r>
  <r>
    <x v="17"/>
    <x v="17"/>
    <x v="0"/>
    <n v="43"/>
    <n v="35999"/>
    <n v="49999"/>
    <x v="1"/>
    <n v="4.4000000000000004"/>
    <n v="14000"/>
    <x v="0"/>
    <n v="-14000"/>
    <n v="-0.38889969165810162"/>
    <x v="0"/>
    <s v="Medium Ratings"/>
    <n v="54050"/>
    <n v="35999"/>
  </r>
  <r>
    <x v="15"/>
    <x v="15"/>
    <x v="3"/>
    <n v="43"/>
    <n v="46799"/>
    <n v="52900"/>
    <x v="1"/>
    <n v="4.7"/>
    <n v="6101"/>
    <x v="4"/>
    <n v="-6101"/>
    <n v="-0.13036603346225348"/>
    <x v="2"/>
    <s v="Good Ratings"/>
    <n v="87400"/>
    <n v="64294.5"/>
  </r>
  <r>
    <x v="1"/>
    <x v="1"/>
    <x v="3"/>
    <n v="50"/>
    <n v="34999"/>
    <n v="89990"/>
    <x v="1"/>
    <n v="4.3"/>
    <n v="54991"/>
    <x v="1"/>
    <n v="-54991"/>
    <n v="-1.571216320466299"/>
    <x v="1"/>
    <s v="Medium Ratings"/>
    <n v="77990"/>
    <n v="40999"/>
  </r>
  <r>
    <x v="10"/>
    <x v="10"/>
    <x v="0"/>
    <n v="43"/>
    <n v="41900"/>
    <n v="49990"/>
    <x v="4"/>
    <m/>
    <n v="8090"/>
    <x v="2"/>
    <n v="-8090"/>
    <n v="-0.19307875894988066"/>
    <x v="0"/>
    <s v="Ratings Not Given"/>
    <n v="100945"/>
    <n v="74490"/>
  </r>
  <r>
    <x v="23"/>
    <x v="23"/>
    <x v="0"/>
    <n v="55"/>
    <n v="46999"/>
    <n v="109900"/>
    <x v="2"/>
    <n v="4.2"/>
    <n v="62901"/>
    <x v="1"/>
    <n v="-62901"/>
    <n v="-1.3383476244175407"/>
    <x v="1"/>
    <s v="Medium Ratings"/>
    <n v="64195"/>
    <n v="43129"/>
  </r>
  <r>
    <x v="6"/>
    <x v="6"/>
    <x v="0"/>
    <n v="43"/>
    <n v="41349"/>
    <n v="57990"/>
    <x v="5"/>
    <m/>
    <n v="16641"/>
    <x v="0"/>
    <n v="-16641"/>
    <n v="-0.40245229630704493"/>
    <x v="0"/>
    <s v="Ratings Not Given"/>
    <n v="98990"/>
    <n v="76737"/>
  </r>
  <r>
    <x v="15"/>
    <x v="15"/>
    <x v="0"/>
    <n v="43"/>
    <n v="67990"/>
    <n v="74900"/>
    <x v="2"/>
    <n v="4.7"/>
    <n v="6910"/>
    <x v="4"/>
    <n v="-6910"/>
    <n v="-0.10163259302838652"/>
    <x v="2"/>
    <s v="Good Ratings"/>
    <n v="87400"/>
    <n v="64294.5"/>
  </r>
  <r>
    <x v="10"/>
    <x v="10"/>
    <x v="2"/>
    <n v="32"/>
    <n v="21600"/>
    <n v="22900"/>
    <x v="4"/>
    <n v="4.5"/>
    <n v="1300"/>
    <x v="4"/>
    <n v="-1300"/>
    <n v="-6.0185185185185182E-2"/>
    <x v="2"/>
    <s v="Good Ratings"/>
    <n v="100945"/>
    <n v="74490"/>
  </r>
  <r>
    <x v="10"/>
    <x v="10"/>
    <x v="1"/>
    <n v="65"/>
    <n v="121990"/>
    <n v="222900"/>
    <x v="4"/>
    <n v="4.3"/>
    <n v="100910"/>
    <x v="5"/>
    <n v="-100910"/>
    <n v="-0.82719895073366667"/>
    <x v="1"/>
    <s v="Medium Ratings"/>
    <n v="100945"/>
    <n v="74490"/>
  </r>
  <r>
    <x v="17"/>
    <x v="17"/>
    <x v="0"/>
    <n v="65"/>
    <n v="66999"/>
    <n v="79999"/>
    <x v="1"/>
    <n v="4.4000000000000004"/>
    <n v="13000"/>
    <x v="2"/>
    <n v="-13000"/>
    <n v="-0.19403274675741428"/>
    <x v="0"/>
    <s v="Medium Ratings"/>
    <n v="54050"/>
    <n v="35999"/>
  </r>
  <r>
    <x v="6"/>
    <x v="6"/>
    <x v="0"/>
    <n v="65"/>
    <n v="83599"/>
    <n v="119990"/>
    <x v="5"/>
    <n v="4.4000000000000004"/>
    <n v="36391"/>
    <x v="0"/>
    <n v="-36391"/>
    <n v="-0.43530425005083795"/>
    <x v="0"/>
    <s v="Medium Ratings"/>
    <n v="98990"/>
    <n v="76737"/>
  </r>
  <r>
    <x v="10"/>
    <x v="10"/>
    <x v="1"/>
    <n v="55"/>
    <n v="128999"/>
    <n v="169900"/>
    <x v="4"/>
    <n v="4.5999999999999996"/>
    <n v="40901"/>
    <x v="2"/>
    <n v="-40901"/>
    <n v="-0.31706447336801058"/>
    <x v="0"/>
    <s v="Good Ratings"/>
    <n v="100945"/>
    <n v="74490"/>
  </r>
  <r>
    <x v="15"/>
    <x v="15"/>
    <x v="0"/>
    <n v="49"/>
    <n v="75099"/>
    <n v="89900"/>
    <x v="1"/>
    <n v="4.4000000000000004"/>
    <n v="14801"/>
    <x v="2"/>
    <n v="-14801"/>
    <n v="-0.197086512470206"/>
    <x v="0"/>
    <s v="Medium Ratings"/>
    <n v="87400"/>
    <n v="64294.5"/>
  </r>
  <r>
    <x v="15"/>
    <x v="15"/>
    <x v="0"/>
    <n v="55"/>
    <n v="73999"/>
    <n v="99990"/>
    <x v="2"/>
    <n v="4.5"/>
    <n v="25991"/>
    <x v="0"/>
    <n v="-25991"/>
    <n v="-0.3512344761415695"/>
    <x v="0"/>
    <s v="Good Ratings"/>
    <n v="87400"/>
    <n v="64294.5"/>
  </r>
  <r>
    <x v="26"/>
    <x v="26"/>
    <x v="2"/>
    <n v="32"/>
    <n v="10990"/>
    <n v="20000"/>
    <x v="1"/>
    <n v="4.8"/>
    <n v="9010"/>
    <x v="5"/>
    <n v="-9010"/>
    <n v="-0.81983621474067336"/>
    <x v="1"/>
    <s v="Good Ratings"/>
    <n v="25000"/>
    <n v="17740"/>
  </r>
  <r>
    <x v="10"/>
    <x v="10"/>
    <x v="0"/>
    <n v="50"/>
    <n v="57989"/>
    <n v="73900"/>
    <x v="4"/>
    <n v="4.7"/>
    <n v="15911"/>
    <x v="2"/>
    <n v="-15911"/>
    <n v="-0.27437962372174035"/>
    <x v="0"/>
    <s v="Good Ratings"/>
    <n v="100945"/>
    <n v="74490"/>
  </r>
  <r>
    <x v="6"/>
    <x v="6"/>
    <x v="0"/>
    <n v="65"/>
    <n v="129999"/>
    <n v="229900"/>
    <x v="5"/>
    <n v="5"/>
    <n v="99901"/>
    <x v="3"/>
    <n v="-99901"/>
    <n v="-0.76847514211647783"/>
    <x v="0"/>
    <s v="Good Ratings"/>
    <n v="98990"/>
    <n v="76737"/>
  </r>
  <r>
    <x v="10"/>
    <x v="10"/>
    <x v="1"/>
    <n v="55"/>
    <n v="84990"/>
    <n v="134900"/>
    <x v="4"/>
    <n v="4.7"/>
    <n v="49910"/>
    <x v="3"/>
    <n v="-49910"/>
    <n v="-0.58724555830097658"/>
    <x v="0"/>
    <s v="Good Ratings"/>
    <n v="100945"/>
    <n v="74490"/>
  </r>
  <r>
    <x v="10"/>
    <x v="10"/>
    <x v="0"/>
    <n v="43"/>
    <n v="45400"/>
    <n v="56900"/>
    <x v="2"/>
    <n v="4.3"/>
    <n v="11500"/>
    <x v="2"/>
    <n v="-11500"/>
    <n v="-0.25330396475770928"/>
    <x v="0"/>
    <s v="Medium Ratings"/>
    <n v="100945"/>
    <n v="74490"/>
  </r>
  <r>
    <x v="26"/>
    <x v="26"/>
    <x v="2"/>
    <n v="24"/>
    <n v="7990"/>
    <n v="15000"/>
    <x v="1"/>
    <m/>
    <n v="7010"/>
    <x v="5"/>
    <n v="-7010"/>
    <n v="-0.87734668335419275"/>
    <x v="1"/>
    <s v="Ratings Not Given"/>
    <n v="25000"/>
    <n v="17740"/>
  </r>
  <r>
    <x v="6"/>
    <x v="6"/>
    <x v="0"/>
    <n v="55"/>
    <n v="137490"/>
    <n v="299990"/>
    <x v="5"/>
    <m/>
    <n v="162500"/>
    <x v="5"/>
    <n v="-162500"/>
    <n v="-1.1819041384827988"/>
    <x v="1"/>
    <s v="Ratings Not Given"/>
    <n v="98990"/>
    <n v="76737"/>
  </r>
  <r>
    <x v="10"/>
    <x v="10"/>
    <x v="2"/>
    <n v="32"/>
    <n v="29900"/>
    <n v="29900"/>
    <x v="4"/>
    <n v="3.8"/>
    <n v="0"/>
    <x v="7"/>
    <n v="0"/>
    <n v="0"/>
    <x v="2"/>
    <s v="Medium Ratings"/>
    <n v="100945"/>
    <n v="74490"/>
  </r>
  <r>
    <x v="1"/>
    <x v="1"/>
    <x v="2"/>
    <n v="32"/>
    <n v="14339"/>
    <n v="22990"/>
    <x v="1"/>
    <n v="4.3"/>
    <n v="8651"/>
    <x v="3"/>
    <n v="-8651"/>
    <n v="-0.6033196178255108"/>
    <x v="0"/>
    <s v="Medium Ratings"/>
    <n v="77990"/>
    <n v="40999"/>
  </r>
  <r>
    <x v="6"/>
    <x v="6"/>
    <x v="0"/>
    <n v="48"/>
    <n v="89999"/>
    <n v="169990"/>
    <x v="5"/>
    <n v="2.7"/>
    <n v="79991"/>
    <x v="5"/>
    <n v="-79991"/>
    <n v="-0.88879876443071593"/>
    <x v="1"/>
    <s v="Bad Ratings"/>
    <n v="98990"/>
    <n v="76737"/>
  </r>
  <r>
    <x v="1"/>
    <x v="1"/>
    <x v="0"/>
    <n v="65"/>
    <n v="146999"/>
    <n v="299990"/>
    <x v="1"/>
    <m/>
    <n v="152991"/>
    <x v="5"/>
    <n v="-152991"/>
    <n v="-1.0407621820556603"/>
    <x v="1"/>
    <s v="Ratings Not Given"/>
    <n v="77990"/>
    <n v="40999"/>
  </r>
  <r>
    <x v="6"/>
    <x v="6"/>
    <x v="0"/>
    <n v="43"/>
    <n v="54990"/>
    <n v="54990"/>
    <x v="5"/>
    <n v="4.4000000000000004"/>
    <n v="0"/>
    <x v="7"/>
    <n v="0"/>
    <n v="0"/>
    <x v="2"/>
    <s v="Medium Ratings"/>
    <n v="98990"/>
    <n v="76737"/>
  </r>
  <r>
    <x v="6"/>
    <x v="6"/>
    <x v="0"/>
    <n v="55"/>
    <n v="64999"/>
    <n v="93990"/>
    <x v="5"/>
    <n v="4.3"/>
    <n v="28991"/>
    <x v="0"/>
    <n v="-28991"/>
    <n v="-0.44602224649609995"/>
    <x v="0"/>
    <s v="Medium Ratings"/>
    <n v="98990"/>
    <n v="76737"/>
  </r>
  <r>
    <x v="6"/>
    <x v="6"/>
    <x v="2"/>
    <n v="32"/>
    <n v="28401"/>
    <n v="30990"/>
    <x v="5"/>
    <n v="4.4000000000000004"/>
    <n v="2589"/>
    <x v="4"/>
    <n v="-2589"/>
    <n v="-9.1158762015421987E-2"/>
    <x v="2"/>
    <s v="Medium Ratings"/>
    <n v="98990"/>
    <n v="76737"/>
  </r>
  <r>
    <x v="25"/>
    <x v="25"/>
    <x v="3"/>
    <n v="43"/>
    <n v="27490"/>
    <n v="33990"/>
    <x v="1"/>
    <n v="4.0999999999999996"/>
    <n v="6500"/>
    <x v="2"/>
    <n v="-6500"/>
    <n v="-0.23644961804292469"/>
    <x v="0"/>
    <s v="Medium Ratings"/>
    <n v="35174.5"/>
    <n v="29990"/>
  </r>
  <r>
    <x v="6"/>
    <x v="6"/>
    <x v="0"/>
    <n v="43"/>
    <n v="43599"/>
    <n v="59990"/>
    <x v="5"/>
    <m/>
    <n v="16391"/>
    <x v="0"/>
    <n v="-16391"/>
    <n v="-0.37594898965572604"/>
    <x v="0"/>
    <s v="Ratings Not Given"/>
    <n v="98990"/>
    <n v="76737"/>
  </r>
  <r>
    <x v="10"/>
    <x v="10"/>
    <x v="0"/>
    <n v="55"/>
    <n v="59990"/>
    <n v="88900"/>
    <x v="4"/>
    <m/>
    <n v="28910"/>
    <x v="0"/>
    <n v="-28910"/>
    <n v="-0.48191365227537925"/>
    <x v="0"/>
    <s v="Ratings Not Given"/>
    <n v="100945"/>
    <n v="74490"/>
  </r>
  <r>
    <x v="6"/>
    <x v="6"/>
    <x v="0"/>
    <n v="55"/>
    <n v="76197"/>
    <n v="129990"/>
    <x v="5"/>
    <n v="4.8"/>
    <n v="53793"/>
    <x v="3"/>
    <n v="-53793"/>
    <n v="-0.70597267608960979"/>
    <x v="0"/>
    <s v="Good Ratings"/>
    <n v="98990"/>
    <n v="76737"/>
  </r>
  <r>
    <x v="2"/>
    <x v="2"/>
    <x v="3"/>
    <n v="32"/>
    <n v="17999"/>
    <n v="23999"/>
    <x v="1"/>
    <n v="4.2"/>
    <n v="6000"/>
    <x v="0"/>
    <n v="-6000"/>
    <n v="-0.33335185288071562"/>
    <x v="0"/>
    <s v="Medium Ratings"/>
    <n v="23999"/>
    <n v="17999"/>
  </r>
  <r>
    <x v="24"/>
    <x v="24"/>
    <x v="3"/>
    <n v="43"/>
    <n v="22999"/>
    <n v="26990"/>
    <x v="1"/>
    <n v="3.9"/>
    <n v="3991"/>
    <x v="4"/>
    <n v="-3991"/>
    <n v="-0.17352928388190791"/>
    <x v="2"/>
    <s v="Medium Ratings"/>
    <n v="24990"/>
    <n v="16825"/>
  </r>
  <r>
    <x v="10"/>
    <x v="10"/>
    <x v="1"/>
    <n v="55"/>
    <n v="159500"/>
    <n v="244900"/>
    <x v="4"/>
    <n v="4.4000000000000004"/>
    <n v="85400"/>
    <x v="0"/>
    <n v="-85400"/>
    <n v="-0.53542319749216305"/>
    <x v="0"/>
    <s v="Medium Ratings"/>
    <n v="100945"/>
    <n v="74490"/>
  </r>
  <r>
    <x v="24"/>
    <x v="24"/>
    <x v="3"/>
    <n v="43"/>
    <n v="23990"/>
    <n v="33000"/>
    <x v="1"/>
    <n v="4.3"/>
    <n v="9010"/>
    <x v="0"/>
    <n v="-9010"/>
    <n v="-0.37557315548145059"/>
    <x v="0"/>
    <s v="Medium Ratings"/>
    <n v="24990"/>
    <n v="16825"/>
  </r>
  <r>
    <x v="6"/>
    <x v="6"/>
    <x v="0"/>
    <n v="43"/>
    <n v="47499"/>
    <n v="75343"/>
    <x v="5"/>
    <n v="4.5"/>
    <n v="27844"/>
    <x v="3"/>
    <n v="-27844"/>
    <n v="-0.58620181477504785"/>
    <x v="0"/>
    <s v="Good Ratings"/>
    <n v="98990"/>
    <n v="76737"/>
  </r>
  <r>
    <x v="6"/>
    <x v="6"/>
    <x v="0"/>
    <n v="43"/>
    <n v="46969"/>
    <n v="64990"/>
    <x v="5"/>
    <m/>
    <n v="18021"/>
    <x v="0"/>
    <n v="-18021"/>
    <n v="-0.38367859652110969"/>
    <x v="0"/>
    <s v="Ratings Not Given"/>
    <n v="98990"/>
    <n v="76737"/>
  </r>
  <r>
    <x v="1"/>
    <x v="1"/>
    <x v="3"/>
    <n v="75"/>
    <n v="144790"/>
    <n v="259990"/>
    <x v="1"/>
    <n v="4.3"/>
    <n v="115200"/>
    <x v="3"/>
    <n v="-115200"/>
    <n v="-0.79563505766972853"/>
    <x v="0"/>
    <s v="Medium Ratings"/>
    <n v="77990"/>
    <n v="40999"/>
  </r>
  <r>
    <x v="6"/>
    <x v="6"/>
    <x v="2"/>
    <n v="32"/>
    <n v="22200"/>
    <n v="25999"/>
    <x v="5"/>
    <n v="4.3"/>
    <n v="3799"/>
    <x v="4"/>
    <n v="-3799"/>
    <n v="-0.17112612612612613"/>
    <x v="2"/>
    <s v="Medium Ratings"/>
    <n v="98990"/>
    <n v="76737"/>
  </r>
  <r>
    <x v="27"/>
    <x v="27"/>
    <x v="2"/>
    <n v="24"/>
    <n v="9999"/>
    <n v="17990"/>
    <x v="1"/>
    <n v="4.0999999999999996"/>
    <n v="7991"/>
    <x v="3"/>
    <n v="-7991"/>
    <n v="-0.79917991799179922"/>
    <x v="0"/>
    <s v="Medium Ratings"/>
    <n v="26340"/>
    <n v="13649"/>
  </r>
  <r>
    <x v="10"/>
    <x v="10"/>
    <x v="0"/>
    <n v="50"/>
    <n v="55790"/>
    <n v="69900"/>
    <x v="4"/>
    <m/>
    <n v="14110"/>
    <x v="2"/>
    <n v="-14110"/>
    <n v="-0.25291270837067575"/>
    <x v="0"/>
    <s v="Ratings Not Given"/>
    <n v="100945"/>
    <n v="74490"/>
  </r>
  <r>
    <x v="10"/>
    <x v="10"/>
    <x v="1"/>
    <n v="55"/>
    <n v="89390"/>
    <n v="134900"/>
    <x v="4"/>
    <m/>
    <n v="45510"/>
    <x v="0"/>
    <n v="-45510"/>
    <n v="-0.50911735093410893"/>
    <x v="0"/>
    <s v="Ratings Not Given"/>
    <n v="100945"/>
    <n v="74490"/>
  </r>
  <r>
    <x v="6"/>
    <x v="6"/>
    <x v="0"/>
    <n v="43"/>
    <n v="46590"/>
    <n v="59990"/>
    <x v="5"/>
    <n v="4.5"/>
    <n v="13400"/>
    <x v="2"/>
    <n v="-13400"/>
    <n v="-0.28761536810474353"/>
    <x v="0"/>
    <s v="Good Ratings"/>
    <n v="98990"/>
    <n v="76737"/>
  </r>
  <r>
    <x v="6"/>
    <x v="6"/>
    <x v="3"/>
    <n v="55"/>
    <n v="103990"/>
    <n v="103990"/>
    <x v="5"/>
    <n v="4.2"/>
    <n v="0"/>
    <x v="7"/>
    <n v="0"/>
    <n v="0"/>
    <x v="2"/>
    <s v="Medium Ratings"/>
    <n v="98990"/>
    <n v="76737"/>
  </r>
  <r>
    <x v="10"/>
    <x v="10"/>
    <x v="0"/>
    <n v="65"/>
    <n v="85990"/>
    <n v="116900"/>
    <x v="4"/>
    <n v="4.3"/>
    <n v="30910"/>
    <x v="0"/>
    <n v="-30910"/>
    <n v="-0.35946040237236887"/>
    <x v="0"/>
    <s v="Medium Ratings"/>
    <n v="100945"/>
    <n v="74490"/>
  </r>
  <r>
    <x v="10"/>
    <x v="10"/>
    <x v="1"/>
    <n v="65"/>
    <n v="318700"/>
    <n v="399900"/>
    <x v="4"/>
    <m/>
    <n v="81200"/>
    <x v="2"/>
    <n v="-81200"/>
    <n v="-0.25478506432381548"/>
    <x v="0"/>
    <s v="Ratings Not Given"/>
    <n v="100945"/>
    <n v="74490"/>
  </r>
  <r>
    <x v="10"/>
    <x v="10"/>
    <x v="0"/>
    <n v="43"/>
    <n v="44870"/>
    <n v="54900"/>
    <x v="4"/>
    <m/>
    <n v="10030"/>
    <x v="2"/>
    <n v="-10030"/>
    <n v="-0.22353465567194117"/>
    <x v="0"/>
    <s v="Ratings Not Given"/>
    <n v="100945"/>
    <n v="74490"/>
  </r>
  <r>
    <x v="10"/>
    <x v="10"/>
    <x v="0"/>
    <n v="43"/>
    <n v="38999"/>
    <n v="48900"/>
    <x v="4"/>
    <n v="4.3"/>
    <n v="9901"/>
    <x v="2"/>
    <n v="-9901"/>
    <n v="-0.25387830457191213"/>
    <x v="0"/>
    <s v="Medium Ratings"/>
    <n v="100945"/>
    <n v="74490"/>
  </r>
  <r>
    <x v="3"/>
    <x v="3"/>
    <x v="2"/>
    <n v="32"/>
    <n v="14999"/>
    <n v="14999"/>
    <x v="1"/>
    <n v="4.4000000000000004"/>
    <n v="0"/>
    <x v="7"/>
    <n v="0"/>
    <n v="0"/>
    <x v="2"/>
    <s v="Medium Ratings"/>
    <n v="34999"/>
    <n v="27999"/>
  </r>
  <r>
    <x v="6"/>
    <x v="6"/>
    <x v="0"/>
    <n v="55"/>
    <n v="57200"/>
    <n v="84990"/>
    <x v="5"/>
    <m/>
    <n v="27790"/>
    <x v="0"/>
    <n v="-27790"/>
    <n v="-0.48583916083916084"/>
    <x v="0"/>
    <s v="Ratings Not Given"/>
    <n v="98990"/>
    <n v="76737"/>
  </r>
  <r>
    <x v="6"/>
    <x v="6"/>
    <x v="0"/>
    <n v="65"/>
    <n v="139999"/>
    <n v="254990"/>
    <x v="5"/>
    <m/>
    <n v="114991"/>
    <x v="5"/>
    <n v="-114991"/>
    <n v="-0.82137015264394742"/>
    <x v="1"/>
    <s v="Ratings Not Given"/>
    <n v="98990"/>
    <n v="76737"/>
  </r>
  <r>
    <x v="28"/>
    <x v="28"/>
    <x v="3"/>
    <n v="42"/>
    <n v="18499"/>
    <n v="32999"/>
    <x v="1"/>
    <m/>
    <n v="14500"/>
    <x v="3"/>
    <n v="-14500"/>
    <n v="-0.78382615276501433"/>
    <x v="0"/>
    <s v="Ratings Not Given"/>
    <n v="21499"/>
    <n v="13999"/>
  </r>
  <r>
    <x v="15"/>
    <x v="15"/>
    <x v="0"/>
    <n v="65"/>
    <n v="169900"/>
    <n v="239900"/>
    <x v="2"/>
    <m/>
    <n v="70000"/>
    <x v="0"/>
    <n v="-70000"/>
    <n v="-0.41200706297822248"/>
    <x v="0"/>
    <s v="Ratings Not Given"/>
    <n v="87400"/>
    <n v="64294.5"/>
  </r>
  <r>
    <x v="8"/>
    <x v="8"/>
    <x v="1"/>
    <n v="65"/>
    <n v="84999"/>
    <n v="229990"/>
    <x v="1"/>
    <n v="4.3"/>
    <n v="144991"/>
    <x v="1"/>
    <n v="-144991"/>
    <n v="-1.7057965387828091"/>
    <x v="1"/>
    <s v="Medium Ratings"/>
    <n v="76990"/>
    <n v="36999"/>
  </r>
  <r>
    <x v="15"/>
    <x v="15"/>
    <x v="0"/>
    <n v="55"/>
    <n v="102290"/>
    <n v="139900"/>
    <x v="1"/>
    <m/>
    <n v="37610"/>
    <x v="0"/>
    <n v="-37610"/>
    <n v="-0.36768012513442172"/>
    <x v="0"/>
    <s v="Ratings Not Given"/>
    <n v="87400"/>
    <n v="64294.5"/>
  </r>
  <r>
    <x v="28"/>
    <x v="28"/>
    <x v="2"/>
    <n v="32"/>
    <n v="10999"/>
    <n v="15999"/>
    <x v="1"/>
    <n v="4.3"/>
    <n v="5000"/>
    <x v="0"/>
    <n v="-5000"/>
    <n v="-0.45458678061641966"/>
    <x v="0"/>
    <s v="Medium Ratings"/>
    <n v="21499"/>
    <n v="13999"/>
  </r>
  <r>
    <x v="6"/>
    <x v="6"/>
    <x v="0"/>
    <n v="65"/>
    <n v="199999"/>
    <n v="349990"/>
    <x v="5"/>
    <n v="4.4000000000000004"/>
    <n v="149991"/>
    <x v="3"/>
    <n v="-149991"/>
    <n v="-0.74995874979374899"/>
    <x v="0"/>
    <s v="Medium Ratings"/>
    <n v="98990"/>
    <n v="76737"/>
  </r>
  <r>
    <x v="6"/>
    <x v="6"/>
    <x v="0"/>
    <n v="55"/>
    <n v="99999"/>
    <n v="166990"/>
    <x v="5"/>
    <m/>
    <n v="66991"/>
    <x v="3"/>
    <n v="-66991"/>
    <n v="-0.6699166991669917"/>
    <x v="0"/>
    <s v="Ratings Not Given"/>
    <n v="98990"/>
    <n v="76737"/>
  </r>
  <r>
    <x v="6"/>
    <x v="6"/>
    <x v="0"/>
    <n v="55"/>
    <n v="155879"/>
    <n v="226990"/>
    <x v="5"/>
    <m/>
    <n v="71111"/>
    <x v="0"/>
    <n v="-71111"/>
    <n v="-0.4561935860507188"/>
    <x v="0"/>
    <s v="Ratings Not Given"/>
    <n v="98990"/>
    <n v="76737"/>
  </r>
  <r>
    <x v="6"/>
    <x v="6"/>
    <x v="0"/>
    <n v="65"/>
    <n v="279990"/>
    <n v="399990"/>
    <x v="5"/>
    <m/>
    <n v="120000"/>
    <x v="0"/>
    <n v="-120000"/>
    <n v="-0.4285867352405443"/>
    <x v="0"/>
    <s v="Ratings Not Given"/>
    <n v="98990"/>
    <n v="76737"/>
  </r>
  <r>
    <x v="10"/>
    <x v="10"/>
    <x v="0"/>
    <n v="55"/>
    <n v="64299"/>
    <n v="86900"/>
    <x v="4"/>
    <n v="4.5999999999999996"/>
    <n v="22601"/>
    <x v="0"/>
    <n v="-22601"/>
    <n v="-0.35149846809437163"/>
    <x v="0"/>
    <s v="Good Ratings"/>
    <n v="100945"/>
    <n v="74490"/>
  </r>
  <r>
    <x v="15"/>
    <x v="15"/>
    <x v="0"/>
    <n v="75"/>
    <n v="199491"/>
    <n v="299900"/>
    <x v="2"/>
    <n v="4.7"/>
    <n v="100409"/>
    <x v="0"/>
    <n v="-100409"/>
    <n v="-0.50332596457985568"/>
    <x v="0"/>
    <s v="Good Ratings"/>
    <n v="87400"/>
    <n v="64294.5"/>
  </r>
  <r>
    <x v="10"/>
    <x v="10"/>
    <x v="1"/>
    <n v="65"/>
    <n v="224999"/>
    <n v="279900"/>
    <x v="4"/>
    <n v="5"/>
    <n v="54901"/>
    <x v="2"/>
    <n v="-54901"/>
    <n v="-0.24400552891346183"/>
    <x v="0"/>
    <s v="Good Ratings"/>
    <n v="100945"/>
    <n v="74490"/>
  </r>
  <r>
    <x v="10"/>
    <x v="10"/>
    <x v="0"/>
    <n v="55"/>
    <n v="104900"/>
    <n v="104900"/>
    <x v="4"/>
    <n v="4.4000000000000004"/>
    <n v="0"/>
    <x v="7"/>
    <n v="0"/>
    <n v="0"/>
    <x v="2"/>
    <s v="Medium Ratings"/>
    <n v="100945"/>
    <n v="74490"/>
  </r>
  <r>
    <x v="6"/>
    <x v="6"/>
    <x v="0"/>
    <n v="43"/>
    <n v="43599"/>
    <n v="59990"/>
    <x v="5"/>
    <m/>
    <n v="16391"/>
    <x v="0"/>
    <n v="-16391"/>
    <n v="-0.37594898965572604"/>
    <x v="0"/>
    <s v="Ratings Not Given"/>
    <n v="98990"/>
    <n v="76737"/>
  </r>
  <r>
    <x v="5"/>
    <x v="5"/>
    <x v="2"/>
    <n v="32"/>
    <n v="18490"/>
    <n v="24990"/>
    <x v="1"/>
    <m/>
    <n v="6500"/>
    <x v="0"/>
    <n v="-6500"/>
    <n v="-0.35154137371552191"/>
    <x v="0"/>
    <s v="Ratings Not Given"/>
    <n v="50490"/>
    <n v="39499"/>
  </r>
  <r>
    <x v="6"/>
    <x v="6"/>
    <x v="3"/>
    <n v="43"/>
    <n v="36499"/>
    <n v="41990"/>
    <x v="5"/>
    <n v="4.4000000000000004"/>
    <n v="5491"/>
    <x v="4"/>
    <n v="-5491"/>
    <n v="-0.15044247787610621"/>
    <x v="2"/>
    <s v="Medium Ratings"/>
    <n v="98990"/>
    <n v="76737"/>
  </r>
  <r>
    <x v="10"/>
    <x v="10"/>
    <x v="1"/>
    <n v="55"/>
    <n v="144990"/>
    <n v="199990"/>
    <x v="4"/>
    <m/>
    <n v="55000"/>
    <x v="0"/>
    <n v="-55000"/>
    <n v="-0.37933650596592866"/>
    <x v="0"/>
    <s v="Ratings Not Given"/>
    <n v="100945"/>
    <n v="74490"/>
  </r>
  <r>
    <x v="6"/>
    <x v="6"/>
    <x v="0"/>
    <n v="55"/>
    <n v="128100"/>
    <n v="209990"/>
    <x v="5"/>
    <m/>
    <n v="81890"/>
    <x v="3"/>
    <n v="-81890"/>
    <n v="-0.63926619828259168"/>
    <x v="0"/>
    <s v="Ratings Not Given"/>
    <n v="98990"/>
    <n v="76737"/>
  </r>
  <r>
    <x v="1"/>
    <x v="1"/>
    <x v="0"/>
    <n v="55"/>
    <n v="55499"/>
    <n v="89900"/>
    <x v="1"/>
    <n v="4.3"/>
    <n v="34401"/>
    <x v="3"/>
    <n v="-34401"/>
    <n v="-0.61984900628840156"/>
    <x v="0"/>
    <s v="Medium Ratings"/>
    <n v="77990"/>
    <n v="40999"/>
  </r>
  <r>
    <x v="24"/>
    <x v="24"/>
    <x v="0"/>
    <n v="49"/>
    <n v="42490"/>
    <n v="59990"/>
    <x v="1"/>
    <n v="4.2"/>
    <n v="17500"/>
    <x v="0"/>
    <n v="-17500"/>
    <n v="-0.41186161449752884"/>
    <x v="0"/>
    <s v="Medium Ratings"/>
    <n v="24990"/>
    <n v="16825"/>
  </r>
  <r>
    <x v="6"/>
    <x v="6"/>
    <x v="0"/>
    <n v="55"/>
    <n v="63990"/>
    <n v="91990"/>
    <x v="5"/>
    <n v="4.7"/>
    <n v="28000"/>
    <x v="0"/>
    <n v="-28000"/>
    <n v="-0.43756837005782151"/>
    <x v="0"/>
    <s v="Good Ratings"/>
    <n v="98990"/>
    <n v="76737"/>
  </r>
  <r>
    <x v="10"/>
    <x v="10"/>
    <x v="1"/>
    <n v="55"/>
    <n v="163738"/>
    <n v="211900"/>
    <x v="4"/>
    <m/>
    <n v="48162"/>
    <x v="2"/>
    <n v="-48162"/>
    <n v="-0.29414063931402606"/>
    <x v="0"/>
    <s v="Ratings Not Given"/>
    <n v="100945"/>
    <n v="74490"/>
  </r>
  <r>
    <x v="20"/>
    <x v="20"/>
    <x v="0"/>
    <n v="65"/>
    <n v="55999"/>
    <n v="75999"/>
    <x v="1"/>
    <m/>
    <n v="20000"/>
    <x v="0"/>
    <n v="-20000"/>
    <n v="-0.35714923480776445"/>
    <x v="0"/>
    <s v="Ratings Not Given"/>
    <n v="40000"/>
    <n v="21999"/>
  </r>
  <r>
    <x v="8"/>
    <x v="8"/>
    <x v="0"/>
    <n v="55"/>
    <n v="36999"/>
    <n v="59990"/>
    <x v="1"/>
    <n v="4.3"/>
    <n v="22991"/>
    <x v="3"/>
    <n v="-22991"/>
    <n v="-0.62139517284250922"/>
    <x v="0"/>
    <s v="Medium Ratings"/>
    <n v="76990"/>
    <n v="36999"/>
  </r>
  <r>
    <x v="15"/>
    <x v="15"/>
    <x v="0"/>
    <n v="65"/>
    <n v="113999"/>
    <n v="179900"/>
    <x v="1"/>
    <n v="4.4000000000000004"/>
    <n v="65901"/>
    <x v="3"/>
    <n v="-65901"/>
    <n v="-0.57808401828086209"/>
    <x v="0"/>
    <s v="Medium Ratings"/>
    <n v="87400"/>
    <n v="64294.5"/>
  </r>
  <r>
    <x v="29"/>
    <x v="29"/>
    <x v="3"/>
    <n v="42"/>
    <n v="28240"/>
    <n v="43990"/>
    <x v="1"/>
    <n v="5"/>
    <n v="15750"/>
    <x v="3"/>
    <n v="-15750"/>
    <n v="-0.55771954674220958"/>
    <x v="0"/>
    <s v="Good Ratings"/>
    <n v="43990"/>
    <n v="30994.5"/>
  </r>
  <r>
    <x v="10"/>
    <x v="10"/>
    <x v="0"/>
    <n v="65"/>
    <n v="295900"/>
    <n v="295900"/>
    <x v="4"/>
    <m/>
    <n v="0"/>
    <x v="7"/>
    <n v="0"/>
    <n v="0"/>
    <x v="2"/>
    <s v="Ratings Not Given"/>
    <n v="100945"/>
    <n v="74490"/>
  </r>
  <r>
    <x v="15"/>
    <x v="15"/>
    <x v="0"/>
    <n v="65"/>
    <n v="469999"/>
    <n v="529900"/>
    <x v="1"/>
    <n v="5"/>
    <n v="59901"/>
    <x v="4"/>
    <n v="-59901"/>
    <n v="-0.12744920733873902"/>
    <x v="2"/>
    <s v="Good Ratings"/>
    <n v="87400"/>
    <n v="64294.5"/>
  </r>
  <r>
    <x v="23"/>
    <x v="23"/>
    <x v="0"/>
    <n v="55"/>
    <n v="62738"/>
    <n v="82990"/>
    <x v="2"/>
    <m/>
    <n v="20252"/>
    <x v="2"/>
    <n v="-20252"/>
    <n v="-0.32280276706302402"/>
    <x v="0"/>
    <s v="Ratings Not Given"/>
    <n v="64195"/>
    <n v="43129"/>
  </r>
  <r>
    <x v="15"/>
    <x v="15"/>
    <x v="0"/>
    <n v="75"/>
    <n v="259999"/>
    <n v="499900"/>
    <x v="1"/>
    <n v="3.7"/>
    <n v="239901"/>
    <x v="5"/>
    <n v="-239901"/>
    <n v="-0.92269970269116419"/>
    <x v="1"/>
    <s v="Bad Ratings"/>
    <n v="87400"/>
    <n v="64294.5"/>
  </r>
  <r>
    <x v="6"/>
    <x v="6"/>
    <x v="0"/>
    <n v="65"/>
    <n v="249999"/>
    <n v="409990"/>
    <x v="5"/>
    <n v="4.8"/>
    <n v="159991"/>
    <x v="3"/>
    <n v="-159991"/>
    <n v="-0.63996655986623951"/>
    <x v="0"/>
    <s v="Good Ratings"/>
    <n v="98990"/>
    <n v="76737"/>
  </r>
  <r>
    <x v="0"/>
    <x v="0"/>
    <x v="0"/>
    <n v="50"/>
    <n v="33999"/>
    <n v="46990"/>
    <x v="0"/>
    <n v="4.3"/>
    <n v="12991"/>
    <x v="0"/>
    <n v="-12991"/>
    <n v="-0.38209947351392687"/>
    <x v="0"/>
    <s v="Medium Ratings"/>
    <n v="46990"/>
    <n v="29999"/>
  </r>
  <r>
    <x v="6"/>
    <x v="6"/>
    <x v="3"/>
    <n v="49"/>
    <n v="77990"/>
    <n v="77990"/>
    <x v="5"/>
    <n v="4.8"/>
    <n v="0"/>
    <x v="7"/>
    <n v="0"/>
    <n v="0"/>
    <x v="2"/>
    <s v="Good Ratings"/>
    <n v="98990"/>
    <n v="76737"/>
  </r>
  <r>
    <x v="0"/>
    <x v="0"/>
    <x v="2"/>
    <n v="32"/>
    <n v="17499"/>
    <n v="18990"/>
    <x v="0"/>
    <n v="4.3"/>
    <n v="1491"/>
    <x v="4"/>
    <n v="-1491"/>
    <n v="-8.5204868849648549E-2"/>
    <x v="2"/>
    <s v="Medium Ratings"/>
    <n v="46990"/>
    <n v="29999"/>
  </r>
  <r>
    <x v="8"/>
    <x v="8"/>
    <x v="0"/>
    <n v="75"/>
    <n v="149999"/>
    <n v="239999"/>
    <x v="1"/>
    <n v="4.2"/>
    <n v="90000"/>
    <x v="3"/>
    <n v="-90000"/>
    <n v="-0.60000400002666687"/>
    <x v="0"/>
    <s v="Medium Ratings"/>
    <n v="76990"/>
    <n v="36999"/>
  </r>
  <r>
    <x v="23"/>
    <x v="23"/>
    <x v="3"/>
    <n v="32"/>
    <n v="22990"/>
    <n v="24990"/>
    <x v="1"/>
    <n v="4.2"/>
    <n v="2000"/>
    <x v="4"/>
    <n v="-2000"/>
    <n v="-8.6994345367551115E-2"/>
    <x v="2"/>
    <s v="Medium Ratings"/>
    <n v="64195"/>
    <n v="43129"/>
  </r>
  <r>
    <x v="6"/>
    <x v="6"/>
    <x v="0"/>
    <n v="65"/>
    <n v="93999"/>
    <n v="129990"/>
    <x v="5"/>
    <n v="4.5"/>
    <n v="35991"/>
    <x v="0"/>
    <n v="-35991"/>
    <n v="-0.3828870519899148"/>
    <x v="0"/>
    <s v="Good Ratings"/>
    <n v="98990"/>
    <n v="76737"/>
  </r>
  <r>
    <x v="10"/>
    <x v="10"/>
    <x v="0"/>
    <n v="50"/>
    <n v="53200"/>
    <n v="64990"/>
    <x v="4"/>
    <m/>
    <n v="11790"/>
    <x v="2"/>
    <n v="-11790"/>
    <n v="-0.22161654135338346"/>
    <x v="0"/>
    <s v="Ratings Not Given"/>
    <n v="100945"/>
    <n v="74490"/>
  </r>
  <r>
    <x v="22"/>
    <x v="22"/>
    <x v="2"/>
    <n v="32"/>
    <n v="12499"/>
    <n v="14990"/>
    <x v="2"/>
    <n v="3.7"/>
    <n v="2491"/>
    <x v="2"/>
    <n v="-2491"/>
    <n v="-0.19929594367549405"/>
    <x v="0"/>
    <s v="Bad Ratings"/>
    <n v="20990"/>
    <n v="16499"/>
  </r>
  <r>
    <x v="10"/>
    <x v="10"/>
    <x v="1"/>
    <n v="65"/>
    <n v="148990"/>
    <n v="259900"/>
    <x v="4"/>
    <m/>
    <n v="110910"/>
    <x v="3"/>
    <n v="-110910"/>
    <n v="-0.74441237666957516"/>
    <x v="0"/>
    <s v="Ratings Not Given"/>
    <n v="100945"/>
    <n v="74490"/>
  </r>
  <r>
    <x v="10"/>
    <x v="10"/>
    <x v="0"/>
    <n v="43"/>
    <n v="49990"/>
    <n v="62900"/>
    <x v="4"/>
    <m/>
    <n v="12910"/>
    <x v="2"/>
    <n v="-12910"/>
    <n v="-0.25825165033006603"/>
    <x v="0"/>
    <s v="Ratings Not Given"/>
    <n v="100945"/>
    <n v="74490"/>
  </r>
  <r>
    <x v="30"/>
    <x v="30"/>
    <x v="3"/>
    <n v="40"/>
    <n v="17999"/>
    <n v="29990"/>
    <x v="1"/>
    <n v="4.0999999999999996"/>
    <n v="11991"/>
    <x v="3"/>
    <n v="-11991"/>
    <n v="-0.66620367798211011"/>
    <x v="0"/>
    <s v="Medium Ratings"/>
    <n v="34990"/>
    <n v="29399.5"/>
  </r>
  <r>
    <x v="6"/>
    <x v="6"/>
    <x v="0"/>
    <n v="65"/>
    <n v="262999"/>
    <n v="364990"/>
    <x v="5"/>
    <m/>
    <n v="101991"/>
    <x v="0"/>
    <n v="-101991"/>
    <n v="-0.38779995361199093"/>
    <x v="0"/>
    <s v="Ratings Not Given"/>
    <n v="98990"/>
    <n v="76737"/>
  </r>
  <r>
    <x v="6"/>
    <x v="6"/>
    <x v="0"/>
    <n v="55"/>
    <n v="149999"/>
    <n v="229990"/>
    <x v="5"/>
    <n v="4.3"/>
    <n v="79991"/>
    <x v="0"/>
    <n v="-79991"/>
    <n v="-0.53327688851259003"/>
    <x v="0"/>
    <s v="Medium Ratings"/>
    <n v="98990"/>
    <n v="76737"/>
  </r>
  <r>
    <x v="6"/>
    <x v="6"/>
    <x v="0"/>
    <n v="65"/>
    <n v="224999"/>
    <n v="379990"/>
    <x v="5"/>
    <n v="5"/>
    <n v="154991"/>
    <x v="3"/>
    <n v="-154991"/>
    <n v="-0.68885195045311309"/>
    <x v="0"/>
    <s v="Good Ratings"/>
    <n v="98990"/>
    <n v="76737"/>
  </r>
  <r>
    <x v="29"/>
    <x v="29"/>
    <x v="0"/>
    <n v="43"/>
    <n v="34999"/>
    <n v="43990"/>
    <x v="1"/>
    <n v="4.0999999999999996"/>
    <n v="8991"/>
    <x v="2"/>
    <n v="-8991"/>
    <n v="-0.25689305408725965"/>
    <x v="0"/>
    <s v="Medium Ratings"/>
    <n v="43990"/>
    <n v="30994.5"/>
  </r>
  <r>
    <x v="15"/>
    <x v="15"/>
    <x v="2"/>
    <n v="32"/>
    <n v="26374"/>
    <n v="29800"/>
    <x v="1"/>
    <n v="4.4000000000000004"/>
    <n v="3426"/>
    <x v="4"/>
    <n v="-3426"/>
    <n v="-0.12990065974065368"/>
    <x v="2"/>
    <s v="Medium Ratings"/>
    <n v="87400"/>
    <n v="64294.5"/>
  </r>
  <r>
    <x v="15"/>
    <x v="15"/>
    <x v="3"/>
    <n v="50"/>
    <n v="60291"/>
    <n v="64900"/>
    <x v="2"/>
    <n v="4.5"/>
    <n v="4609"/>
    <x v="4"/>
    <n v="-4609"/>
    <n v="-7.6445904032110934E-2"/>
    <x v="2"/>
    <s v="Good Ratings"/>
    <n v="87400"/>
    <n v="64294.5"/>
  </r>
  <r>
    <x v="25"/>
    <x v="25"/>
    <x v="0"/>
    <n v="55"/>
    <n v="119990"/>
    <n v="119990"/>
    <x v="1"/>
    <n v="4.3"/>
    <n v="0"/>
    <x v="7"/>
    <n v="0"/>
    <n v="0"/>
    <x v="2"/>
    <s v="Medium Ratings"/>
    <n v="35174.5"/>
    <n v="29990"/>
  </r>
  <r>
    <x v="1"/>
    <x v="1"/>
    <x v="0"/>
    <n v="55"/>
    <n v="47499"/>
    <n v="79990"/>
    <x v="1"/>
    <n v="3.9"/>
    <n v="32491"/>
    <x v="3"/>
    <n v="-32491"/>
    <n v="-0.6840354533779659"/>
    <x v="0"/>
    <s v="Medium Ratings"/>
    <n v="77990"/>
    <n v="40999"/>
  </r>
  <r>
    <x v="12"/>
    <x v="12"/>
    <x v="0"/>
    <n v="55"/>
    <n v="41999"/>
    <n v="58000"/>
    <x v="1"/>
    <n v="4.4000000000000004"/>
    <n v="16001"/>
    <x v="0"/>
    <n v="-16001"/>
    <n v="-0.38098526155384654"/>
    <x v="0"/>
    <s v="Medium Ratings"/>
    <n v="49990"/>
    <n v="30999"/>
  </r>
  <r>
    <x v="31"/>
    <x v="31"/>
    <x v="2"/>
    <n v="24"/>
    <n v="9990"/>
    <n v="12990"/>
    <x v="6"/>
    <n v="4"/>
    <n v="3000"/>
    <x v="2"/>
    <n v="-3000"/>
    <n v="-0.3003003003003003"/>
    <x v="0"/>
    <s v="Medium Ratings"/>
    <n v="12000"/>
    <n v="5490"/>
  </r>
  <r>
    <x v="10"/>
    <x v="10"/>
    <x v="0"/>
    <n v="65"/>
    <n v="294900"/>
    <n v="294900"/>
    <x v="4"/>
    <n v="4.7"/>
    <n v="0"/>
    <x v="7"/>
    <n v="0"/>
    <n v="0"/>
    <x v="2"/>
    <s v="Good Ratings"/>
    <n v="100945"/>
    <n v="74490"/>
  </r>
  <r>
    <x v="6"/>
    <x v="6"/>
    <x v="0"/>
    <n v="70"/>
    <n v="94990"/>
    <n v="169990"/>
    <x v="5"/>
    <m/>
    <n v="75000"/>
    <x v="3"/>
    <n v="-75000"/>
    <n v="-0.78955679545215285"/>
    <x v="0"/>
    <s v="Ratings Not Given"/>
    <n v="98990"/>
    <n v="76737"/>
  </r>
  <r>
    <x v="3"/>
    <x v="3"/>
    <x v="2"/>
    <n v="32"/>
    <n v="15999"/>
    <n v="15999"/>
    <x v="1"/>
    <n v="4.4000000000000004"/>
    <n v="0"/>
    <x v="7"/>
    <n v="0"/>
    <n v="0"/>
    <x v="2"/>
    <s v="Medium Ratings"/>
    <n v="34999"/>
    <n v="27999"/>
  </r>
  <r>
    <x v="16"/>
    <x v="16"/>
    <x v="2"/>
    <n v="32"/>
    <n v="11499"/>
    <n v="20990"/>
    <x v="1"/>
    <n v="4.3"/>
    <n v="9491"/>
    <x v="5"/>
    <n v="-9491"/>
    <n v="-0.8253761196625794"/>
    <x v="1"/>
    <s v="Medium Ratings"/>
    <n v="31990"/>
    <n v="22499"/>
  </r>
  <r>
    <x v="10"/>
    <x v="10"/>
    <x v="3"/>
    <n v="43"/>
    <n v="38990"/>
    <n v="56945"/>
    <x v="4"/>
    <m/>
    <n v="17955"/>
    <x v="0"/>
    <n v="-17955"/>
    <n v="-0.46050269299820468"/>
    <x v="0"/>
    <s v="Ratings Not Given"/>
    <n v="100945"/>
    <n v="74490"/>
  </r>
  <r>
    <x v="15"/>
    <x v="15"/>
    <x v="0"/>
    <n v="65"/>
    <n v="259999"/>
    <n v="449900"/>
    <x v="1"/>
    <n v="4.3"/>
    <n v="189901"/>
    <x v="3"/>
    <n v="-189901"/>
    <n v="-0.73039127073565668"/>
    <x v="0"/>
    <s v="Medium Ratings"/>
    <n v="87400"/>
    <n v="64294.5"/>
  </r>
  <r>
    <x v="10"/>
    <x v="10"/>
    <x v="0"/>
    <n v="65"/>
    <n v="159500"/>
    <n v="234900"/>
    <x v="4"/>
    <n v="4.5999999999999996"/>
    <n v="75400"/>
    <x v="0"/>
    <n v="-75400"/>
    <n v="-0.47272727272727272"/>
    <x v="0"/>
    <s v="Good Ratings"/>
    <n v="100945"/>
    <n v="74490"/>
  </r>
  <r>
    <x v="6"/>
    <x v="6"/>
    <x v="0"/>
    <n v="65"/>
    <n v="164999"/>
    <n v="264990"/>
    <x v="5"/>
    <n v="4.7"/>
    <n v="99991"/>
    <x v="3"/>
    <n v="-99991"/>
    <n v="-0.60600973339232356"/>
    <x v="0"/>
    <s v="Good Ratings"/>
    <n v="98990"/>
    <n v="76737"/>
  </r>
  <r>
    <x v="15"/>
    <x v="15"/>
    <x v="0"/>
    <n v="65"/>
    <n v="149999"/>
    <n v="244900"/>
    <x v="1"/>
    <n v="4.7"/>
    <n v="94901"/>
    <x v="3"/>
    <n v="-94901"/>
    <n v="-0.63267755118367452"/>
    <x v="0"/>
    <s v="Good Ratings"/>
    <n v="87400"/>
    <n v="64294.5"/>
  </r>
  <r>
    <x v="10"/>
    <x v="10"/>
    <x v="1"/>
    <n v="49"/>
    <n v="74990"/>
    <n v="129900"/>
    <x v="4"/>
    <n v="4.7"/>
    <n v="54910"/>
    <x v="3"/>
    <n v="-54910"/>
    <n v="-0.73223096412855049"/>
    <x v="0"/>
    <s v="Good Ratings"/>
    <n v="100945"/>
    <n v="74490"/>
  </r>
  <r>
    <x v="18"/>
    <x v="18"/>
    <x v="3"/>
    <n v="43"/>
    <n v="28999"/>
    <n v="35990"/>
    <x v="2"/>
    <n v="4.0999999999999996"/>
    <n v="6991"/>
    <x v="2"/>
    <n v="-6991"/>
    <n v="-0.24107727852684574"/>
    <x v="0"/>
    <s v="Medium Ratings"/>
    <n v="44990"/>
    <n v="33459"/>
  </r>
  <r>
    <x v="30"/>
    <x v="30"/>
    <x v="0"/>
    <n v="58"/>
    <n v="53199"/>
    <n v="79990"/>
    <x v="1"/>
    <n v="4.2"/>
    <n v="26791"/>
    <x v="0"/>
    <n v="-26791"/>
    <n v="-0.50359969172352859"/>
    <x v="0"/>
    <s v="Medium Ratings"/>
    <n v="34990"/>
    <n v="29399.5"/>
  </r>
  <r>
    <x v="10"/>
    <x v="10"/>
    <x v="0"/>
    <n v="75"/>
    <n v="169990"/>
    <n v="254900"/>
    <x v="4"/>
    <m/>
    <n v="84910"/>
    <x v="0"/>
    <n v="-84910"/>
    <n v="-0.49949997058650508"/>
    <x v="0"/>
    <s v="Ratings Not Given"/>
    <n v="100945"/>
    <n v="74490"/>
  </r>
  <r>
    <x v="10"/>
    <x v="10"/>
    <x v="1"/>
    <n v="55"/>
    <n v="84999"/>
    <n v="133900"/>
    <x v="4"/>
    <n v="4.5999999999999996"/>
    <n v="48901"/>
    <x v="3"/>
    <n v="-48901"/>
    <n v="-0.5753126507370675"/>
    <x v="0"/>
    <s v="Good Ratings"/>
    <n v="100945"/>
    <n v="74490"/>
  </r>
  <r>
    <x v="6"/>
    <x v="6"/>
    <x v="0"/>
    <n v="55"/>
    <n v="124999"/>
    <n v="177990"/>
    <x v="5"/>
    <n v="4.4000000000000004"/>
    <n v="52991"/>
    <x v="0"/>
    <n v="-52991"/>
    <n v="-0.42393139145113162"/>
    <x v="0"/>
    <s v="Medium Ratings"/>
    <n v="98990"/>
    <n v="76737"/>
  </r>
  <r>
    <x v="6"/>
    <x v="6"/>
    <x v="0"/>
    <n v="75"/>
    <n v="385099"/>
    <n v="549990"/>
    <x v="5"/>
    <m/>
    <n v="164891"/>
    <x v="0"/>
    <n v="-164891"/>
    <n v="-0.428178208720355"/>
    <x v="0"/>
    <s v="Ratings Not Given"/>
    <n v="98990"/>
    <n v="76737"/>
  </r>
  <r>
    <x v="27"/>
    <x v="27"/>
    <x v="2"/>
    <n v="32"/>
    <n v="11299"/>
    <n v="22690"/>
    <x v="1"/>
    <n v="3.9"/>
    <n v="11391"/>
    <x v="5"/>
    <n v="-11391"/>
    <n v="-1.008142313479069"/>
    <x v="1"/>
    <s v="Medium Ratings"/>
    <n v="26340"/>
    <n v="13649"/>
  </r>
  <r>
    <x v="10"/>
    <x v="10"/>
    <x v="0"/>
    <n v="49"/>
    <n v="179900"/>
    <n v="179900"/>
    <x v="4"/>
    <n v="4.3"/>
    <n v="0"/>
    <x v="7"/>
    <n v="0"/>
    <n v="0"/>
    <x v="2"/>
    <s v="Medium Ratings"/>
    <n v="100945"/>
    <n v="74490"/>
  </r>
  <r>
    <x v="10"/>
    <x v="10"/>
    <x v="3"/>
    <n v="43"/>
    <n v="62900"/>
    <n v="62900"/>
    <x v="4"/>
    <n v="3.9"/>
    <n v="0"/>
    <x v="7"/>
    <n v="0"/>
    <n v="0"/>
    <x v="2"/>
    <s v="Medium Ratings"/>
    <n v="100945"/>
    <n v="74490"/>
  </r>
  <r>
    <x v="15"/>
    <x v="15"/>
    <x v="0"/>
    <n v="55"/>
    <n v="80799"/>
    <n v="94900"/>
    <x v="2"/>
    <n v="4.5999999999999996"/>
    <n v="14101"/>
    <x v="4"/>
    <n v="-14101"/>
    <n v="-0.17451948662730973"/>
    <x v="2"/>
    <s v="Good Ratings"/>
    <n v="87400"/>
    <n v="64294.5"/>
  </r>
  <r>
    <x v="15"/>
    <x v="15"/>
    <x v="0"/>
    <n v="49"/>
    <n v="64599"/>
    <n v="76900"/>
    <x v="1"/>
    <n v="4.5999999999999996"/>
    <n v="12301"/>
    <x v="2"/>
    <n v="-12301"/>
    <n v="-0.19042090434836453"/>
    <x v="0"/>
    <s v="Good Ratings"/>
    <n v="87400"/>
    <n v="64294.5"/>
  </r>
  <r>
    <x v="28"/>
    <x v="28"/>
    <x v="2"/>
    <n v="32"/>
    <n v="12499"/>
    <n v="18999"/>
    <x v="1"/>
    <m/>
    <n v="6500"/>
    <x v="0"/>
    <n v="-6500"/>
    <n v="-0.52004160332826621"/>
    <x v="0"/>
    <s v="Ratings Not Given"/>
    <n v="21499"/>
    <n v="13999"/>
  </r>
  <r>
    <x v="17"/>
    <x v="17"/>
    <x v="0"/>
    <n v="43"/>
    <n v="30999"/>
    <n v="46050"/>
    <x v="1"/>
    <n v="4.3"/>
    <n v="15051"/>
    <x v="0"/>
    <n v="-15051"/>
    <n v="-0.48553179134810798"/>
    <x v="0"/>
    <s v="Medium Ratings"/>
    <n v="54050"/>
    <n v="35999"/>
  </r>
  <r>
    <x v="10"/>
    <x v="10"/>
    <x v="1"/>
    <n v="65"/>
    <n v="470900"/>
    <n v="470900"/>
    <x v="4"/>
    <m/>
    <n v="0"/>
    <x v="7"/>
    <n v="0"/>
    <n v="0"/>
    <x v="2"/>
    <s v="Ratings Not Given"/>
    <n v="100945"/>
    <n v="74490"/>
  </r>
  <r>
    <x v="15"/>
    <x v="15"/>
    <x v="0"/>
    <n v="55"/>
    <n v="129990"/>
    <n v="155990"/>
    <x v="2"/>
    <m/>
    <n v="26000"/>
    <x v="2"/>
    <n v="-26000"/>
    <n v="-0.2000153857989076"/>
    <x v="0"/>
    <s v="Ratings Not Given"/>
    <n v="87400"/>
    <n v="64294.5"/>
  </r>
  <r>
    <x v="10"/>
    <x v="10"/>
    <x v="0"/>
    <n v="55"/>
    <n v="61890"/>
    <n v="79400"/>
    <x v="4"/>
    <m/>
    <n v="17510"/>
    <x v="2"/>
    <n v="-17510"/>
    <n v="-0.28292131200517046"/>
    <x v="0"/>
    <s v="Ratings Not Given"/>
    <n v="100945"/>
    <n v="74490"/>
  </r>
  <r>
    <x v="10"/>
    <x v="10"/>
    <x v="1"/>
    <n v="65"/>
    <n v="199990"/>
    <n v="284990"/>
    <x v="4"/>
    <m/>
    <n v="85000"/>
    <x v="0"/>
    <n v="-85000"/>
    <n v="-0.42502125106255312"/>
    <x v="0"/>
    <s v="Ratings Not Given"/>
    <n v="100945"/>
    <n v="74490"/>
  </r>
  <r>
    <x v="10"/>
    <x v="10"/>
    <x v="0"/>
    <n v="55"/>
    <n v="204900"/>
    <n v="204900"/>
    <x v="4"/>
    <n v="3"/>
    <n v="0"/>
    <x v="7"/>
    <n v="0"/>
    <n v="0"/>
    <x v="2"/>
    <s v="Bad Ratings"/>
    <n v="100945"/>
    <n v="74490"/>
  </r>
  <r>
    <x v="1"/>
    <x v="1"/>
    <x v="3"/>
    <n v="40"/>
    <n v="26990"/>
    <n v="39990"/>
    <x v="1"/>
    <n v="4.2"/>
    <n v="13000"/>
    <x v="0"/>
    <n v="-13000"/>
    <n v="-0.48165987402741756"/>
    <x v="0"/>
    <s v="Medium Ratings"/>
    <n v="77990"/>
    <n v="40999"/>
  </r>
  <r>
    <x v="6"/>
    <x v="6"/>
    <x v="0"/>
    <n v="55"/>
    <n v="64990"/>
    <n v="102990"/>
    <x v="5"/>
    <n v="4.3"/>
    <n v="38000"/>
    <x v="3"/>
    <n v="-38000"/>
    <n v="-0.58470533928296664"/>
    <x v="0"/>
    <s v="Medium Ratings"/>
    <n v="98990"/>
    <n v="76737"/>
  </r>
  <r>
    <x v="10"/>
    <x v="10"/>
    <x v="1"/>
    <n v="55"/>
    <n v="314900"/>
    <n v="314900"/>
    <x v="4"/>
    <m/>
    <n v="0"/>
    <x v="7"/>
    <n v="0"/>
    <n v="0"/>
    <x v="2"/>
    <s v="Ratings Not Given"/>
    <n v="100945"/>
    <n v="74490"/>
  </r>
  <r>
    <x v="25"/>
    <x v="25"/>
    <x v="0"/>
    <n v="55"/>
    <n v="69200"/>
    <n v="69200"/>
    <x v="1"/>
    <n v="3.7"/>
    <n v="0"/>
    <x v="7"/>
    <n v="0"/>
    <n v="0"/>
    <x v="2"/>
    <s v="Bad Ratings"/>
    <n v="35174.5"/>
    <n v="29990"/>
  </r>
  <r>
    <x v="32"/>
    <x v="32"/>
    <x v="0"/>
    <n v="65"/>
    <n v="74999"/>
    <n v="153990"/>
    <x v="2"/>
    <n v="4.8"/>
    <n v="78991"/>
    <x v="5"/>
    <n v="-78991"/>
    <n v="-1.0532273763650182"/>
    <x v="1"/>
    <s v="Good Ratings"/>
    <n v="44490"/>
    <n v="25740"/>
  </r>
  <r>
    <x v="15"/>
    <x v="15"/>
    <x v="0"/>
    <n v="55"/>
    <n v="109999"/>
    <n v="164900"/>
    <x v="1"/>
    <n v="3.6"/>
    <n v="54901"/>
    <x v="0"/>
    <n v="-54901"/>
    <n v="-0.49910453731397558"/>
    <x v="0"/>
    <s v="Bad Ratings"/>
    <n v="87400"/>
    <n v="64294.5"/>
  </r>
  <r>
    <x v="14"/>
    <x v="14"/>
    <x v="2"/>
    <n v="32"/>
    <n v="16999"/>
    <n v="16999"/>
    <x v="1"/>
    <n v="4.0999999999999996"/>
    <n v="0"/>
    <x v="7"/>
    <n v="0"/>
    <n v="0"/>
    <x v="2"/>
    <s v="Medium Ratings"/>
    <n v="28999"/>
    <n v="21749"/>
  </r>
  <r>
    <x v="6"/>
    <x v="6"/>
    <x v="0"/>
    <n v="55"/>
    <n v="61999"/>
    <n v="94990"/>
    <x v="5"/>
    <m/>
    <n v="32991"/>
    <x v="0"/>
    <n v="-32991"/>
    <n v="-0.53212148583041663"/>
    <x v="0"/>
    <s v="Ratings Not Given"/>
    <n v="98990"/>
    <n v="76737"/>
  </r>
  <r>
    <x v="18"/>
    <x v="18"/>
    <x v="2"/>
    <n v="32"/>
    <n v="18999"/>
    <n v="20990"/>
    <x v="1"/>
    <n v="4.0999999999999996"/>
    <n v="1991"/>
    <x v="4"/>
    <n v="-1991"/>
    <n v="-0.10479498920995842"/>
    <x v="2"/>
    <s v="Medium Ratings"/>
    <n v="44990"/>
    <n v="33459"/>
  </r>
  <r>
    <x v="10"/>
    <x v="10"/>
    <x v="0"/>
    <n v="49"/>
    <n v="64499"/>
    <n v="99900"/>
    <x v="4"/>
    <n v="4.5"/>
    <n v="35401"/>
    <x v="3"/>
    <n v="-35401"/>
    <n v="-0.54886122265461479"/>
    <x v="0"/>
    <s v="Good Ratings"/>
    <n v="100945"/>
    <n v="74490"/>
  </r>
  <r>
    <x v="6"/>
    <x v="6"/>
    <x v="0"/>
    <n v="55"/>
    <n v="81999"/>
    <n v="149990"/>
    <x v="5"/>
    <n v="4.8"/>
    <n v="67991"/>
    <x v="5"/>
    <n v="-67991"/>
    <n v="-0.82916864839815119"/>
    <x v="1"/>
    <s v="Good Ratings"/>
    <n v="98990"/>
    <n v="76737"/>
  </r>
  <r>
    <x v="23"/>
    <x v="23"/>
    <x v="2"/>
    <n v="32"/>
    <n v="28399"/>
    <n v="28400"/>
    <x v="1"/>
    <n v="4.2"/>
    <n v="1"/>
    <x v="7"/>
    <n v="-1"/>
    <n v="-3.521250748265784E-5"/>
    <x v="2"/>
    <s v="Medium Ratings"/>
    <n v="64195"/>
    <n v="43129"/>
  </r>
  <r>
    <x v="6"/>
    <x v="6"/>
    <x v="0"/>
    <n v="65"/>
    <n v="199999"/>
    <n v="349990"/>
    <x v="5"/>
    <m/>
    <n v="149991"/>
    <x v="3"/>
    <n v="-149991"/>
    <n v="-0.74995874979374899"/>
    <x v="0"/>
    <s v="Ratings Not Given"/>
    <n v="98990"/>
    <n v="76737"/>
  </r>
  <r>
    <x v="10"/>
    <x v="10"/>
    <x v="0"/>
    <n v="65"/>
    <n v="89990"/>
    <n v="124990"/>
    <x v="4"/>
    <m/>
    <n v="35000"/>
    <x v="0"/>
    <n v="-35000"/>
    <n v="-0.38893210356706298"/>
    <x v="0"/>
    <s v="Ratings Not Given"/>
    <n v="100945"/>
    <n v="74490"/>
  </r>
  <r>
    <x v="33"/>
    <x v="33"/>
    <x v="3"/>
    <n v="43"/>
    <n v="21990"/>
    <n v="46900"/>
    <x v="1"/>
    <m/>
    <n v="24910"/>
    <x v="5"/>
    <n v="-24910"/>
    <n v="-1.1327876307412461"/>
    <x v="1"/>
    <s v="Ratings Not Given"/>
    <n v="28445"/>
    <n v="16990"/>
  </r>
  <r>
    <x v="10"/>
    <x v="10"/>
    <x v="1"/>
    <n v="43"/>
    <n v="59700"/>
    <n v="82400"/>
    <x v="4"/>
    <m/>
    <n v="22700"/>
    <x v="0"/>
    <n v="-22700"/>
    <n v="-0.38023450586264657"/>
    <x v="0"/>
    <s v="Ratings Not Given"/>
    <n v="100945"/>
    <n v="74490"/>
  </r>
  <r>
    <x v="6"/>
    <x v="6"/>
    <x v="0"/>
    <n v="65"/>
    <n v="269999"/>
    <n v="339990"/>
    <x v="5"/>
    <m/>
    <n v="69991"/>
    <x v="2"/>
    <n v="-69991"/>
    <n v="-0.25922688602550381"/>
    <x v="0"/>
    <s v="Ratings Not Given"/>
    <n v="98990"/>
    <n v="76737"/>
  </r>
  <r>
    <x v="10"/>
    <x v="10"/>
    <x v="0"/>
    <n v="75"/>
    <n v="239999"/>
    <n v="394900"/>
    <x v="4"/>
    <m/>
    <n v="154901"/>
    <x v="3"/>
    <n v="-154901"/>
    <n v="-0.64542352259801083"/>
    <x v="0"/>
    <s v="Ratings Not Given"/>
    <n v="100945"/>
    <n v="74490"/>
  </r>
  <r>
    <x v="10"/>
    <x v="10"/>
    <x v="0"/>
    <n v="55"/>
    <n v="241900"/>
    <n v="241900"/>
    <x v="4"/>
    <n v="3.9"/>
    <n v="0"/>
    <x v="7"/>
    <n v="0"/>
    <n v="0"/>
    <x v="2"/>
    <s v="Medium Ratings"/>
    <n v="100945"/>
    <n v="74490"/>
  </r>
  <r>
    <x v="10"/>
    <x v="10"/>
    <x v="0"/>
    <n v="65"/>
    <n v="122299"/>
    <n v="209900"/>
    <x v="4"/>
    <n v="4.7"/>
    <n v="87601"/>
    <x v="3"/>
    <n v="-87601"/>
    <n v="-0.71628549701959954"/>
    <x v="0"/>
    <s v="Good Ratings"/>
    <n v="100945"/>
    <n v="74490"/>
  </r>
  <r>
    <x v="15"/>
    <x v="15"/>
    <x v="0"/>
    <n v="55"/>
    <n v="164999"/>
    <n v="329900"/>
    <x v="1"/>
    <n v="4.7"/>
    <n v="164901"/>
    <x v="5"/>
    <n v="-164901"/>
    <n v="-0.99940605700640606"/>
    <x v="1"/>
    <s v="Good Ratings"/>
    <n v="87400"/>
    <n v="64294.5"/>
  </r>
  <r>
    <x v="6"/>
    <x v="6"/>
    <x v="3"/>
    <n v="49"/>
    <n v="74990"/>
    <n v="74990"/>
    <x v="5"/>
    <n v="4.5"/>
    <n v="0"/>
    <x v="7"/>
    <n v="0"/>
    <n v="0"/>
    <x v="2"/>
    <s v="Good Ratings"/>
    <n v="98990"/>
    <n v="76737"/>
  </r>
  <r>
    <x v="15"/>
    <x v="15"/>
    <x v="0"/>
    <n v="65"/>
    <n v="179999"/>
    <n v="224900"/>
    <x v="1"/>
    <n v="4.9000000000000004"/>
    <n v="44901"/>
    <x v="2"/>
    <n v="-44901"/>
    <n v="-0.24945138584103246"/>
    <x v="0"/>
    <s v="Good Ratings"/>
    <n v="87400"/>
    <n v="64294.5"/>
  </r>
  <r>
    <x v="10"/>
    <x v="10"/>
    <x v="1"/>
    <n v="65"/>
    <n v="258999"/>
    <n v="419900"/>
    <x v="4"/>
    <m/>
    <n v="160901"/>
    <x v="3"/>
    <n v="-160901"/>
    <n v="-0.62124178085629678"/>
    <x v="0"/>
    <s v="Ratings Not Given"/>
    <n v="100945"/>
    <n v="74490"/>
  </r>
  <r>
    <x v="15"/>
    <x v="15"/>
    <x v="0"/>
    <n v="65"/>
    <n v="112100"/>
    <n v="179990"/>
    <x v="1"/>
    <n v="4.7"/>
    <n v="67890"/>
    <x v="3"/>
    <n v="-67890"/>
    <n v="-0.60561998215878676"/>
    <x v="0"/>
    <s v="Good Ratings"/>
    <n v="87400"/>
    <n v="64294.5"/>
  </r>
  <r>
    <x v="15"/>
    <x v="15"/>
    <x v="2"/>
    <n v="32"/>
    <n v="26990"/>
    <n v="29900"/>
    <x v="2"/>
    <n v="4.4000000000000004"/>
    <n v="2910"/>
    <x v="4"/>
    <n v="-2910"/>
    <n v="-0.10781771026306039"/>
    <x v="2"/>
    <s v="Medium Ratings"/>
    <n v="87400"/>
    <n v="64294.5"/>
  </r>
  <r>
    <x v="25"/>
    <x v="25"/>
    <x v="2"/>
    <n v="32"/>
    <n v="21499"/>
    <n v="22990"/>
    <x v="1"/>
    <m/>
    <n v="1491"/>
    <x v="4"/>
    <n v="-1491"/>
    <n v="-6.9352062886645888E-2"/>
    <x v="2"/>
    <s v="Ratings Not Given"/>
    <n v="35174.5"/>
    <n v="29990"/>
  </r>
  <r>
    <x v="6"/>
    <x v="6"/>
    <x v="3"/>
    <n v="43"/>
    <n v="38899"/>
    <n v="45900"/>
    <x v="5"/>
    <n v="3.7"/>
    <n v="7001"/>
    <x v="2"/>
    <n v="-7001"/>
    <n v="-0.17997891976657499"/>
    <x v="0"/>
    <s v="Bad Ratings"/>
    <n v="98990"/>
    <n v="76737"/>
  </r>
  <r>
    <x v="10"/>
    <x v="10"/>
    <x v="0"/>
    <n v="55"/>
    <n v="62980"/>
    <n v="80000"/>
    <x v="4"/>
    <m/>
    <n v="17020"/>
    <x v="2"/>
    <n v="-17020"/>
    <n v="-0.27024452207049859"/>
    <x v="0"/>
    <s v="Ratings Not Given"/>
    <n v="100945"/>
    <n v="74490"/>
  </r>
  <r>
    <x v="6"/>
    <x v="6"/>
    <x v="0"/>
    <n v="65"/>
    <n v="89978"/>
    <n v="149990"/>
    <x v="5"/>
    <m/>
    <n v="60012"/>
    <x v="3"/>
    <n v="-60012"/>
    <n v="-0.66696303540865542"/>
    <x v="0"/>
    <s v="Ratings Not Given"/>
    <n v="98990"/>
    <n v="76737"/>
  </r>
  <r>
    <x v="23"/>
    <x v="23"/>
    <x v="0"/>
    <n v="55"/>
    <n v="50499"/>
    <n v="65490"/>
    <x v="2"/>
    <m/>
    <n v="14991"/>
    <x v="2"/>
    <n v="-14991"/>
    <n v="-0.29685736351214875"/>
    <x v="0"/>
    <s v="Ratings Not Given"/>
    <n v="64195"/>
    <n v="43129"/>
  </r>
  <r>
    <x v="1"/>
    <x v="1"/>
    <x v="0"/>
    <n v="65"/>
    <n v="86091"/>
    <n v="109990"/>
    <x v="1"/>
    <n v="4.3"/>
    <n v="23899"/>
    <x v="2"/>
    <n v="-23899"/>
    <n v="-0.27760160760125913"/>
    <x v="0"/>
    <s v="Medium Ratings"/>
    <n v="77990"/>
    <n v="40999"/>
  </r>
  <r>
    <x v="10"/>
    <x v="10"/>
    <x v="3"/>
    <n v="55"/>
    <n v="118900"/>
    <n v="118900"/>
    <x v="4"/>
    <n v="4"/>
    <n v="0"/>
    <x v="7"/>
    <n v="0"/>
    <n v="0"/>
    <x v="2"/>
    <s v="Medium Ratings"/>
    <n v="100945"/>
    <n v="74490"/>
  </r>
  <r>
    <x v="15"/>
    <x v="15"/>
    <x v="0"/>
    <n v="50"/>
    <n v="81990"/>
    <n v="99900"/>
    <x v="1"/>
    <n v="4.7"/>
    <n v="17910"/>
    <x v="2"/>
    <n v="-17910"/>
    <n v="-0.21844127332601537"/>
    <x v="0"/>
    <s v="Good Ratings"/>
    <n v="87400"/>
    <n v="64294.5"/>
  </r>
  <r>
    <x v="10"/>
    <x v="10"/>
    <x v="0"/>
    <n v="49"/>
    <n v="129900"/>
    <n v="129900"/>
    <x v="4"/>
    <n v="4.4000000000000004"/>
    <n v="0"/>
    <x v="7"/>
    <n v="0"/>
    <n v="0"/>
    <x v="2"/>
    <s v="Medium Ratings"/>
    <n v="100945"/>
    <n v="74490"/>
  </r>
  <r>
    <x v="6"/>
    <x v="6"/>
    <x v="3"/>
    <n v="49"/>
    <n v="64900"/>
    <n v="64900"/>
    <x v="5"/>
    <n v="4.2"/>
    <n v="0"/>
    <x v="7"/>
    <n v="0"/>
    <n v="0"/>
    <x v="2"/>
    <s v="Medium Ratings"/>
    <n v="98990"/>
    <n v="76737"/>
  </r>
  <r>
    <x v="26"/>
    <x v="26"/>
    <x v="0"/>
    <n v="55"/>
    <n v="50990"/>
    <n v="75000"/>
    <x v="7"/>
    <m/>
    <n v="24010"/>
    <x v="0"/>
    <n v="-24010"/>
    <n v="-0.47087664247891742"/>
    <x v="0"/>
    <s v="Ratings Not Given"/>
    <n v="25000"/>
    <n v="17740"/>
  </r>
  <r>
    <x v="10"/>
    <x v="10"/>
    <x v="2"/>
    <n v="32"/>
    <n v="18490"/>
    <n v="22500"/>
    <x v="4"/>
    <n v="4"/>
    <n v="4010"/>
    <x v="2"/>
    <n v="-4010"/>
    <n v="-0.21687398593834506"/>
    <x v="0"/>
    <s v="Medium Ratings"/>
    <n v="100945"/>
    <n v="74490"/>
  </r>
  <r>
    <x v="6"/>
    <x v="6"/>
    <x v="0"/>
    <n v="55"/>
    <n v="114999"/>
    <n v="189990"/>
    <x v="5"/>
    <n v="2.7"/>
    <n v="74991"/>
    <x v="3"/>
    <n v="-74991"/>
    <n v="-0.65210132262019671"/>
    <x v="0"/>
    <s v="Bad Ratings"/>
    <n v="98990"/>
    <n v="76737"/>
  </r>
  <r>
    <x v="27"/>
    <x v="27"/>
    <x v="3"/>
    <n v="40"/>
    <n v="15999"/>
    <n v="29990"/>
    <x v="1"/>
    <n v="4.0999999999999996"/>
    <n v="13991"/>
    <x v="5"/>
    <n v="-13991"/>
    <n v="-0.87449215575973493"/>
    <x v="1"/>
    <s v="Medium Ratings"/>
    <n v="26340"/>
    <n v="13649"/>
  </r>
  <r>
    <x v="10"/>
    <x v="10"/>
    <x v="0"/>
    <n v="65"/>
    <n v="89990"/>
    <n v="115990"/>
    <x v="4"/>
    <m/>
    <n v="26000"/>
    <x v="2"/>
    <n v="-26000"/>
    <n v="-0.28892099122124681"/>
    <x v="0"/>
    <s v="Ratings Not Given"/>
    <n v="100945"/>
    <n v="74490"/>
  </r>
  <r>
    <x v="18"/>
    <x v="18"/>
    <x v="0"/>
    <n v="50"/>
    <n v="37999"/>
    <n v="105990"/>
    <x v="1"/>
    <n v="4.2"/>
    <n v="67991"/>
    <x v="1"/>
    <n v="-67991"/>
    <n v="-1.7892839285244349"/>
    <x v="1"/>
    <s v="Medium Ratings"/>
    <n v="44990"/>
    <n v="33459"/>
  </r>
  <r>
    <x v="8"/>
    <x v="8"/>
    <x v="0"/>
    <n v="55"/>
    <n v="43999"/>
    <n v="73990"/>
    <x v="1"/>
    <n v="4.4000000000000004"/>
    <n v="29991"/>
    <x v="3"/>
    <n v="-29991"/>
    <n v="-0.68162912793472574"/>
    <x v="0"/>
    <s v="Medium Ratings"/>
    <n v="76990"/>
    <n v="36999"/>
  </r>
  <r>
    <x v="10"/>
    <x v="10"/>
    <x v="0"/>
    <n v="50"/>
    <n v="125900"/>
    <n v="125900"/>
    <x v="4"/>
    <n v="4.3"/>
    <n v="0"/>
    <x v="7"/>
    <n v="0"/>
    <n v="0"/>
    <x v="2"/>
    <s v="Medium Ratings"/>
    <n v="100945"/>
    <n v="74490"/>
  </r>
  <r>
    <x v="24"/>
    <x v="24"/>
    <x v="2"/>
    <n v="32"/>
    <n v="15990"/>
    <n v="22990"/>
    <x v="1"/>
    <n v="4.2"/>
    <n v="7000"/>
    <x v="0"/>
    <n v="-7000"/>
    <n v="-0.43777360850531583"/>
    <x v="0"/>
    <s v="Medium Ratings"/>
    <n v="24990"/>
    <n v="16825"/>
  </r>
  <r>
    <x v="6"/>
    <x v="6"/>
    <x v="0"/>
    <n v="49"/>
    <n v="80990"/>
    <n v="80990"/>
    <x v="5"/>
    <n v="4.5"/>
    <n v="0"/>
    <x v="7"/>
    <n v="0"/>
    <n v="0"/>
    <x v="2"/>
    <s v="Good Ratings"/>
    <n v="98990"/>
    <n v="76737"/>
  </r>
  <r>
    <x v="6"/>
    <x v="6"/>
    <x v="0"/>
    <n v="65"/>
    <n v="149999"/>
    <n v="219990"/>
    <x v="5"/>
    <n v="5"/>
    <n v="69991"/>
    <x v="0"/>
    <n v="-69991"/>
    <n v="-0.466609777398516"/>
    <x v="0"/>
    <s v="Good Ratings"/>
    <n v="98990"/>
    <n v="76737"/>
  </r>
  <r>
    <x v="6"/>
    <x v="6"/>
    <x v="3"/>
    <n v="49"/>
    <n v="67990"/>
    <n v="67990"/>
    <x v="5"/>
    <n v="4.5"/>
    <n v="0"/>
    <x v="7"/>
    <n v="0"/>
    <n v="0"/>
    <x v="2"/>
    <s v="Good Ratings"/>
    <n v="98990"/>
    <n v="76737"/>
  </r>
  <r>
    <x v="10"/>
    <x v="10"/>
    <x v="0"/>
    <n v="50"/>
    <n v="51990"/>
    <n v="67069"/>
    <x v="4"/>
    <n v="4"/>
    <n v="15079"/>
    <x v="2"/>
    <n v="-15079"/>
    <n v="-0.29003654548951724"/>
    <x v="0"/>
    <s v="Medium Ratings"/>
    <n v="100945"/>
    <n v="74490"/>
  </r>
  <r>
    <x v="10"/>
    <x v="10"/>
    <x v="1"/>
    <n v="55"/>
    <n v="274900"/>
    <n v="274900"/>
    <x v="4"/>
    <n v="5"/>
    <n v="0"/>
    <x v="7"/>
    <n v="0"/>
    <n v="0"/>
    <x v="2"/>
    <s v="Good Ratings"/>
    <n v="100945"/>
    <n v="74490"/>
  </r>
  <r>
    <x v="6"/>
    <x v="6"/>
    <x v="0"/>
    <n v="55"/>
    <n v="324990"/>
    <n v="324990"/>
    <x v="5"/>
    <n v="4.5999999999999996"/>
    <n v="0"/>
    <x v="7"/>
    <n v="0"/>
    <n v="0"/>
    <x v="2"/>
    <s v="Good Ratings"/>
    <n v="98990"/>
    <n v="76737"/>
  </r>
  <r>
    <x v="34"/>
    <x v="34"/>
    <x v="0"/>
    <n v="50"/>
    <n v="49990"/>
    <n v="59990"/>
    <x v="1"/>
    <m/>
    <n v="10000"/>
    <x v="2"/>
    <n v="-10000"/>
    <n v="-0.20004000800160032"/>
    <x v="0"/>
    <s v="Ratings Not Given"/>
    <n v="37390"/>
    <n v="32990"/>
  </r>
  <r>
    <x v="10"/>
    <x v="10"/>
    <x v="1"/>
    <n v="50"/>
    <n v="69990"/>
    <n v="99990"/>
    <x v="4"/>
    <n v="4"/>
    <n v="30000"/>
    <x v="0"/>
    <n v="-30000"/>
    <n v="-0.42863266180882981"/>
    <x v="0"/>
    <s v="Medium Ratings"/>
    <n v="100945"/>
    <n v="74490"/>
  </r>
  <r>
    <x v="10"/>
    <x v="10"/>
    <x v="3"/>
    <n v="43"/>
    <n v="45785"/>
    <n v="45900"/>
    <x v="4"/>
    <m/>
    <n v="115"/>
    <x v="7"/>
    <n v="-115"/>
    <n v="-2.5117396527246914E-3"/>
    <x v="2"/>
    <s v="Ratings Not Given"/>
    <n v="100945"/>
    <n v="74490"/>
  </r>
  <r>
    <x v="10"/>
    <x v="10"/>
    <x v="1"/>
    <n v="55"/>
    <n v="121999"/>
    <n v="143900"/>
    <x v="4"/>
    <n v="4.3"/>
    <n v="21901"/>
    <x v="2"/>
    <n v="-21901"/>
    <n v="-0.17951786490053198"/>
    <x v="0"/>
    <s v="Medium Ratings"/>
    <n v="100945"/>
    <n v="74490"/>
  </r>
  <r>
    <x v="26"/>
    <x v="26"/>
    <x v="2"/>
    <n v="32"/>
    <n v="14990"/>
    <n v="25000"/>
    <x v="7"/>
    <m/>
    <n v="10010"/>
    <x v="3"/>
    <n v="-10010"/>
    <n v="-0.66777851901267515"/>
    <x v="0"/>
    <s v="Ratings Not Given"/>
    <n v="25000"/>
    <n v="17740"/>
  </r>
  <r>
    <x v="19"/>
    <x v="19"/>
    <x v="2"/>
    <n v="32"/>
    <n v="14999"/>
    <n v="22990"/>
    <x v="1"/>
    <n v="3.9"/>
    <n v="7991"/>
    <x v="0"/>
    <n v="-7991"/>
    <n v="-0.53276885125675044"/>
    <x v="0"/>
    <s v="Medium Ratings"/>
    <n v="34990"/>
    <n v="34990"/>
  </r>
  <r>
    <x v="10"/>
    <x v="10"/>
    <x v="3"/>
    <n v="48"/>
    <n v="49990"/>
    <n v="77900"/>
    <x v="4"/>
    <n v="3.7"/>
    <n v="27910"/>
    <x v="3"/>
    <n v="-27910"/>
    <n v="-0.55831166233246654"/>
    <x v="0"/>
    <s v="Bad Ratings"/>
    <n v="100945"/>
    <n v="74490"/>
  </r>
  <r>
    <x v="10"/>
    <x v="10"/>
    <x v="0"/>
    <n v="75"/>
    <n v="159990"/>
    <n v="266900"/>
    <x v="4"/>
    <m/>
    <n v="106910"/>
    <x v="3"/>
    <n v="-106910"/>
    <n v="-0.66822926432902052"/>
    <x v="0"/>
    <s v="Ratings Not Given"/>
    <n v="100945"/>
    <n v="74490"/>
  </r>
  <r>
    <x v="8"/>
    <x v="8"/>
    <x v="1"/>
    <n v="65"/>
    <n v="156990"/>
    <n v="156990"/>
    <x v="1"/>
    <m/>
    <n v="0"/>
    <x v="7"/>
    <n v="0"/>
    <n v="0"/>
    <x v="2"/>
    <s v="Ratings Not Given"/>
    <n v="76990"/>
    <n v="36999"/>
  </r>
  <r>
    <x v="10"/>
    <x v="10"/>
    <x v="0"/>
    <n v="43"/>
    <n v="44990"/>
    <n v="78000"/>
    <x v="4"/>
    <m/>
    <n v="33010"/>
    <x v="3"/>
    <n v="-33010"/>
    <n v="-0.73371860413425205"/>
    <x v="0"/>
    <s v="Ratings Not Given"/>
    <n v="100945"/>
    <n v="74490"/>
  </r>
  <r>
    <x v="10"/>
    <x v="10"/>
    <x v="1"/>
    <n v="65"/>
    <n v="162900"/>
    <n v="209900"/>
    <x v="4"/>
    <m/>
    <n v="47000"/>
    <x v="2"/>
    <n v="-47000"/>
    <n v="-0.28852056476365867"/>
    <x v="0"/>
    <s v="Ratings Not Given"/>
    <n v="100945"/>
    <n v="74490"/>
  </r>
  <r>
    <x v="10"/>
    <x v="10"/>
    <x v="0"/>
    <n v="55"/>
    <n v="145900"/>
    <n v="145900"/>
    <x v="4"/>
    <n v="4.8"/>
    <n v="0"/>
    <x v="7"/>
    <n v="0"/>
    <n v="0"/>
    <x v="2"/>
    <s v="Good Ratings"/>
    <n v="100945"/>
    <n v="74490"/>
  </r>
  <r>
    <x v="6"/>
    <x v="6"/>
    <x v="0"/>
    <n v="65"/>
    <n v="109999"/>
    <n v="209990"/>
    <x v="5"/>
    <n v="5"/>
    <n v="99991"/>
    <x v="5"/>
    <n v="-99991"/>
    <n v="-0.90901735470322453"/>
    <x v="1"/>
    <s v="Good Ratings"/>
    <n v="98990"/>
    <n v="76737"/>
  </r>
  <r>
    <x v="28"/>
    <x v="28"/>
    <x v="0"/>
    <n v="50"/>
    <n v="27599"/>
    <n v="40999"/>
    <x v="1"/>
    <m/>
    <n v="13400"/>
    <x v="0"/>
    <n v="-13400"/>
    <n v="-0.48552483785644407"/>
    <x v="0"/>
    <s v="Ratings Not Given"/>
    <n v="21499"/>
    <n v="13999"/>
  </r>
  <r>
    <x v="35"/>
    <x v="35"/>
    <x v="2"/>
    <n v="32"/>
    <n v="28690"/>
    <n v="28690"/>
    <x v="6"/>
    <m/>
    <n v="0"/>
    <x v="7"/>
    <n v="0"/>
    <n v="0"/>
    <x v="2"/>
    <s v="Ratings Not Given"/>
    <n v="32039"/>
    <n v="28690"/>
  </r>
  <r>
    <x v="10"/>
    <x v="10"/>
    <x v="0"/>
    <n v="43"/>
    <n v="89850"/>
    <n v="89850"/>
    <x v="4"/>
    <n v="4.0999999999999996"/>
    <n v="0"/>
    <x v="7"/>
    <n v="0"/>
    <n v="0"/>
    <x v="2"/>
    <s v="Medium Ratings"/>
    <n v="100945"/>
    <n v="74490"/>
  </r>
  <r>
    <x v="6"/>
    <x v="6"/>
    <x v="0"/>
    <n v="65"/>
    <n v="349999"/>
    <n v="499990"/>
    <x v="5"/>
    <m/>
    <n v="149991"/>
    <x v="0"/>
    <n v="-149991"/>
    <n v="-0.42854693870553917"/>
    <x v="0"/>
    <s v="Ratings Not Given"/>
    <n v="98990"/>
    <n v="76737"/>
  </r>
  <r>
    <x v="10"/>
    <x v="10"/>
    <x v="1"/>
    <n v="55"/>
    <n v="139990"/>
    <n v="209900"/>
    <x v="4"/>
    <m/>
    <n v="69910"/>
    <x v="0"/>
    <n v="-69910"/>
    <n v="-0.49939281377241229"/>
    <x v="0"/>
    <s v="Ratings Not Given"/>
    <n v="100945"/>
    <n v="74490"/>
  </r>
  <r>
    <x v="15"/>
    <x v="15"/>
    <x v="0"/>
    <n v="65"/>
    <n v="142499"/>
    <n v="199900"/>
    <x v="1"/>
    <m/>
    <n v="57401"/>
    <x v="0"/>
    <n v="-57401"/>
    <n v="-0.40281686187271487"/>
    <x v="0"/>
    <s v="Ratings Not Given"/>
    <n v="87400"/>
    <n v="64294.5"/>
  </r>
  <r>
    <x v="10"/>
    <x v="10"/>
    <x v="0"/>
    <n v="65"/>
    <n v="167199"/>
    <n v="269900"/>
    <x v="4"/>
    <m/>
    <n v="102701"/>
    <x v="3"/>
    <n v="-102701"/>
    <n v="-0.61424410433076748"/>
    <x v="0"/>
    <s v="Ratings Not Given"/>
    <n v="100945"/>
    <n v="74490"/>
  </r>
  <r>
    <x v="35"/>
    <x v="35"/>
    <x v="2"/>
    <n v="39"/>
    <n v="29079"/>
    <n v="39990"/>
    <x v="6"/>
    <n v="4.2"/>
    <n v="10911"/>
    <x v="0"/>
    <n v="-10911"/>
    <n v="-0.37521923037243371"/>
    <x v="0"/>
    <s v="Medium Ratings"/>
    <n v="32039"/>
    <n v="28690"/>
  </r>
  <r>
    <x v="6"/>
    <x v="6"/>
    <x v="0"/>
    <n v="49"/>
    <n v="120989"/>
    <n v="120990"/>
    <x v="5"/>
    <n v="4.4000000000000004"/>
    <n v="1"/>
    <x v="7"/>
    <n v="-1"/>
    <n v="-8.2652141930258118E-6"/>
    <x v="2"/>
    <s v="Medium Ratings"/>
    <n v="98990"/>
    <n v="76737"/>
  </r>
  <r>
    <x v="26"/>
    <x v="26"/>
    <x v="3"/>
    <n v="43"/>
    <n v="31990"/>
    <n v="40000"/>
    <x v="1"/>
    <m/>
    <n v="8010"/>
    <x v="2"/>
    <n v="-8010"/>
    <n v="-0.25039074710847142"/>
    <x v="0"/>
    <s v="Ratings Not Given"/>
    <n v="25000"/>
    <n v="17740"/>
  </r>
  <r>
    <x v="15"/>
    <x v="15"/>
    <x v="0"/>
    <n v="43"/>
    <n v="63990"/>
    <n v="72900"/>
    <x v="2"/>
    <n v="4.4000000000000004"/>
    <n v="8910"/>
    <x v="4"/>
    <n v="-8910"/>
    <n v="-0.13924050632911392"/>
    <x v="2"/>
    <s v="Medium Ratings"/>
    <n v="87400"/>
    <n v="64294.5"/>
  </r>
  <r>
    <x v="10"/>
    <x v="10"/>
    <x v="1"/>
    <n v="55"/>
    <n v="105990"/>
    <n v="162900"/>
    <x v="4"/>
    <m/>
    <n v="56910"/>
    <x v="0"/>
    <n v="-56910"/>
    <n v="-0.53693744692895551"/>
    <x v="0"/>
    <s v="Ratings Not Given"/>
    <n v="100945"/>
    <n v="74490"/>
  </r>
  <r>
    <x v="35"/>
    <x v="35"/>
    <x v="2"/>
    <n v="40"/>
    <n v="28399"/>
    <n v="45990"/>
    <x v="6"/>
    <m/>
    <n v="17591"/>
    <x v="3"/>
    <n v="-17591"/>
    <n v="-0.61942321912743403"/>
    <x v="0"/>
    <s v="Ratings Not Given"/>
    <n v="32039"/>
    <n v="28690"/>
  </r>
  <r>
    <x v="12"/>
    <x v="12"/>
    <x v="1"/>
    <n v="85"/>
    <n v="259999"/>
    <n v="350000"/>
    <x v="1"/>
    <n v="4.4000000000000004"/>
    <n v="90001"/>
    <x v="0"/>
    <n v="-90001"/>
    <n v="-0.34615902368855267"/>
    <x v="0"/>
    <s v="Medium Ratings"/>
    <n v="49990"/>
    <n v="30999"/>
  </r>
  <r>
    <x v="10"/>
    <x v="10"/>
    <x v="0"/>
    <n v="55"/>
    <n v="154900"/>
    <n v="154900"/>
    <x v="4"/>
    <n v="5"/>
    <n v="0"/>
    <x v="7"/>
    <n v="0"/>
    <n v="0"/>
    <x v="2"/>
    <s v="Good Ratings"/>
    <n v="100945"/>
    <n v="74490"/>
  </r>
  <r>
    <x v="27"/>
    <x v="27"/>
    <x v="3"/>
    <n v="40"/>
    <n v="15999"/>
    <n v="29990"/>
    <x v="1"/>
    <n v="4.0999999999999996"/>
    <n v="13991"/>
    <x v="5"/>
    <n v="-13991"/>
    <n v="-0.87449215575973493"/>
    <x v="1"/>
    <s v="Medium Ratings"/>
    <n v="26340"/>
    <n v="13649"/>
  </r>
  <r>
    <x v="15"/>
    <x v="15"/>
    <x v="0"/>
    <n v="50"/>
    <n v="72715"/>
    <n v="92900"/>
    <x v="1"/>
    <m/>
    <n v="20185"/>
    <x v="2"/>
    <n v="-20185"/>
    <n v="-0.27759059341263836"/>
    <x v="0"/>
    <s v="Ratings Not Given"/>
    <n v="87400"/>
    <n v="64294.5"/>
  </r>
  <r>
    <x v="10"/>
    <x v="10"/>
    <x v="3"/>
    <n v="49"/>
    <n v="65999"/>
    <n v="82500"/>
    <x v="4"/>
    <n v="4.3"/>
    <n v="16501"/>
    <x v="2"/>
    <n v="-16501"/>
    <n v="-0.25001893968090427"/>
    <x v="0"/>
    <s v="Medium Ratings"/>
    <n v="100945"/>
    <n v="74490"/>
  </r>
  <r>
    <x v="10"/>
    <x v="10"/>
    <x v="1"/>
    <n v="65"/>
    <n v="144900"/>
    <n v="229990"/>
    <x v="4"/>
    <m/>
    <n v="85090"/>
    <x v="3"/>
    <n v="-85090"/>
    <n v="-0.58723257418909591"/>
    <x v="0"/>
    <s v="Ratings Not Given"/>
    <n v="100945"/>
    <n v="74490"/>
  </r>
  <r>
    <x v="6"/>
    <x v="6"/>
    <x v="0"/>
    <n v="65"/>
    <n v="229000"/>
    <n v="359990"/>
    <x v="5"/>
    <m/>
    <n v="130990"/>
    <x v="3"/>
    <n v="-130990"/>
    <n v="-0.57200873362445415"/>
    <x v="0"/>
    <s v="Ratings Not Given"/>
    <n v="98990"/>
    <n v="76737"/>
  </r>
  <r>
    <x v="1"/>
    <x v="1"/>
    <x v="2"/>
    <n v="32"/>
    <n v="15000"/>
    <n v="29990"/>
    <x v="1"/>
    <n v="4.2"/>
    <n v="14990"/>
    <x v="5"/>
    <n v="-14990"/>
    <n v="-0.9993333333333333"/>
    <x v="1"/>
    <s v="Medium Ratings"/>
    <n v="77990"/>
    <n v="40999"/>
  </r>
  <r>
    <x v="25"/>
    <x v="25"/>
    <x v="0"/>
    <n v="43"/>
    <n v="29490"/>
    <n v="32290"/>
    <x v="1"/>
    <n v="4.0999999999999996"/>
    <n v="2800"/>
    <x v="4"/>
    <n v="-2800"/>
    <n v="-9.4947439810105116E-2"/>
    <x v="2"/>
    <s v="Medium Ratings"/>
    <n v="35174.5"/>
    <n v="29990"/>
  </r>
  <r>
    <x v="10"/>
    <x v="10"/>
    <x v="1"/>
    <n v="65"/>
    <n v="122290"/>
    <n v="222900"/>
    <x v="4"/>
    <n v="4.5"/>
    <n v="100610"/>
    <x v="5"/>
    <n v="-100610"/>
    <n v="-0.82271649358083243"/>
    <x v="1"/>
    <s v="Good Ratings"/>
    <n v="100945"/>
    <n v="74490"/>
  </r>
  <r>
    <x v="10"/>
    <x v="10"/>
    <x v="0"/>
    <n v="55"/>
    <n v="284900"/>
    <n v="284900"/>
    <x v="4"/>
    <n v="3.6"/>
    <n v="0"/>
    <x v="7"/>
    <n v="0"/>
    <n v="0"/>
    <x v="2"/>
    <s v="Bad Ratings"/>
    <n v="100945"/>
    <n v="74490"/>
  </r>
  <r>
    <x v="10"/>
    <x v="10"/>
    <x v="0"/>
    <n v="65"/>
    <n v="103990"/>
    <n v="135900"/>
    <x v="4"/>
    <m/>
    <n v="31910"/>
    <x v="2"/>
    <n v="-31910"/>
    <n v="-0.30685642850274064"/>
    <x v="0"/>
    <s v="Ratings Not Given"/>
    <n v="100945"/>
    <n v="74490"/>
  </r>
  <r>
    <x v="6"/>
    <x v="6"/>
    <x v="0"/>
    <n v="55"/>
    <n v="97990"/>
    <n v="139989"/>
    <x v="5"/>
    <m/>
    <n v="41999"/>
    <x v="0"/>
    <n v="-41999"/>
    <n v="-0.42860495968976425"/>
    <x v="0"/>
    <s v="Ratings Not Given"/>
    <n v="98990"/>
    <n v="76737"/>
  </r>
  <r>
    <x v="10"/>
    <x v="10"/>
    <x v="2"/>
    <n v="24"/>
    <n v="15200"/>
    <n v="15200"/>
    <x v="4"/>
    <n v="4.2"/>
    <n v="0"/>
    <x v="7"/>
    <n v="0"/>
    <n v="0"/>
    <x v="2"/>
    <s v="Medium Ratings"/>
    <n v="100945"/>
    <n v="74490"/>
  </r>
  <r>
    <x v="12"/>
    <x v="12"/>
    <x v="0"/>
    <n v="55"/>
    <n v="46899"/>
    <n v="75000"/>
    <x v="1"/>
    <n v="4.4000000000000004"/>
    <n v="28101"/>
    <x v="3"/>
    <n v="-28101"/>
    <n v="-0.59918121921576151"/>
    <x v="0"/>
    <s v="Medium Ratings"/>
    <n v="49990"/>
    <n v="30999"/>
  </r>
  <r>
    <x v="27"/>
    <x v="27"/>
    <x v="2"/>
    <n v="24"/>
    <n v="9999"/>
    <n v="17990"/>
    <x v="1"/>
    <n v="4.0999999999999996"/>
    <n v="7991"/>
    <x v="3"/>
    <n v="-7991"/>
    <n v="-0.79917991799179922"/>
    <x v="0"/>
    <s v="Medium Ratings"/>
    <n v="26340"/>
    <n v="13649"/>
  </r>
  <r>
    <x v="5"/>
    <x v="5"/>
    <x v="2"/>
    <n v="32"/>
    <n v="17499"/>
    <n v="17990"/>
    <x v="1"/>
    <n v="4.2"/>
    <n v="491"/>
    <x v="7"/>
    <n v="-491"/>
    <n v="-2.8058746214069376E-2"/>
    <x v="2"/>
    <s v="Medium Ratings"/>
    <n v="50490"/>
    <n v="39499"/>
  </r>
  <r>
    <x v="30"/>
    <x v="30"/>
    <x v="2"/>
    <n v="39"/>
    <n v="23990"/>
    <n v="31990"/>
    <x v="1"/>
    <n v="3.9"/>
    <n v="8000"/>
    <x v="0"/>
    <n v="-8000"/>
    <n v="-0.33347228011671531"/>
    <x v="0"/>
    <s v="Medium Ratings"/>
    <n v="34990"/>
    <n v="29399.5"/>
  </r>
  <r>
    <x v="10"/>
    <x v="10"/>
    <x v="3"/>
    <n v="49"/>
    <n v="45700"/>
    <n v="66900"/>
    <x v="4"/>
    <n v="4.2"/>
    <n v="21200"/>
    <x v="0"/>
    <n v="-21200"/>
    <n v="-0.46389496717724288"/>
    <x v="0"/>
    <s v="Medium Ratings"/>
    <n v="100945"/>
    <n v="74490"/>
  </r>
  <r>
    <x v="27"/>
    <x v="27"/>
    <x v="3"/>
    <n v="40"/>
    <n v="15999"/>
    <n v="29990"/>
    <x v="1"/>
    <n v="4.0999999999999996"/>
    <n v="13991"/>
    <x v="5"/>
    <n v="-13991"/>
    <n v="-0.87449215575973493"/>
    <x v="1"/>
    <s v="Medium Ratings"/>
    <n v="26340"/>
    <n v="13649"/>
  </r>
  <r>
    <x v="10"/>
    <x v="10"/>
    <x v="0"/>
    <n v="49"/>
    <n v="146900"/>
    <n v="146900"/>
    <x v="4"/>
    <n v="4.5"/>
    <n v="0"/>
    <x v="7"/>
    <n v="0"/>
    <n v="0"/>
    <x v="2"/>
    <s v="Good Ratings"/>
    <n v="100945"/>
    <n v="74490"/>
  </r>
  <r>
    <x v="6"/>
    <x v="6"/>
    <x v="3"/>
    <n v="49"/>
    <n v="40000"/>
    <n v="65900"/>
    <x v="2"/>
    <n v="4.2"/>
    <n v="25900"/>
    <x v="3"/>
    <n v="-25900"/>
    <n v="-0.64749999999999996"/>
    <x v="0"/>
    <s v="Medium Ratings"/>
    <n v="98990"/>
    <n v="76737"/>
  </r>
  <r>
    <x v="36"/>
    <x v="36"/>
    <x v="0"/>
    <n v="55"/>
    <n v="50490"/>
    <n v="73000"/>
    <x v="1"/>
    <m/>
    <n v="22510"/>
    <x v="0"/>
    <n v="-22510"/>
    <n v="-0.44583085759556346"/>
    <x v="0"/>
    <s v="Ratings Not Given"/>
    <n v="47999.5"/>
    <n v="35740"/>
  </r>
  <r>
    <x v="28"/>
    <x v="28"/>
    <x v="2"/>
    <n v="24"/>
    <n v="7999"/>
    <n v="10999"/>
    <x v="1"/>
    <n v="4.3"/>
    <n v="3000"/>
    <x v="0"/>
    <n v="-3000"/>
    <n v="-0.37504688086010751"/>
    <x v="0"/>
    <s v="Medium Ratings"/>
    <n v="21499"/>
    <n v="13999"/>
  </r>
  <r>
    <x v="10"/>
    <x v="10"/>
    <x v="2"/>
    <n v="32"/>
    <n v="19599"/>
    <n v="25900"/>
    <x v="4"/>
    <n v="4.3"/>
    <n v="6301"/>
    <x v="2"/>
    <n v="-6301"/>
    <n v="-0.32149599469360679"/>
    <x v="0"/>
    <s v="Medium Ratings"/>
    <n v="100945"/>
    <n v="74490"/>
  </r>
  <r>
    <x v="10"/>
    <x v="10"/>
    <x v="1"/>
    <n v="65"/>
    <n v="219990"/>
    <n v="257900"/>
    <x v="4"/>
    <m/>
    <n v="37910"/>
    <x v="4"/>
    <n v="-37910"/>
    <n v="-0.1723260148188554"/>
    <x v="2"/>
    <s v="Ratings Not Given"/>
    <n v="100945"/>
    <n v="74490"/>
  </r>
  <r>
    <x v="10"/>
    <x v="10"/>
    <x v="1"/>
    <n v="55"/>
    <n v="89990"/>
    <n v="163900"/>
    <x v="4"/>
    <n v="4.7"/>
    <n v="73910"/>
    <x v="5"/>
    <n v="-73910"/>
    <n v="-0.82131347927547504"/>
    <x v="1"/>
    <s v="Good Ratings"/>
    <n v="100945"/>
    <n v="74490"/>
  </r>
  <r>
    <x v="26"/>
    <x v="26"/>
    <x v="0"/>
    <n v="43"/>
    <n v="35990"/>
    <n v="50000"/>
    <x v="7"/>
    <n v="5"/>
    <n v="14010"/>
    <x v="0"/>
    <n v="-14010"/>
    <n v="-0.38927479855515423"/>
    <x v="0"/>
    <s v="Good Ratings"/>
    <n v="25000"/>
    <n v="17740"/>
  </r>
  <r>
    <x v="37"/>
    <x v="37"/>
    <x v="0"/>
    <n v="65"/>
    <n v="59999"/>
    <n v="94990"/>
    <x v="1"/>
    <n v="4"/>
    <n v="34991"/>
    <x v="3"/>
    <n v="-34991"/>
    <n v="-0.58319305321755366"/>
    <x v="0"/>
    <s v="Medium Ratings"/>
    <n v="32990"/>
    <n v="21999"/>
  </r>
  <r>
    <x v="1"/>
    <x v="1"/>
    <x v="1"/>
    <n v="55"/>
    <n v="47990"/>
    <n v="99990"/>
    <x v="1"/>
    <m/>
    <n v="52000"/>
    <x v="5"/>
    <n v="-52000"/>
    <n v="-1.0835590748072514"/>
    <x v="1"/>
    <s v="Ratings Not Given"/>
    <n v="77990"/>
    <n v="40999"/>
  </r>
  <r>
    <x v="7"/>
    <x v="7"/>
    <x v="0"/>
    <n v="65"/>
    <n v="64999"/>
    <n v="94499"/>
    <x v="1"/>
    <n v="4.4000000000000004"/>
    <n v="29500"/>
    <x v="0"/>
    <n v="-29500"/>
    <n v="-0.45385313620209544"/>
    <x v="0"/>
    <s v="Medium Ratings"/>
    <n v="17499"/>
    <n v="10249"/>
  </r>
  <r>
    <x v="6"/>
    <x v="6"/>
    <x v="0"/>
    <n v="75"/>
    <n v="189999"/>
    <n v="284990"/>
    <x v="5"/>
    <n v="3"/>
    <n v="94991"/>
    <x v="0"/>
    <n v="-94991"/>
    <n v="-0.49995526292243642"/>
    <x v="0"/>
    <s v="Bad Ratings"/>
    <n v="98990"/>
    <n v="76737"/>
  </r>
  <r>
    <x v="23"/>
    <x v="23"/>
    <x v="0"/>
    <n v="65"/>
    <n v="86890"/>
    <n v="93500"/>
    <x v="2"/>
    <m/>
    <n v="6610"/>
    <x v="4"/>
    <n v="-6610"/>
    <n v="-7.607319599493613E-2"/>
    <x v="2"/>
    <s v="Ratings Not Given"/>
    <n v="64195"/>
    <n v="43129"/>
  </r>
  <r>
    <x v="10"/>
    <x v="10"/>
    <x v="1"/>
    <n v="50"/>
    <n v="69744"/>
    <n v="99900"/>
    <x v="4"/>
    <m/>
    <n v="30156"/>
    <x v="0"/>
    <n v="-30156"/>
    <n v="-0.43238128011011701"/>
    <x v="0"/>
    <s v="Ratings Not Given"/>
    <n v="100945"/>
    <n v="74490"/>
  </r>
  <r>
    <x v="13"/>
    <x v="13"/>
    <x v="0"/>
    <n v="65"/>
    <n v="57999"/>
    <n v="79999"/>
    <x v="1"/>
    <n v="4.3"/>
    <n v="22000"/>
    <x v="0"/>
    <n v="-22000"/>
    <n v="-0.37931688477387543"/>
    <x v="0"/>
    <s v="Medium Ratings"/>
    <n v="59999"/>
    <n v="39999"/>
  </r>
  <r>
    <x v="14"/>
    <x v="14"/>
    <x v="2"/>
    <n v="32"/>
    <n v="13499"/>
    <n v="15499"/>
    <x v="1"/>
    <n v="4.4000000000000004"/>
    <n v="2000"/>
    <x v="4"/>
    <n v="-2000"/>
    <n v="-0.14815912289799243"/>
    <x v="2"/>
    <s v="Medium Ratings"/>
    <n v="28999"/>
    <n v="21749"/>
  </r>
  <r>
    <x v="10"/>
    <x v="10"/>
    <x v="3"/>
    <n v="43"/>
    <n v="36990"/>
    <n v="38900"/>
    <x v="4"/>
    <n v="4.0999999999999996"/>
    <n v="1910"/>
    <x v="7"/>
    <n v="-1910"/>
    <n v="-5.1635577183022439E-2"/>
    <x v="2"/>
    <s v="Medium Ratings"/>
    <n v="100945"/>
    <n v="74490"/>
  </r>
  <r>
    <x v="14"/>
    <x v="14"/>
    <x v="3"/>
    <n v="43"/>
    <n v="20499"/>
    <n v="25999"/>
    <x v="1"/>
    <n v="4.4000000000000004"/>
    <n v="5500"/>
    <x v="2"/>
    <n v="-5500"/>
    <n v="-0.26830577101322017"/>
    <x v="0"/>
    <s v="Medium Ratings"/>
    <n v="28999"/>
    <n v="21749"/>
  </r>
  <r>
    <x v="20"/>
    <x v="20"/>
    <x v="2"/>
    <n v="32"/>
    <n v="12999"/>
    <n v="19499"/>
    <x v="1"/>
    <n v="4.4000000000000004"/>
    <n v="6500"/>
    <x v="0"/>
    <n v="-6500"/>
    <n v="-0.50003846449726908"/>
    <x v="0"/>
    <s v="Medium Ratings"/>
    <n v="40000"/>
    <n v="21999"/>
  </r>
  <r>
    <x v="32"/>
    <x v="32"/>
    <x v="2"/>
    <n v="32"/>
    <n v="20990"/>
    <n v="25900"/>
    <x v="2"/>
    <n v="4.8"/>
    <n v="4910"/>
    <x v="2"/>
    <n v="-4910"/>
    <n v="-0.23392091472129586"/>
    <x v="0"/>
    <s v="Good Ratings"/>
    <n v="44490"/>
    <n v="25740"/>
  </r>
  <r>
    <x v="38"/>
    <x v="38"/>
    <x v="0"/>
    <n v="50"/>
    <n v="35990"/>
    <n v="52990"/>
    <x v="1"/>
    <m/>
    <n v="17000"/>
    <x v="0"/>
    <n v="-17000"/>
    <n v="-0.47235343150875242"/>
    <x v="0"/>
    <s v="Ratings Not Given"/>
    <n v="52990"/>
    <n v="35990"/>
  </r>
  <r>
    <x v="23"/>
    <x v="23"/>
    <x v="0"/>
    <n v="65"/>
    <n v="90314"/>
    <n v="119990"/>
    <x v="2"/>
    <m/>
    <n v="29676"/>
    <x v="2"/>
    <n v="-29676"/>
    <n v="-0.32858693004406847"/>
    <x v="0"/>
    <s v="Ratings Not Given"/>
    <n v="64195"/>
    <n v="43129"/>
  </r>
  <r>
    <x v="26"/>
    <x v="26"/>
    <x v="2"/>
    <n v="32"/>
    <n v="20990"/>
    <n v="30000"/>
    <x v="1"/>
    <n v="3.7"/>
    <n v="9010"/>
    <x v="0"/>
    <n v="-9010"/>
    <n v="-0.42925202477370178"/>
    <x v="0"/>
    <s v="Bad Ratings"/>
    <n v="25000"/>
    <n v="17740"/>
  </r>
  <r>
    <x v="26"/>
    <x v="26"/>
    <x v="3"/>
    <n v="43"/>
    <n v="30990"/>
    <n v="40000"/>
    <x v="7"/>
    <m/>
    <n v="9010"/>
    <x v="2"/>
    <n v="-9010"/>
    <n v="-0.29073894804775735"/>
    <x v="0"/>
    <s v="Ratings Not Given"/>
    <n v="25000"/>
    <n v="17740"/>
  </r>
  <r>
    <x v="24"/>
    <x v="24"/>
    <x v="2"/>
    <n v="32"/>
    <n v="23989"/>
    <n v="23990"/>
    <x v="1"/>
    <n v="4.2"/>
    <n v="1"/>
    <x v="7"/>
    <n v="-1"/>
    <n v="-4.1685772645795988E-5"/>
    <x v="2"/>
    <s v="Medium Ratings"/>
    <n v="24990"/>
    <n v="16825"/>
  </r>
  <r>
    <x v="10"/>
    <x v="10"/>
    <x v="2"/>
    <n v="32"/>
    <n v="23000"/>
    <n v="25900"/>
    <x v="4"/>
    <n v="4.4000000000000004"/>
    <n v="2900"/>
    <x v="4"/>
    <n v="-2900"/>
    <n v="-0.12608695652173912"/>
    <x v="2"/>
    <s v="Medium Ratings"/>
    <n v="100945"/>
    <n v="74490"/>
  </r>
  <r>
    <x v="39"/>
    <x v="39"/>
    <x v="2"/>
    <n v="32"/>
    <n v="15499"/>
    <n v="24990"/>
    <x v="1"/>
    <m/>
    <n v="9491"/>
    <x v="3"/>
    <n v="-9491"/>
    <n v="-0.61236208787663715"/>
    <x v="0"/>
    <s v="Ratings Not Given"/>
    <n v="28990"/>
    <n v="15650"/>
  </r>
  <r>
    <x v="40"/>
    <x v="40"/>
    <x v="0"/>
    <n v="65"/>
    <n v="72940"/>
    <n v="124990"/>
    <x v="1"/>
    <m/>
    <n v="52050"/>
    <x v="3"/>
    <n v="-52050"/>
    <n v="-0.7136002193583767"/>
    <x v="0"/>
    <s v="Ratings Not Given"/>
    <n v="79990"/>
    <n v="51146"/>
  </r>
  <r>
    <x v="41"/>
    <x v="41"/>
    <x v="0"/>
    <n v="43"/>
    <n v="24990"/>
    <n v="51000"/>
    <x v="1"/>
    <m/>
    <n v="26010"/>
    <x v="5"/>
    <n v="-26010"/>
    <n v="-1.0408163265306123"/>
    <x v="1"/>
    <s v="Ratings Not Given"/>
    <n v="28500"/>
    <n v="18494.5"/>
  </r>
  <r>
    <x v="26"/>
    <x v="26"/>
    <x v="2"/>
    <n v="32"/>
    <n v="19490"/>
    <n v="25000"/>
    <x v="7"/>
    <m/>
    <n v="5510"/>
    <x v="2"/>
    <n v="-5510"/>
    <n v="-0.28270908158029756"/>
    <x v="0"/>
    <s v="Ratings Not Given"/>
    <n v="25000"/>
    <n v="17740"/>
  </r>
  <r>
    <x v="11"/>
    <x v="11"/>
    <x v="3"/>
    <n v="40"/>
    <n v="18999"/>
    <n v="26990"/>
    <x v="1"/>
    <n v="4.2"/>
    <n v="7991"/>
    <x v="0"/>
    <n v="-7991"/>
    <n v="-0.42060108426759302"/>
    <x v="0"/>
    <s v="Medium Ratings"/>
    <n v="24999"/>
    <n v="18999"/>
  </r>
  <r>
    <x v="21"/>
    <x v="21"/>
    <x v="2"/>
    <n v="24"/>
    <n v="6799"/>
    <n v="10999"/>
    <x v="1"/>
    <n v="3.8"/>
    <n v="4200"/>
    <x v="3"/>
    <n v="-4200"/>
    <n v="-0.61773790263274009"/>
    <x v="0"/>
    <s v="Medium Ratings"/>
    <n v="21999"/>
    <n v="13699"/>
  </r>
  <r>
    <x v="1"/>
    <x v="1"/>
    <x v="0"/>
    <n v="65"/>
    <n v="68990"/>
    <n v="127445"/>
    <x v="1"/>
    <n v="4.5"/>
    <n v="58455"/>
    <x v="5"/>
    <n v="-58455"/>
    <n v="-0.8472967096680678"/>
    <x v="1"/>
    <s v="Good Ratings"/>
    <n v="77990"/>
    <n v="40999"/>
  </r>
  <r>
    <x v="16"/>
    <x v="16"/>
    <x v="3"/>
    <n v="43"/>
    <n v="22499"/>
    <n v="24999"/>
    <x v="1"/>
    <n v="4.4000000000000004"/>
    <n v="2500"/>
    <x v="4"/>
    <n v="-2500"/>
    <n v="-0.11111604960220454"/>
    <x v="2"/>
    <s v="Medium Ratings"/>
    <n v="31990"/>
    <n v="22499"/>
  </r>
  <r>
    <x v="17"/>
    <x v="17"/>
    <x v="3"/>
    <n v="43"/>
    <n v="27999"/>
    <n v="35500"/>
    <x v="1"/>
    <n v="4.3"/>
    <n v="7501"/>
    <x v="2"/>
    <n v="-7501"/>
    <n v="-0.26790242508661022"/>
    <x v="0"/>
    <s v="Medium Ratings"/>
    <n v="54050"/>
    <n v="35999"/>
  </r>
  <r>
    <x v="34"/>
    <x v="34"/>
    <x v="3"/>
    <n v="43"/>
    <n v="29990"/>
    <n v="38790"/>
    <x v="1"/>
    <n v="4.9000000000000004"/>
    <n v="8800"/>
    <x v="2"/>
    <n v="-8800"/>
    <n v="-0.29343114371457152"/>
    <x v="0"/>
    <s v="Good Ratings"/>
    <n v="37390"/>
    <n v="32990"/>
  </r>
  <r>
    <x v="42"/>
    <x v="42"/>
    <x v="2"/>
    <n v="32"/>
    <n v="24999"/>
    <n v="49998"/>
    <x v="3"/>
    <m/>
    <n v="24999"/>
    <x v="5"/>
    <n v="-24999"/>
    <n v="-1"/>
    <x v="1"/>
    <s v="Ratings Not Given"/>
    <n v="49998"/>
    <n v="24999"/>
  </r>
  <r>
    <x v="6"/>
    <x v="6"/>
    <x v="0"/>
    <n v="48"/>
    <n v="105990"/>
    <n v="110690"/>
    <x v="5"/>
    <m/>
    <n v="4700"/>
    <x v="7"/>
    <n v="-4700"/>
    <n v="-4.4343806019435793E-2"/>
    <x v="2"/>
    <s v="Ratings Not Given"/>
    <n v="98990"/>
    <n v="76737"/>
  </r>
  <r>
    <x v="6"/>
    <x v="6"/>
    <x v="0"/>
    <n v="65"/>
    <n v="174999"/>
    <n v="209990"/>
    <x v="5"/>
    <m/>
    <n v="34991"/>
    <x v="2"/>
    <n v="-34991"/>
    <n v="-0.1999497139983657"/>
    <x v="0"/>
    <s v="Ratings Not Given"/>
    <n v="98990"/>
    <n v="76737"/>
  </r>
  <r>
    <x v="1"/>
    <x v="1"/>
    <x v="2"/>
    <n v="32"/>
    <n v="15499"/>
    <n v="22990"/>
    <x v="1"/>
    <n v="4.2"/>
    <n v="7491"/>
    <x v="0"/>
    <n v="-7491"/>
    <n v="-0.48332150461320084"/>
    <x v="0"/>
    <s v="Medium Ratings"/>
    <n v="77990"/>
    <n v="40999"/>
  </r>
  <r>
    <x v="34"/>
    <x v="34"/>
    <x v="3"/>
    <n v="43"/>
    <n v="39000"/>
    <n v="46990"/>
    <x v="1"/>
    <m/>
    <n v="7990"/>
    <x v="2"/>
    <n v="-7990"/>
    <n v="-0.20487179487179488"/>
    <x v="0"/>
    <s v="Ratings Not Given"/>
    <n v="37390"/>
    <n v="32990"/>
  </r>
  <r>
    <x v="1"/>
    <x v="1"/>
    <x v="0"/>
    <n v="55"/>
    <n v="104999"/>
    <n v="239990"/>
    <x v="1"/>
    <m/>
    <n v="134991"/>
    <x v="1"/>
    <n v="-134991"/>
    <n v="-1.2856408156268155"/>
    <x v="1"/>
    <s v="Ratings Not Given"/>
    <n v="77990"/>
    <n v="40999"/>
  </r>
  <r>
    <x v="10"/>
    <x v="10"/>
    <x v="0"/>
    <n v="55"/>
    <n v="149900"/>
    <n v="149900"/>
    <x v="4"/>
    <m/>
    <n v="0"/>
    <x v="7"/>
    <n v="0"/>
    <n v="0"/>
    <x v="2"/>
    <s v="Ratings Not Given"/>
    <n v="100945"/>
    <n v="74490"/>
  </r>
  <r>
    <x v="29"/>
    <x v="29"/>
    <x v="3"/>
    <n v="43"/>
    <n v="30490"/>
    <n v="38990"/>
    <x v="1"/>
    <n v="4.3"/>
    <n v="8500"/>
    <x v="2"/>
    <n v="-8500"/>
    <n v="-0.27877992784519512"/>
    <x v="0"/>
    <s v="Medium Ratings"/>
    <n v="43990"/>
    <n v="30994.5"/>
  </r>
  <r>
    <x v="41"/>
    <x v="41"/>
    <x v="2"/>
    <n v="39"/>
    <n v="18990"/>
    <n v="26000"/>
    <x v="1"/>
    <m/>
    <n v="7010"/>
    <x v="0"/>
    <n v="-7010"/>
    <n v="-0.36914165350184308"/>
    <x v="0"/>
    <s v="Ratings Not Given"/>
    <n v="28500"/>
    <n v="18494.5"/>
  </r>
  <r>
    <x v="10"/>
    <x v="10"/>
    <x v="0"/>
    <n v="49"/>
    <n v="129900"/>
    <n v="129900"/>
    <x v="4"/>
    <n v="3.4"/>
    <n v="0"/>
    <x v="7"/>
    <n v="0"/>
    <n v="0"/>
    <x v="2"/>
    <s v="Bad Ratings"/>
    <n v="100945"/>
    <n v="74490"/>
  </r>
  <r>
    <x v="6"/>
    <x v="6"/>
    <x v="3"/>
    <n v="49"/>
    <n v="77900"/>
    <n v="77900"/>
    <x v="5"/>
    <n v="4.0999999999999996"/>
    <n v="0"/>
    <x v="7"/>
    <n v="0"/>
    <n v="0"/>
    <x v="2"/>
    <s v="Medium Ratings"/>
    <n v="98990"/>
    <n v="76737"/>
  </r>
  <r>
    <x v="10"/>
    <x v="10"/>
    <x v="0"/>
    <n v="49"/>
    <n v="136500"/>
    <n v="136500"/>
    <x v="4"/>
    <n v="4.4000000000000004"/>
    <n v="0"/>
    <x v="7"/>
    <n v="0"/>
    <n v="0"/>
    <x v="2"/>
    <s v="Medium Ratings"/>
    <n v="100945"/>
    <n v="74490"/>
  </r>
  <r>
    <x v="16"/>
    <x v="16"/>
    <x v="2"/>
    <n v="32"/>
    <n v="11499"/>
    <n v="15999"/>
    <x v="1"/>
    <n v="4.0999999999999996"/>
    <n v="4500"/>
    <x v="0"/>
    <n v="-4500"/>
    <n v="-0.39133837725019566"/>
    <x v="0"/>
    <s v="Medium Ratings"/>
    <n v="31990"/>
    <n v="22499"/>
  </r>
  <r>
    <x v="34"/>
    <x v="34"/>
    <x v="2"/>
    <n v="32"/>
    <n v="15990"/>
    <n v="16990"/>
    <x v="1"/>
    <m/>
    <n v="1000"/>
    <x v="4"/>
    <n v="-1000"/>
    <n v="-6.2539086929330828E-2"/>
    <x v="2"/>
    <s v="Ratings Not Given"/>
    <n v="37390"/>
    <n v="32990"/>
  </r>
  <r>
    <x v="6"/>
    <x v="6"/>
    <x v="0"/>
    <n v="48"/>
    <n v="103990"/>
    <n v="199990"/>
    <x v="5"/>
    <m/>
    <n v="96000"/>
    <x v="5"/>
    <n v="-96000"/>
    <n v="-0.92316568900855855"/>
    <x v="1"/>
    <s v="Ratings Not Given"/>
    <n v="98990"/>
    <n v="76737"/>
  </r>
  <r>
    <x v="10"/>
    <x v="10"/>
    <x v="1"/>
    <n v="49"/>
    <n v="84990"/>
    <n v="110900"/>
    <x v="4"/>
    <m/>
    <n v="25910"/>
    <x v="2"/>
    <n v="-25910"/>
    <n v="-0.3048593952229674"/>
    <x v="0"/>
    <s v="Ratings Not Given"/>
    <n v="100945"/>
    <n v="74490"/>
  </r>
  <r>
    <x v="25"/>
    <x v="25"/>
    <x v="0"/>
    <n v="43"/>
    <n v="34999"/>
    <n v="34999"/>
    <x v="1"/>
    <n v="4.3"/>
    <n v="0"/>
    <x v="7"/>
    <n v="0"/>
    <n v="0"/>
    <x v="2"/>
    <s v="Medium Ratings"/>
    <n v="35174.5"/>
    <n v="29990"/>
  </r>
  <r>
    <x v="23"/>
    <x v="23"/>
    <x v="2"/>
    <n v="32"/>
    <n v="21078"/>
    <n v="25490"/>
    <x v="1"/>
    <m/>
    <n v="4412"/>
    <x v="2"/>
    <n v="-4412"/>
    <n v="-0.209317772084638"/>
    <x v="0"/>
    <s v="Ratings Not Given"/>
    <n v="64195"/>
    <n v="43129"/>
  </r>
  <r>
    <x v="25"/>
    <x v="25"/>
    <x v="2"/>
    <n v="32"/>
    <n v="16990"/>
    <n v="20990"/>
    <x v="2"/>
    <n v="4.0999999999999996"/>
    <n v="4000"/>
    <x v="2"/>
    <n v="-4000"/>
    <n v="-0.23543260741612712"/>
    <x v="0"/>
    <s v="Medium Ratings"/>
    <n v="35174.5"/>
    <n v="29990"/>
  </r>
  <r>
    <x v="10"/>
    <x v="10"/>
    <x v="3"/>
    <n v="43"/>
    <n v="48900"/>
    <n v="48900"/>
    <x v="4"/>
    <n v="4.2"/>
    <n v="0"/>
    <x v="7"/>
    <n v="0"/>
    <n v="0"/>
    <x v="2"/>
    <s v="Medium Ratings"/>
    <n v="100945"/>
    <n v="74490"/>
  </r>
  <r>
    <x v="27"/>
    <x v="27"/>
    <x v="3"/>
    <n v="40"/>
    <n v="15999"/>
    <n v="29990"/>
    <x v="1"/>
    <n v="4.0999999999999996"/>
    <n v="13991"/>
    <x v="5"/>
    <n v="-13991"/>
    <n v="-0.87449215575973493"/>
    <x v="1"/>
    <s v="Medium Ratings"/>
    <n v="26340"/>
    <n v="13649"/>
  </r>
  <r>
    <x v="10"/>
    <x v="10"/>
    <x v="0"/>
    <n v="65"/>
    <n v="94990"/>
    <n v="145900"/>
    <x v="4"/>
    <n v="2.8"/>
    <n v="50910"/>
    <x v="0"/>
    <n v="-50910"/>
    <n v="-0.53595115275292138"/>
    <x v="0"/>
    <s v="Bad Ratings"/>
    <n v="100945"/>
    <n v="74490"/>
  </r>
  <r>
    <x v="43"/>
    <x v="43"/>
    <x v="1"/>
    <n v="65"/>
    <n v="99999"/>
    <n v="229990"/>
    <x v="1"/>
    <n v="4.4000000000000004"/>
    <n v="129991"/>
    <x v="1"/>
    <n v="-129991"/>
    <n v="-1.2999229992299923"/>
    <x v="1"/>
    <s v="Medium Ratings"/>
    <n v="39999"/>
    <n v="32999"/>
  </r>
  <r>
    <x v="23"/>
    <x v="23"/>
    <x v="0"/>
    <n v="65"/>
    <n v="103353"/>
    <n v="129990"/>
    <x v="2"/>
    <m/>
    <n v="26637"/>
    <x v="2"/>
    <n v="-26637"/>
    <n v="-0.25772836782676845"/>
    <x v="0"/>
    <s v="Ratings Not Given"/>
    <n v="64195"/>
    <n v="43129"/>
  </r>
  <r>
    <x v="44"/>
    <x v="44"/>
    <x v="2"/>
    <n v="32"/>
    <n v="10999"/>
    <n v="18599"/>
    <x v="1"/>
    <n v="4"/>
    <n v="7600"/>
    <x v="3"/>
    <n v="-7600"/>
    <n v="-0.69097190653695795"/>
    <x v="0"/>
    <s v="Medium Ratings"/>
    <n v="23299"/>
    <n v="13999"/>
  </r>
  <r>
    <x v="35"/>
    <x v="35"/>
    <x v="2"/>
    <n v="32"/>
    <n v="29790"/>
    <n v="29790"/>
    <x v="6"/>
    <m/>
    <n v="0"/>
    <x v="7"/>
    <n v="0"/>
    <n v="0"/>
    <x v="2"/>
    <s v="Ratings Not Given"/>
    <n v="32039"/>
    <n v="28690"/>
  </r>
  <r>
    <x v="44"/>
    <x v="44"/>
    <x v="2"/>
    <n v="24"/>
    <n v="7499"/>
    <n v="10999"/>
    <x v="1"/>
    <n v="4"/>
    <n v="3500"/>
    <x v="0"/>
    <n v="-3500"/>
    <n v="-0.46672889718629151"/>
    <x v="0"/>
    <s v="Medium Ratings"/>
    <n v="23299"/>
    <n v="13999"/>
  </r>
  <r>
    <x v="6"/>
    <x v="6"/>
    <x v="2"/>
    <n v="32"/>
    <n v="18450"/>
    <n v="19990"/>
    <x v="2"/>
    <n v="4.2"/>
    <n v="1540"/>
    <x v="4"/>
    <n v="-1540"/>
    <n v="-8.3468834688346885E-2"/>
    <x v="2"/>
    <s v="Medium Ratings"/>
    <n v="98990"/>
    <n v="76737"/>
  </r>
  <r>
    <x v="21"/>
    <x v="21"/>
    <x v="2"/>
    <n v="32"/>
    <n v="9799"/>
    <n v="21999"/>
    <x v="1"/>
    <n v="3.8"/>
    <n v="12200"/>
    <x v="1"/>
    <n v="-12200"/>
    <n v="-1.2450250025512808"/>
    <x v="1"/>
    <s v="Medium Ratings"/>
    <n v="21999"/>
    <n v="13699"/>
  </r>
  <r>
    <x v="24"/>
    <x v="24"/>
    <x v="2"/>
    <n v="32"/>
    <n v="13999"/>
    <n v="24990"/>
    <x v="1"/>
    <n v="3.7"/>
    <n v="10991"/>
    <x v="3"/>
    <n v="-10991"/>
    <n v="-0.78512750910779339"/>
    <x v="0"/>
    <s v="Bad Ratings"/>
    <n v="24990"/>
    <n v="16825"/>
  </r>
  <r>
    <x v="26"/>
    <x v="26"/>
    <x v="2"/>
    <n v="32"/>
    <n v="15990"/>
    <n v="20000"/>
    <x v="1"/>
    <m/>
    <n v="4010"/>
    <x v="2"/>
    <n v="-4010"/>
    <n v="-0.25078173858661662"/>
    <x v="0"/>
    <s v="Ratings Not Given"/>
    <n v="25000"/>
    <n v="17740"/>
  </r>
  <r>
    <x v="25"/>
    <x v="25"/>
    <x v="2"/>
    <n v="32"/>
    <n v="15290"/>
    <n v="20990"/>
    <x v="2"/>
    <m/>
    <n v="5700"/>
    <x v="0"/>
    <n v="-5700"/>
    <n v="-0.37279267495094831"/>
    <x v="0"/>
    <s v="Ratings Not Given"/>
    <n v="35174.5"/>
    <n v="29990"/>
  </r>
  <r>
    <x v="1"/>
    <x v="1"/>
    <x v="1"/>
    <n v="65"/>
    <n v="89999"/>
    <n v="189990"/>
    <x v="1"/>
    <n v="4.4000000000000004"/>
    <n v="99991"/>
    <x v="5"/>
    <n v="-99991"/>
    <n v="-1.1110234558161758"/>
    <x v="1"/>
    <s v="Medium Ratings"/>
    <n v="77990"/>
    <n v="40999"/>
  </r>
  <r>
    <x v="44"/>
    <x v="44"/>
    <x v="2"/>
    <n v="40"/>
    <n v="16999"/>
    <n v="27999"/>
    <x v="1"/>
    <n v="4"/>
    <n v="11000"/>
    <x v="3"/>
    <n v="-11000"/>
    <n v="-0.64709688805223842"/>
    <x v="0"/>
    <s v="Medium Ratings"/>
    <n v="23299"/>
    <n v="13999"/>
  </r>
  <r>
    <x v="9"/>
    <x v="9"/>
    <x v="2"/>
    <n v="32"/>
    <n v="12499"/>
    <n v="25990"/>
    <x v="1"/>
    <n v="4.2"/>
    <n v="13491"/>
    <x v="5"/>
    <n v="-13491"/>
    <n v="-1.0793663493079446"/>
    <x v="1"/>
    <s v="Medium Ratings"/>
    <n v="54990"/>
    <n v="25999"/>
  </r>
  <r>
    <x v="1"/>
    <x v="1"/>
    <x v="1"/>
    <n v="55"/>
    <n v="59999"/>
    <n v="189990"/>
    <x v="1"/>
    <n v="3.9"/>
    <n v="129991"/>
    <x v="6"/>
    <n v="-129991"/>
    <n v="-2.1665527758795982"/>
    <x v="1"/>
    <s v="Medium Ratings"/>
    <n v="77990"/>
    <n v="40999"/>
  </r>
  <r>
    <x v="25"/>
    <x v="25"/>
    <x v="3"/>
    <n v="40"/>
    <n v="24990"/>
    <n v="29290"/>
    <x v="2"/>
    <n v="3.7"/>
    <n v="4300"/>
    <x v="4"/>
    <n v="-4300"/>
    <n v="-0.17206882753101241"/>
    <x v="2"/>
    <s v="Bad Ratings"/>
    <n v="35174.5"/>
    <n v="29990"/>
  </r>
  <r>
    <x v="45"/>
    <x v="45"/>
    <x v="2"/>
    <n v="39"/>
    <n v="19800"/>
    <n v="33330"/>
    <x v="1"/>
    <n v="4.2"/>
    <n v="13530"/>
    <x v="3"/>
    <n v="-13530"/>
    <n v="-0.68333333333333335"/>
    <x v="0"/>
    <s v="Medium Ratings"/>
    <n v="35999"/>
    <n v="23688"/>
  </r>
  <r>
    <x v="10"/>
    <x v="10"/>
    <x v="1"/>
    <n v="49"/>
    <n v="64990"/>
    <n v="101900"/>
    <x v="4"/>
    <n v="4.8"/>
    <n v="36910"/>
    <x v="3"/>
    <n v="-36910"/>
    <n v="-0.56793352823511312"/>
    <x v="0"/>
    <s v="Good Ratings"/>
    <n v="100945"/>
    <n v="74490"/>
  </r>
  <r>
    <x v="10"/>
    <x v="10"/>
    <x v="1"/>
    <n v="55"/>
    <n v="105990"/>
    <n v="189990"/>
    <x v="4"/>
    <m/>
    <n v="84000"/>
    <x v="3"/>
    <n v="-84000"/>
    <n v="-0.79252759694310781"/>
    <x v="0"/>
    <s v="Ratings Not Given"/>
    <n v="100945"/>
    <n v="74490"/>
  </r>
  <r>
    <x v="33"/>
    <x v="33"/>
    <x v="2"/>
    <n v="32"/>
    <n v="11990"/>
    <n v="26900"/>
    <x v="1"/>
    <n v="3.7"/>
    <n v="14910"/>
    <x v="1"/>
    <n v="-14910"/>
    <n v="-1.2435362802335279"/>
    <x v="1"/>
    <s v="Bad Ratings"/>
    <n v="28445"/>
    <n v="16990"/>
  </r>
  <r>
    <x v="27"/>
    <x v="27"/>
    <x v="3"/>
    <n v="43"/>
    <n v="20999"/>
    <n v="38490"/>
    <x v="1"/>
    <n v="4.0999999999999996"/>
    <n v="17491"/>
    <x v="5"/>
    <n v="-17491"/>
    <n v="-0.83294442592504403"/>
    <x v="1"/>
    <s v="Medium Ratings"/>
    <n v="26340"/>
    <n v="13649"/>
  </r>
  <r>
    <x v="29"/>
    <x v="29"/>
    <x v="0"/>
    <n v="65"/>
    <n v="69590"/>
    <n v="106990"/>
    <x v="1"/>
    <m/>
    <n v="37400"/>
    <x v="0"/>
    <n v="-37400"/>
    <n v="-0.53743353930162374"/>
    <x v="0"/>
    <s v="Ratings Not Given"/>
    <n v="43990"/>
    <n v="30994.5"/>
  </r>
  <r>
    <x v="29"/>
    <x v="29"/>
    <x v="0"/>
    <n v="65"/>
    <n v="99999"/>
    <n v="149990"/>
    <x v="1"/>
    <m/>
    <n v="49991"/>
    <x v="0"/>
    <n v="-49991"/>
    <n v="-0.49991499914999149"/>
    <x v="0"/>
    <s v="Ratings Not Given"/>
    <n v="43990"/>
    <n v="30994.5"/>
  </r>
  <r>
    <x v="32"/>
    <x v="32"/>
    <x v="3"/>
    <n v="39"/>
    <n v="22990"/>
    <n v="32990"/>
    <x v="2"/>
    <n v="4.0999999999999996"/>
    <n v="10000"/>
    <x v="0"/>
    <n v="-10000"/>
    <n v="-0.43497172683775553"/>
    <x v="0"/>
    <s v="Medium Ratings"/>
    <n v="44490"/>
    <n v="25740"/>
  </r>
  <r>
    <x v="10"/>
    <x v="10"/>
    <x v="2"/>
    <n v="32"/>
    <n v="17999"/>
    <n v="23890"/>
    <x v="4"/>
    <n v="4.2"/>
    <n v="5891"/>
    <x v="2"/>
    <n v="-5891"/>
    <n v="-0.32729596088671592"/>
    <x v="0"/>
    <s v="Medium Ratings"/>
    <n v="100945"/>
    <n v="74490"/>
  </r>
  <r>
    <x v="46"/>
    <x v="46"/>
    <x v="0"/>
    <n v="55"/>
    <n v="35199"/>
    <n v="89000"/>
    <x v="1"/>
    <n v="4"/>
    <n v="53801"/>
    <x v="1"/>
    <n v="-53801"/>
    <n v="-1.5284809227534872"/>
    <x v="1"/>
    <s v="Medium Ratings"/>
    <n v="23999"/>
    <n v="11300"/>
  </r>
  <r>
    <x v="36"/>
    <x v="36"/>
    <x v="0"/>
    <n v="50"/>
    <n v="42490"/>
    <n v="60000"/>
    <x v="1"/>
    <m/>
    <n v="17510"/>
    <x v="0"/>
    <n v="-17510"/>
    <n v="-0.4120969639915274"/>
    <x v="0"/>
    <s v="Ratings Not Given"/>
    <n v="47999.5"/>
    <n v="35740"/>
  </r>
  <r>
    <x v="6"/>
    <x v="6"/>
    <x v="0"/>
    <n v="49"/>
    <n v="59999"/>
    <n v="110990"/>
    <x v="5"/>
    <n v="4.3"/>
    <n v="50991"/>
    <x v="5"/>
    <n v="-50991"/>
    <n v="-0.84986416440274004"/>
    <x v="1"/>
    <s v="Medium Ratings"/>
    <n v="98990"/>
    <n v="76737"/>
  </r>
  <r>
    <x v="6"/>
    <x v="6"/>
    <x v="0"/>
    <n v="65"/>
    <n v="99990"/>
    <n v="169990"/>
    <x v="5"/>
    <n v="4.5"/>
    <n v="70000"/>
    <x v="3"/>
    <n v="-70000"/>
    <n v="-0.7000700070007001"/>
    <x v="0"/>
    <s v="Good Ratings"/>
    <n v="98990"/>
    <n v="76737"/>
  </r>
  <r>
    <x v="29"/>
    <x v="29"/>
    <x v="2"/>
    <n v="32"/>
    <n v="18590"/>
    <n v="31090"/>
    <x v="1"/>
    <m/>
    <n v="12500"/>
    <x v="3"/>
    <n v="-12500"/>
    <n v="-0.67240451855836469"/>
    <x v="0"/>
    <s v="Ratings Not Given"/>
    <n v="43990"/>
    <n v="30994.5"/>
  </r>
  <r>
    <x v="47"/>
    <x v="47"/>
    <x v="0"/>
    <n v="55"/>
    <n v="37999"/>
    <n v="59999"/>
    <x v="1"/>
    <n v="4.0999999999999996"/>
    <n v="22000"/>
    <x v="3"/>
    <n v="-22000"/>
    <n v="-0.57896260427905999"/>
    <x v="0"/>
    <s v="Medium Ratings"/>
    <n v="55999.5"/>
    <n v="32494.5"/>
  </r>
  <r>
    <x v="23"/>
    <x v="23"/>
    <x v="0"/>
    <n v="43"/>
    <n v="35999"/>
    <n v="84900"/>
    <x v="2"/>
    <n v="4.4000000000000004"/>
    <n v="48901"/>
    <x v="1"/>
    <n v="-48901"/>
    <n v="-1.3583988444123447"/>
    <x v="1"/>
    <s v="Medium Ratings"/>
    <n v="64195"/>
    <n v="43129"/>
  </r>
  <r>
    <x v="29"/>
    <x v="29"/>
    <x v="2"/>
    <n v="32"/>
    <n v="18290"/>
    <n v="22990"/>
    <x v="1"/>
    <n v="4"/>
    <n v="4700"/>
    <x v="2"/>
    <n v="-4700"/>
    <n v="-0.25697102241662112"/>
    <x v="0"/>
    <s v="Medium Ratings"/>
    <n v="43990"/>
    <n v="30994.5"/>
  </r>
  <r>
    <x v="22"/>
    <x v="22"/>
    <x v="2"/>
    <n v="40"/>
    <n v="19999"/>
    <n v="28990"/>
    <x v="1"/>
    <m/>
    <n v="8991"/>
    <x v="0"/>
    <n v="-8991"/>
    <n v="-0.44957247862393118"/>
    <x v="0"/>
    <s v="Ratings Not Given"/>
    <n v="20990"/>
    <n v="16499"/>
  </r>
  <r>
    <x v="22"/>
    <x v="22"/>
    <x v="2"/>
    <n v="32"/>
    <n v="15990"/>
    <n v="16990"/>
    <x v="2"/>
    <m/>
    <n v="1000"/>
    <x v="4"/>
    <n v="-1000"/>
    <n v="-6.2539086929330828E-2"/>
    <x v="2"/>
    <s v="Ratings Not Given"/>
    <n v="20990"/>
    <n v="16499"/>
  </r>
  <r>
    <x v="32"/>
    <x v="32"/>
    <x v="2"/>
    <n v="32"/>
    <n v="18689"/>
    <n v="26957"/>
    <x v="2"/>
    <m/>
    <n v="8268"/>
    <x v="0"/>
    <n v="-8268"/>
    <n v="-0.44239927229921344"/>
    <x v="0"/>
    <s v="Ratings Not Given"/>
    <n v="44490"/>
    <n v="25740"/>
  </r>
  <r>
    <x v="32"/>
    <x v="32"/>
    <x v="3"/>
    <n v="43"/>
    <n v="34990"/>
    <n v="48990"/>
    <x v="2"/>
    <m/>
    <n v="14000"/>
    <x v="0"/>
    <n v="-14000"/>
    <n v="-0.40011431837667905"/>
    <x v="0"/>
    <s v="Ratings Not Given"/>
    <n v="44490"/>
    <n v="25740"/>
  </r>
  <r>
    <x v="36"/>
    <x v="36"/>
    <x v="2"/>
    <n v="32"/>
    <n v="16499"/>
    <n v="27000"/>
    <x v="1"/>
    <n v="3.7"/>
    <n v="10501"/>
    <x v="3"/>
    <n v="-10501"/>
    <n v="-0.63646281592823806"/>
    <x v="0"/>
    <s v="Bad Ratings"/>
    <n v="47999.5"/>
    <n v="35740"/>
  </r>
  <r>
    <x v="6"/>
    <x v="6"/>
    <x v="0"/>
    <n v="49"/>
    <n v="58999"/>
    <n v="90990"/>
    <x v="5"/>
    <n v="4.3"/>
    <n v="31991"/>
    <x v="3"/>
    <n v="-31991"/>
    <n v="-0.54222952931405621"/>
    <x v="0"/>
    <s v="Medium Ratings"/>
    <n v="98990"/>
    <n v="76737"/>
  </r>
  <r>
    <x v="36"/>
    <x v="36"/>
    <x v="2"/>
    <n v="43"/>
    <n v="28990"/>
    <n v="35999"/>
    <x v="1"/>
    <m/>
    <n v="7009"/>
    <x v="2"/>
    <n v="-7009"/>
    <n v="-0.24177302518109692"/>
    <x v="0"/>
    <s v="Ratings Not Given"/>
    <n v="47999.5"/>
    <n v="35740"/>
  </r>
  <r>
    <x v="10"/>
    <x v="10"/>
    <x v="2"/>
    <n v="32"/>
    <n v="26900"/>
    <n v="26900"/>
    <x v="4"/>
    <n v="4"/>
    <n v="0"/>
    <x v="7"/>
    <n v="0"/>
    <n v="0"/>
    <x v="2"/>
    <s v="Medium Ratings"/>
    <n v="100945"/>
    <n v="74490"/>
  </r>
  <r>
    <x v="15"/>
    <x v="15"/>
    <x v="0"/>
    <n v="65"/>
    <n v="191492"/>
    <n v="364900"/>
    <x v="1"/>
    <n v="3.8"/>
    <n v="173408"/>
    <x v="5"/>
    <n v="-173408"/>
    <n v="-0.90556263447036955"/>
    <x v="1"/>
    <s v="Medium Ratings"/>
    <n v="87400"/>
    <n v="64294.5"/>
  </r>
  <r>
    <x v="32"/>
    <x v="32"/>
    <x v="0"/>
    <n v="50"/>
    <n v="44999"/>
    <n v="84990"/>
    <x v="2"/>
    <n v="4.3"/>
    <n v="39991"/>
    <x v="5"/>
    <n v="-39991"/>
    <n v="-0.88870863796973265"/>
    <x v="1"/>
    <s v="Medium Ratings"/>
    <n v="44490"/>
    <n v="25740"/>
  </r>
  <r>
    <x v="6"/>
    <x v="6"/>
    <x v="0"/>
    <n v="65"/>
    <n v="189999"/>
    <n v="299990"/>
    <x v="5"/>
    <n v="2.7"/>
    <n v="109991"/>
    <x v="3"/>
    <n v="-109991"/>
    <n v="-0.57890304685814131"/>
    <x v="0"/>
    <s v="Bad Ratings"/>
    <n v="98990"/>
    <n v="76737"/>
  </r>
  <r>
    <x v="27"/>
    <x v="27"/>
    <x v="2"/>
    <n v="24"/>
    <n v="8699"/>
    <n v="15990"/>
    <x v="1"/>
    <n v="3.9"/>
    <n v="7291"/>
    <x v="5"/>
    <n v="-7291"/>
    <n v="-0.83814231520864468"/>
    <x v="1"/>
    <s v="Medium Ratings"/>
    <n v="26340"/>
    <n v="13649"/>
  </r>
  <r>
    <x v="10"/>
    <x v="10"/>
    <x v="0"/>
    <n v="50"/>
    <n v="52890"/>
    <n v="70900"/>
    <x v="4"/>
    <n v="4"/>
    <n v="18010"/>
    <x v="0"/>
    <n v="-18010"/>
    <n v="-0.34051805634335414"/>
    <x v="0"/>
    <s v="Medium Ratings"/>
    <n v="100945"/>
    <n v="74490"/>
  </r>
  <r>
    <x v="35"/>
    <x v="35"/>
    <x v="3"/>
    <n v="43"/>
    <n v="27039"/>
    <n v="32039"/>
    <x v="6"/>
    <n v="4"/>
    <n v="5000"/>
    <x v="2"/>
    <n v="-5000"/>
    <n v="-0.18491808128998855"/>
    <x v="0"/>
    <s v="Medium Ratings"/>
    <n v="32039"/>
    <n v="28690"/>
  </r>
  <r>
    <x v="29"/>
    <x v="29"/>
    <x v="3"/>
    <n v="50"/>
    <n v="42999"/>
    <n v="59990"/>
    <x v="1"/>
    <m/>
    <n v="16991"/>
    <x v="0"/>
    <n v="-16991"/>
    <n v="-0.39514872438893928"/>
    <x v="0"/>
    <s v="Ratings Not Given"/>
    <n v="43990"/>
    <n v="30994.5"/>
  </r>
  <r>
    <x v="6"/>
    <x v="6"/>
    <x v="0"/>
    <n v="43"/>
    <n v="79990"/>
    <n v="79990"/>
    <x v="5"/>
    <n v="4.4000000000000004"/>
    <n v="0"/>
    <x v="7"/>
    <n v="0"/>
    <n v="0"/>
    <x v="2"/>
    <s v="Medium Ratings"/>
    <n v="98990"/>
    <n v="76737"/>
  </r>
  <r>
    <x v="6"/>
    <x v="6"/>
    <x v="0"/>
    <n v="65"/>
    <n v="84990"/>
    <n v="129990"/>
    <x v="5"/>
    <m/>
    <n v="45000"/>
    <x v="0"/>
    <n v="-45000"/>
    <n v="-0.52947405577126716"/>
    <x v="0"/>
    <s v="Ratings Not Given"/>
    <n v="98990"/>
    <n v="76737"/>
  </r>
  <r>
    <x v="10"/>
    <x v="10"/>
    <x v="0"/>
    <n v="55"/>
    <n v="229900"/>
    <n v="229900"/>
    <x v="4"/>
    <m/>
    <n v="0"/>
    <x v="7"/>
    <n v="0"/>
    <n v="0"/>
    <x v="2"/>
    <s v="Ratings Not Given"/>
    <n v="100945"/>
    <n v="74490"/>
  </r>
  <r>
    <x v="32"/>
    <x v="32"/>
    <x v="2"/>
    <n v="31"/>
    <n v="16485"/>
    <n v="22990"/>
    <x v="2"/>
    <n v="4.3"/>
    <n v="6505"/>
    <x v="0"/>
    <n v="-6505"/>
    <n v="-0.39460115256293599"/>
    <x v="0"/>
    <s v="Medium Ratings"/>
    <n v="44490"/>
    <n v="25740"/>
  </r>
  <r>
    <x v="0"/>
    <x v="0"/>
    <x v="0"/>
    <n v="65"/>
    <n v="63999"/>
    <n v="119999"/>
    <x v="0"/>
    <m/>
    <n v="56000"/>
    <x v="5"/>
    <n v="-56000"/>
    <n v="-0.87501367208862635"/>
    <x v="1"/>
    <s v="Ratings Not Given"/>
    <n v="46990"/>
    <n v="29999"/>
  </r>
  <r>
    <x v="6"/>
    <x v="6"/>
    <x v="0"/>
    <n v="55"/>
    <n v="62490"/>
    <n v="79990"/>
    <x v="5"/>
    <n v="4"/>
    <n v="17500"/>
    <x v="2"/>
    <n v="-17500"/>
    <n v="-0.28004480716914704"/>
    <x v="0"/>
    <s v="Medium Ratings"/>
    <n v="98990"/>
    <n v="76737"/>
  </r>
  <r>
    <x v="10"/>
    <x v="10"/>
    <x v="0"/>
    <n v="55"/>
    <n v="67990"/>
    <n v="86900"/>
    <x v="4"/>
    <n v="3.9"/>
    <n v="18910"/>
    <x v="2"/>
    <n v="-18910"/>
    <n v="-0.27812913663774086"/>
    <x v="0"/>
    <s v="Medium Ratings"/>
    <n v="100945"/>
    <n v="74490"/>
  </r>
  <r>
    <x v="39"/>
    <x v="39"/>
    <x v="0"/>
    <n v="55"/>
    <n v="41999"/>
    <n v="58990"/>
    <x v="1"/>
    <m/>
    <n v="16991"/>
    <x v="0"/>
    <n v="-16991"/>
    <n v="-0.4045572513631277"/>
    <x v="0"/>
    <s v="Ratings Not Given"/>
    <n v="28990"/>
    <n v="15650"/>
  </r>
  <r>
    <x v="6"/>
    <x v="6"/>
    <x v="3"/>
    <n v="43"/>
    <n v="39290"/>
    <n v="49990"/>
    <x v="5"/>
    <n v="4.2"/>
    <n v="10700"/>
    <x v="2"/>
    <n v="-10700"/>
    <n v="-0.27233392720794097"/>
    <x v="0"/>
    <s v="Medium Ratings"/>
    <n v="98990"/>
    <n v="76737"/>
  </r>
  <r>
    <x v="22"/>
    <x v="22"/>
    <x v="3"/>
    <n v="43"/>
    <n v="26999"/>
    <n v="33990"/>
    <x v="1"/>
    <m/>
    <n v="6991"/>
    <x v="2"/>
    <n v="-6991"/>
    <n v="-0.25893551613022703"/>
    <x v="0"/>
    <s v="Ratings Not Given"/>
    <n v="20990"/>
    <n v="16499"/>
  </r>
  <r>
    <x v="40"/>
    <x v="40"/>
    <x v="0"/>
    <n v="55"/>
    <n v="46345"/>
    <n v="59990"/>
    <x v="1"/>
    <m/>
    <n v="13645"/>
    <x v="2"/>
    <n v="-13645"/>
    <n v="-0.29442226777430142"/>
    <x v="0"/>
    <s v="Ratings Not Given"/>
    <n v="79990"/>
    <n v="51146"/>
  </r>
  <r>
    <x v="39"/>
    <x v="39"/>
    <x v="2"/>
    <n v="32"/>
    <n v="13300"/>
    <n v="19990"/>
    <x v="1"/>
    <m/>
    <n v="6690"/>
    <x v="0"/>
    <n v="-6690"/>
    <n v="-0.50300751879699246"/>
    <x v="0"/>
    <s v="Ratings Not Given"/>
    <n v="28990"/>
    <n v="15650"/>
  </r>
  <r>
    <x v="39"/>
    <x v="39"/>
    <x v="0"/>
    <n v="49"/>
    <n v="34900"/>
    <n v="54990"/>
    <x v="1"/>
    <m/>
    <n v="20090"/>
    <x v="3"/>
    <n v="-20090"/>
    <n v="-0.57564469914040117"/>
    <x v="0"/>
    <s v="Ratings Not Given"/>
    <n v="28990"/>
    <n v="15650"/>
  </r>
  <r>
    <x v="27"/>
    <x v="27"/>
    <x v="2"/>
    <n v="24"/>
    <n v="9999"/>
    <n v="17990"/>
    <x v="1"/>
    <n v="4.0999999999999996"/>
    <n v="7991"/>
    <x v="3"/>
    <n v="-7991"/>
    <n v="-0.79917991799179922"/>
    <x v="0"/>
    <s v="Medium Ratings"/>
    <n v="26340"/>
    <n v="13649"/>
  </r>
  <r>
    <x v="16"/>
    <x v="16"/>
    <x v="0"/>
    <n v="49"/>
    <n v="47990"/>
    <n v="50999"/>
    <x v="1"/>
    <n v="4.0999999999999996"/>
    <n v="3009"/>
    <x v="4"/>
    <n v="-3009"/>
    <n v="-6.2700562617211922E-2"/>
    <x v="2"/>
    <s v="Medium Ratings"/>
    <n v="31990"/>
    <n v="22499"/>
  </r>
  <r>
    <x v="22"/>
    <x v="22"/>
    <x v="2"/>
    <n v="40"/>
    <n v="19999"/>
    <n v="28990"/>
    <x v="1"/>
    <m/>
    <n v="8991"/>
    <x v="0"/>
    <n v="-8991"/>
    <n v="-0.44957247862393118"/>
    <x v="0"/>
    <s v="Ratings Not Given"/>
    <n v="20990"/>
    <n v="16499"/>
  </r>
  <r>
    <x v="39"/>
    <x v="39"/>
    <x v="1"/>
    <n v="50"/>
    <n v="51990"/>
    <n v="59990"/>
    <x v="1"/>
    <m/>
    <n v="8000"/>
    <x v="4"/>
    <n v="-8000"/>
    <n v="-0.15387574533564147"/>
    <x v="2"/>
    <s v="Ratings Not Given"/>
    <n v="28990"/>
    <n v="15650"/>
  </r>
  <r>
    <x v="47"/>
    <x v="47"/>
    <x v="0"/>
    <n v="43"/>
    <n v="26990"/>
    <n v="52000"/>
    <x v="1"/>
    <n v="4.3"/>
    <n v="25010"/>
    <x v="5"/>
    <n v="-25010"/>
    <n v="-0.92663949610967022"/>
    <x v="1"/>
    <s v="Medium Ratings"/>
    <n v="55999.5"/>
    <n v="32494.5"/>
  </r>
  <r>
    <x v="22"/>
    <x v="22"/>
    <x v="2"/>
    <n v="40"/>
    <n v="19999"/>
    <n v="28990"/>
    <x v="1"/>
    <m/>
    <n v="8991"/>
    <x v="0"/>
    <n v="-8991"/>
    <n v="-0.44957247862393118"/>
    <x v="0"/>
    <s v="Ratings Not Given"/>
    <n v="20990"/>
    <n v="16499"/>
  </r>
  <r>
    <x v="28"/>
    <x v="28"/>
    <x v="2"/>
    <n v="40"/>
    <n v="15499"/>
    <n v="23999"/>
    <x v="1"/>
    <n v="2.4"/>
    <n v="8500"/>
    <x v="3"/>
    <n v="-8500"/>
    <n v="-0.54842247886960449"/>
    <x v="0"/>
    <s v="Bad Ratings"/>
    <n v="21499"/>
    <n v="13999"/>
  </r>
  <r>
    <x v="10"/>
    <x v="10"/>
    <x v="3"/>
    <n v="49"/>
    <n v="92500"/>
    <n v="92500"/>
    <x v="4"/>
    <n v="4.0999999999999996"/>
    <n v="0"/>
    <x v="7"/>
    <n v="0"/>
    <n v="0"/>
    <x v="2"/>
    <s v="Medium Ratings"/>
    <n v="100945"/>
    <n v="74490"/>
  </r>
  <r>
    <x v="39"/>
    <x v="39"/>
    <x v="1"/>
    <n v="55"/>
    <n v="69990"/>
    <n v="74990"/>
    <x v="1"/>
    <m/>
    <n v="5000"/>
    <x v="4"/>
    <n v="-5000"/>
    <n v="-7.1438776968138301E-2"/>
    <x v="2"/>
    <s v="Ratings Not Given"/>
    <n v="28990"/>
    <n v="15650"/>
  </r>
  <r>
    <x v="47"/>
    <x v="47"/>
    <x v="0"/>
    <n v="55"/>
    <n v="45000"/>
    <n v="69000"/>
    <x v="1"/>
    <n v="3.9"/>
    <n v="24000"/>
    <x v="0"/>
    <n v="-24000"/>
    <n v="-0.53333333333333333"/>
    <x v="0"/>
    <s v="Medium Ratings"/>
    <n v="55999.5"/>
    <n v="32494.5"/>
  </r>
  <r>
    <x v="39"/>
    <x v="39"/>
    <x v="0"/>
    <n v="65"/>
    <n v="55990"/>
    <n v="89990"/>
    <x v="1"/>
    <m/>
    <n v="34000"/>
    <x v="3"/>
    <n v="-34000"/>
    <n v="-0.60725129487408469"/>
    <x v="0"/>
    <s v="Ratings Not Given"/>
    <n v="28990"/>
    <n v="15650"/>
  </r>
  <r>
    <x v="5"/>
    <x v="5"/>
    <x v="1"/>
    <n v="75"/>
    <n v="499990"/>
    <n v="499990"/>
    <x v="1"/>
    <m/>
    <n v="0"/>
    <x v="7"/>
    <n v="0"/>
    <n v="0"/>
    <x v="2"/>
    <s v="Ratings Not Given"/>
    <n v="50490"/>
    <n v="39499"/>
  </r>
  <r>
    <x v="15"/>
    <x v="15"/>
    <x v="0"/>
    <n v="43"/>
    <n v="40999"/>
    <n v="61900"/>
    <x v="1"/>
    <n v="4.5999999999999996"/>
    <n v="20901"/>
    <x v="0"/>
    <n v="-20901"/>
    <n v="-0.50979292177857993"/>
    <x v="0"/>
    <s v="Good Ratings"/>
    <n v="87400"/>
    <n v="64294.5"/>
  </r>
  <r>
    <x v="10"/>
    <x v="10"/>
    <x v="3"/>
    <n v="43"/>
    <n v="31990"/>
    <n v="38900"/>
    <x v="4"/>
    <n v="4.4000000000000004"/>
    <n v="6910"/>
    <x v="2"/>
    <n v="-6910"/>
    <n v="-0.21600500156298844"/>
    <x v="0"/>
    <s v="Medium Ratings"/>
    <n v="100945"/>
    <n v="74490"/>
  </r>
  <r>
    <x v="10"/>
    <x v="10"/>
    <x v="3"/>
    <n v="43"/>
    <n v="36890"/>
    <n v="45900"/>
    <x v="4"/>
    <n v="4.7"/>
    <n v="9010"/>
    <x v="2"/>
    <n v="-9010"/>
    <n v="-0.24423963133640553"/>
    <x v="0"/>
    <s v="Good Ratings"/>
    <n v="100945"/>
    <n v="74490"/>
  </r>
  <r>
    <x v="10"/>
    <x v="10"/>
    <x v="3"/>
    <n v="43"/>
    <n v="39999"/>
    <n v="49900"/>
    <x v="4"/>
    <n v="4.3"/>
    <n v="9901"/>
    <x v="2"/>
    <n v="-9901"/>
    <n v="-0.24753118827970699"/>
    <x v="0"/>
    <s v="Medium Ratings"/>
    <n v="100945"/>
    <n v="74490"/>
  </r>
  <r>
    <x v="8"/>
    <x v="8"/>
    <x v="0"/>
    <n v="65"/>
    <n v="53499"/>
    <n v="156990"/>
    <x v="1"/>
    <n v="4.3"/>
    <n v="103491"/>
    <x v="6"/>
    <n v="-103491"/>
    <n v="-1.9344473728480907"/>
    <x v="1"/>
    <s v="Medium Ratings"/>
    <n v="76990"/>
    <n v="36999"/>
  </r>
  <r>
    <x v="3"/>
    <x v="3"/>
    <x v="0"/>
    <n v="55"/>
    <n v="47999"/>
    <n v="54999"/>
    <x v="1"/>
    <n v="4.4000000000000004"/>
    <n v="7000"/>
    <x v="4"/>
    <n v="-7000"/>
    <n v="-0.14583637159107482"/>
    <x v="2"/>
    <s v="Medium Ratings"/>
    <n v="34999"/>
    <n v="27999"/>
  </r>
  <r>
    <x v="10"/>
    <x v="10"/>
    <x v="0"/>
    <n v="55"/>
    <n v="51999"/>
    <n v="72900"/>
    <x v="4"/>
    <n v="4.5"/>
    <n v="20901"/>
    <x v="0"/>
    <n v="-20901"/>
    <n v="-0.40195003750072117"/>
    <x v="0"/>
    <s v="Good Ratings"/>
    <n v="100945"/>
    <n v="74490"/>
  </r>
  <r>
    <x v="17"/>
    <x v="17"/>
    <x v="0"/>
    <n v="50"/>
    <n v="34999"/>
    <n v="54050"/>
    <x v="1"/>
    <n v="4.3"/>
    <n v="19051"/>
    <x v="3"/>
    <n v="-19051"/>
    <n v="-0.54432983799537127"/>
    <x v="0"/>
    <s v="Medium Ratings"/>
    <n v="54050"/>
    <n v="35999"/>
  </r>
  <r>
    <x v="1"/>
    <x v="1"/>
    <x v="0"/>
    <n v="55"/>
    <n v="38356"/>
    <n v="89990"/>
    <x v="1"/>
    <m/>
    <n v="51634"/>
    <x v="1"/>
    <n v="-51634"/>
    <n v="-1.3461779121910522"/>
    <x v="1"/>
    <s v="Ratings Not Given"/>
    <n v="77990"/>
    <n v="40999"/>
  </r>
  <r>
    <x v="1"/>
    <x v="1"/>
    <x v="0"/>
    <n v="43"/>
    <n v="29999"/>
    <n v="55990"/>
    <x v="2"/>
    <n v="4.0999999999999996"/>
    <n v="25991"/>
    <x v="5"/>
    <n v="-25991"/>
    <n v="-0.86639554651821726"/>
    <x v="1"/>
    <s v="Medium Ratings"/>
    <n v="77990"/>
    <n v="40999"/>
  </r>
  <r>
    <x v="16"/>
    <x v="16"/>
    <x v="3"/>
    <n v="40"/>
    <n v="15499"/>
    <n v="31990"/>
    <x v="1"/>
    <n v="4.3"/>
    <n v="16491"/>
    <x v="5"/>
    <n v="-16491"/>
    <n v="-1.0640041292986644"/>
    <x v="1"/>
    <s v="Medium Ratings"/>
    <n v="31990"/>
    <n v="22499"/>
  </r>
  <r>
    <x v="10"/>
    <x v="10"/>
    <x v="3"/>
    <n v="43"/>
    <n v="34999"/>
    <n v="58900"/>
    <x v="4"/>
    <n v="4.5"/>
    <n v="23901"/>
    <x v="3"/>
    <n v="-23901"/>
    <n v="-0.68290522586359614"/>
    <x v="0"/>
    <s v="Good Ratings"/>
    <n v="100945"/>
    <n v="74490"/>
  </r>
  <r>
    <x v="24"/>
    <x v="24"/>
    <x v="2"/>
    <n v="32"/>
    <n v="12990"/>
    <n v="25075"/>
    <x v="1"/>
    <n v="4"/>
    <n v="12085"/>
    <x v="5"/>
    <n v="-12085"/>
    <n v="-0.93033102386451116"/>
    <x v="1"/>
    <s v="Medium Ratings"/>
    <n v="24990"/>
    <n v="16825"/>
  </r>
  <r>
    <x v="15"/>
    <x v="15"/>
    <x v="0"/>
    <n v="49"/>
    <n v="49999"/>
    <n v="104900"/>
    <x v="1"/>
    <n v="4.5"/>
    <n v="54901"/>
    <x v="5"/>
    <n v="-54901"/>
    <n v="-1.0980419608392167"/>
    <x v="1"/>
    <s v="Good Ratings"/>
    <n v="87400"/>
    <n v="64294.5"/>
  </r>
  <r>
    <x v="6"/>
    <x v="6"/>
    <x v="0"/>
    <n v="43"/>
    <n v="36990"/>
    <n v="52990"/>
    <x v="5"/>
    <n v="4.4000000000000004"/>
    <n v="16000"/>
    <x v="0"/>
    <n v="-16000"/>
    <n v="-0.43254933765882669"/>
    <x v="0"/>
    <s v="Medium Ratings"/>
    <n v="98990"/>
    <n v="76737"/>
  </r>
  <r>
    <x v="15"/>
    <x v="15"/>
    <x v="2"/>
    <n v="32"/>
    <n v="14023"/>
    <n v="25900"/>
    <x v="1"/>
    <n v="4.4000000000000004"/>
    <n v="11877"/>
    <x v="5"/>
    <n v="-11877"/>
    <n v="-0.84696569920844322"/>
    <x v="1"/>
    <s v="Medium Ratings"/>
    <n v="87400"/>
    <n v="64294.5"/>
  </r>
  <r>
    <x v="14"/>
    <x v="14"/>
    <x v="0"/>
    <n v="65"/>
    <n v="47999"/>
    <n v="79999"/>
    <x v="1"/>
    <n v="4.4000000000000004"/>
    <n v="32000"/>
    <x v="3"/>
    <n v="-32000"/>
    <n v="-0.66668055584491348"/>
    <x v="0"/>
    <s v="Medium Ratings"/>
    <n v="28999"/>
    <n v="21749"/>
  </r>
  <r>
    <x v="14"/>
    <x v="14"/>
    <x v="3"/>
    <n v="43"/>
    <n v="17999"/>
    <n v="26999"/>
    <x v="1"/>
    <n v="4.2"/>
    <n v="9000"/>
    <x v="0"/>
    <n v="-9000"/>
    <n v="-0.50002777932107334"/>
    <x v="0"/>
    <s v="Medium Ratings"/>
    <n v="28999"/>
    <n v="21749"/>
  </r>
  <r>
    <x v="10"/>
    <x v="10"/>
    <x v="0"/>
    <n v="43"/>
    <n v="43751"/>
    <n v="77900"/>
    <x v="4"/>
    <n v="4.4000000000000004"/>
    <n v="34149"/>
    <x v="3"/>
    <n v="-34149"/>
    <n v="-0.78053073072615486"/>
    <x v="0"/>
    <s v="Medium Ratings"/>
    <n v="100945"/>
    <n v="74490"/>
  </r>
  <r>
    <x v="1"/>
    <x v="1"/>
    <x v="0"/>
    <n v="55"/>
    <n v="37319"/>
    <n v="51990"/>
    <x v="2"/>
    <n v="4.3"/>
    <n v="14671"/>
    <x v="0"/>
    <n v="-14671"/>
    <n v="-0.3931241458774351"/>
    <x v="0"/>
    <s v="Medium Ratings"/>
    <n v="77990"/>
    <n v="40999"/>
  </r>
  <r>
    <x v="6"/>
    <x v="6"/>
    <x v="0"/>
    <n v="75"/>
    <n v="149990"/>
    <n v="269900"/>
    <x v="5"/>
    <m/>
    <n v="119910"/>
    <x v="3"/>
    <n v="-119910"/>
    <n v="-0.79945329688645905"/>
    <x v="0"/>
    <s v="Ratings Not Given"/>
    <n v="98990"/>
    <n v="76737"/>
  </r>
  <r>
    <x v="0"/>
    <x v="0"/>
    <x v="0"/>
    <n v="55"/>
    <n v="40599"/>
    <n v="50999"/>
    <x v="0"/>
    <n v="4.3"/>
    <n v="10400"/>
    <x v="2"/>
    <n v="-10400"/>
    <n v="-0.25616394492475186"/>
    <x v="0"/>
    <s v="Medium Ratings"/>
    <n v="46990"/>
    <n v="29999"/>
  </r>
  <r>
    <x v="10"/>
    <x v="10"/>
    <x v="0"/>
    <n v="43"/>
    <n v="36999"/>
    <n v="66900"/>
    <x v="4"/>
    <n v="4.5"/>
    <n v="29901"/>
    <x v="3"/>
    <n v="-29901"/>
    <n v="-0.80815697721560042"/>
    <x v="0"/>
    <s v="Good Ratings"/>
    <n v="100945"/>
    <n v="74490"/>
  </r>
  <r>
    <x v="18"/>
    <x v="18"/>
    <x v="0"/>
    <n v="65"/>
    <n v="78999"/>
    <n v="199990"/>
    <x v="1"/>
    <n v="4.5999999999999996"/>
    <n v="120991"/>
    <x v="1"/>
    <n v="-120991"/>
    <n v="-1.531551032291548"/>
    <x v="1"/>
    <s v="Good Ratings"/>
    <n v="44990"/>
    <n v="33459"/>
  </r>
  <r>
    <x v="12"/>
    <x v="12"/>
    <x v="0"/>
    <n v="55"/>
    <n v="29950"/>
    <n v="49990"/>
    <x v="2"/>
    <n v="4.4000000000000004"/>
    <n v="20040"/>
    <x v="3"/>
    <n v="-20040"/>
    <n v="-0.66911519198664438"/>
    <x v="0"/>
    <s v="Medium Ratings"/>
    <n v="49990"/>
    <n v="30999"/>
  </r>
  <r>
    <x v="24"/>
    <x v="24"/>
    <x v="0"/>
    <n v="55"/>
    <n v="49999"/>
    <n v="69990"/>
    <x v="1"/>
    <n v="4.2"/>
    <n v="19991"/>
    <x v="0"/>
    <n v="-19991"/>
    <n v="-0.39982799655993118"/>
    <x v="0"/>
    <s v="Medium Ratings"/>
    <n v="24990"/>
    <n v="16825"/>
  </r>
  <r>
    <x v="6"/>
    <x v="6"/>
    <x v="0"/>
    <n v="43"/>
    <n v="37890"/>
    <n v="49990"/>
    <x v="5"/>
    <n v="4.5"/>
    <n v="12100"/>
    <x v="2"/>
    <n v="-12100"/>
    <n v="-0.31934547373977301"/>
    <x v="0"/>
    <s v="Good Ratings"/>
    <n v="98990"/>
    <n v="76737"/>
  </r>
  <r>
    <x v="15"/>
    <x v="15"/>
    <x v="0"/>
    <n v="49"/>
    <n v="60999"/>
    <n v="84900"/>
    <x v="2"/>
    <n v="4.5"/>
    <n v="23901"/>
    <x v="0"/>
    <n v="-23901"/>
    <n v="-0.39182609550976244"/>
    <x v="0"/>
    <s v="Good Ratings"/>
    <n v="87400"/>
    <n v="64294.5"/>
  </r>
  <r>
    <x v="6"/>
    <x v="6"/>
    <x v="0"/>
    <n v="55"/>
    <n v="84999"/>
    <n v="166990"/>
    <x v="5"/>
    <n v="4.5"/>
    <n v="81991"/>
    <x v="5"/>
    <n v="-81991"/>
    <n v="-0.96461134836880436"/>
    <x v="1"/>
    <s v="Good Ratings"/>
    <n v="98990"/>
    <n v="76737"/>
  </r>
  <r>
    <x v="10"/>
    <x v="10"/>
    <x v="3"/>
    <n v="43"/>
    <n v="36514"/>
    <n v="46900"/>
    <x v="4"/>
    <n v="4.5"/>
    <n v="10386"/>
    <x v="2"/>
    <n v="-10386"/>
    <n v="-0.28443884537437697"/>
    <x v="0"/>
    <s v="Good Ratings"/>
    <n v="100945"/>
    <n v="74490"/>
  </r>
  <r>
    <x v="48"/>
    <x v="48"/>
    <x v="2"/>
    <n v="40"/>
    <n v="15990"/>
    <n v="35890"/>
    <x v="1"/>
    <n v="3.7"/>
    <n v="19900"/>
    <x v="1"/>
    <n v="-19900"/>
    <n v="-1.2445278298936835"/>
    <x v="1"/>
    <s v="Bad Ratings"/>
    <n v="37440"/>
    <n v="15490"/>
  </r>
  <r>
    <x v="6"/>
    <x v="6"/>
    <x v="0"/>
    <n v="49"/>
    <n v="47249"/>
    <n v="73990"/>
    <x v="5"/>
    <n v="4.3"/>
    <n v="26741"/>
    <x v="3"/>
    <n v="-26741"/>
    <n v="-0.5659590679167813"/>
    <x v="0"/>
    <s v="Medium Ratings"/>
    <n v="98990"/>
    <n v="76737"/>
  </r>
  <r>
    <x v="1"/>
    <x v="1"/>
    <x v="0"/>
    <n v="50"/>
    <n v="33999"/>
    <n v="62990"/>
    <x v="1"/>
    <n v="4.4000000000000004"/>
    <n v="28991"/>
    <x v="5"/>
    <n v="-28991"/>
    <n v="-0.85270155004558956"/>
    <x v="1"/>
    <s v="Medium Ratings"/>
    <n v="77990"/>
    <n v="40999"/>
  </r>
  <r>
    <x v="1"/>
    <x v="1"/>
    <x v="0"/>
    <n v="43"/>
    <n v="27889"/>
    <n v="52990"/>
    <x v="1"/>
    <n v="4.4000000000000004"/>
    <n v="25101"/>
    <x v="5"/>
    <n v="-25101"/>
    <n v="-0.90003227078776582"/>
    <x v="1"/>
    <s v="Medium Ratings"/>
    <n v="77990"/>
    <n v="40999"/>
  </r>
  <r>
    <x v="10"/>
    <x v="10"/>
    <x v="2"/>
    <n v="32"/>
    <n v="11999"/>
    <n v="21900"/>
    <x v="4"/>
    <n v="4.4000000000000004"/>
    <n v="9901"/>
    <x v="5"/>
    <n v="-9901"/>
    <n v="-0.82515209600800066"/>
    <x v="1"/>
    <s v="Medium Ratings"/>
    <n v="100945"/>
    <n v="74490"/>
  </r>
  <r>
    <x v="6"/>
    <x v="6"/>
    <x v="0"/>
    <n v="65"/>
    <n v="102890"/>
    <n v="172990"/>
    <x v="5"/>
    <n v="5"/>
    <n v="70100"/>
    <x v="3"/>
    <n v="-70100"/>
    <n v="-0.68131013703955678"/>
    <x v="0"/>
    <s v="Good Ratings"/>
    <n v="98990"/>
    <n v="76737"/>
  </r>
  <r>
    <x v="35"/>
    <x v="35"/>
    <x v="2"/>
    <n v="39"/>
    <n v="19039"/>
    <n v="26350"/>
    <x v="6"/>
    <m/>
    <n v="7311"/>
    <x v="0"/>
    <n v="-7311"/>
    <n v="-0.38400126057040812"/>
    <x v="0"/>
    <s v="Ratings Not Given"/>
    <n v="32039"/>
    <n v="28690"/>
  </r>
  <r>
    <x v="6"/>
    <x v="6"/>
    <x v="2"/>
    <n v="28"/>
    <n v="13945"/>
    <n v="17990"/>
    <x v="2"/>
    <n v="4.4000000000000004"/>
    <n v="4045"/>
    <x v="2"/>
    <n v="-4045"/>
    <n v="-0.29006812477590532"/>
    <x v="0"/>
    <s v="Medium Ratings"/>
    <n v="98990"/>
    <n v="76737"/>
  </r>
  <r>
    <x v="15"/>
    <x v="15"/>
    <x v="3"/>
    <n v="40"/>
    <n v="31999"/>
    <n v="37990"/>
    <x v="1"/>
    <n v="4.3"/>
    <n v="5991"/>
    <x v="2"/>
    <n v="-5991"/>
    <n v="-0.18722460076877404"/>
    <x v="0"/>
    <s v="Medium Ratings"/>
    <n v="87400"/>
    <n v="64294.5"/>
  </r>
  <r>
    <x v="8"/>
    <x v="8"/>
    <x v="0"/>
    <n v="55"/>
    <n v="31999"/>
    <n v="70990"/>
    <x v="1"/>
    <n v="4.4000000000000004"/>
    <n v="38991"/>
    <x v="5"/>
    <n v="-38991"/>
    <n v="-1.2185068283383855"/>
    <x v="1"/>
    <s v="Medium Ratings"/>
    <n v="76990"/>
    <n v="36999"/>
  </r>
  <r>
    <x v="15"/>
    <x v="15"/>
    <x v="2"/>
    <n v="32"/>
    <n v="20738"/>
    <n v="22990"/>
    <x v="1"/>
    <n v="5"/>
    <n v="2252"/>
    <x v="4"/>
    <n v="-2252"/>
    <n v="-0.10859292120744526"/>
    <x v="2"/>
    <s v="Good Ratings"/>
    <n v="87400"/>
    <n v="64294.5"/>
  </r>
  <r>
    <x v="1"/>
    <x v="1"/>
    <x v="2"/>
    <n v="32"/>
    <n v="15499"/>
    <n v="25990"/>
    <x v="2"/>
    <n v="4.0999999999999996"/>
    <n v="10491"/>
    <x v="3"/>
    <n v="-10491"/>
    <n v="-0.67688237950835539"/>
    <x v="0"/>
    <s v="Medium Ratings"/>
    <n v="77990"/>
    <n v="40999"/>
  </r>
  <r>
    <x v="43"/>
    <x v="43"/>
    <x v="1"/>
    <n v="55"/>
    <n v="59999"/>
    <n v="99999"/>
    <x v="1"/>
    <n v="4.4000000000000004"/>
    <n v="40000"/>
    <x v="3"/>
    <n v="-40000"/>
    <n v="-0.66667777796296601"/>
    <x v="0"/>
    <s v="Medium Ratings"/>
    <n v="39999"/>
    <n v="32999"/>
  </r>
  <r>
    <x v="10"/>
    <x v="10"/>
    <x v="3"/>
    <n v="43"/>
    <n v="36999"/>
    <n v="58900"/>
    <x v="4"/>
    <n v="4.3"/>
    <n v="21901"/>
    <x v="3"/>
    <n v="-21901"/>
    <n v="-0.59193491715992319"/>
    <x v="0"/>
    <s v="Medium Ratings"/>
    <n v="100945"/>
    <n v="74490"/>
  </r>
  <r>
    <x v="18"/>
    <x v="18"/>
    <x v="3"/>
    <n v="43"/>
    <n v="24999"/>
    <n v="55990"/>
    <x v="2"/>
    <n v="4"/>
    <n v="30991"/>
    <x v="1"/>
    <n v="-30991"/>
    <n v="-1.2396895875835034"/>
    <x v="1"/>
    <s v="Medium Ratings"/>
    <n v="44990"/>
    <n v="33459"/>
  </r>
  <r>
    <x v="29"/>
    <x v="29"/>
    <x v="3"/>
    <n v="40"/>
    <n v="25590"/>
    <n v="36990"/>
    <x v="1"/>
    <n v="4.7"/>
    <n v="11400"/>
    <x v="0"/>
    <n v="-11400"/>
    <n v="-0.44548651817116058"/>
    <x v="0"/>
    <s v="Good Ratings"/>
    <n v="43990"/>
    <n v="30994.5"/>
  </r>
  <r>
    <x v="10"/>
    <x v="10"/>
    <x v="0"/>
    <n v="43"/>
    <n v="36106"/>
    <n v="69900"/>
    <x v="4"/>
    <n v="4.3"/>
    <n v="33794"/>
    <x v="5"/>
    <n v="-33794"/>
    <n v="-0.93596632138702707"/>
    <x v="1"/>
    <s v="Medium Ratings"/>
    <n v="100945"/>
    <n v="74490"/>
  </r>
  <r>
    <x v="10"/>
    <x v="10"/>
    <x v="3"/>
    <n v="43"/>
    <n v="24726"/>
    <n v="45900"/>
    <x v="4"/>
    <n v="3.8"/>
    <n v="21174"/>
    <x v="5"/>
    <n v="-21174"/>
    <n v="-0.85634554719728218"/>
    <x v="1"/>
    <s v="Medium Ratings"/>
    <n v="100945"/>
    <n v="74490"/>
  </r>
  <r>
    <x v="1"/>
    <x v="1"/>
    <x v="0"/>
    <n v="43"/>
    <n v="25999"/>
    <n v="48990"/>
    <x v="2"/>
    <n v="4.0999999999999996"/>
    <n v="22991"/>
    <x v="5"/>
    <n v="-22991"/>
    <n v="-0.88430324243240122"/>
    <x v="1"/>
    <s v="Medium Ratings"/>
    <n v="77990"/>
    <n v="40999"/>
  </r>
  <r>
    <x v="12"/>
    <x v="12"/>
    <x v="0"/>
    <n v="75"/>
    <n v="84999"/>
    <n v="130000"/>
    <x v="2"/>
    <n v="4.0999999999999996"/>
    <n v="45001"/>
    <x v="0"/>
    <n v="-45001"/>
    <n v="-0.52942975799715286"/>
    <x v="0"/>
    <s v="Medium Ratings"/>
    <n v="49990"/>
    <n v="30999"/>
  </r>
  <r>
    <x v="49"/>
    <x v="49"/>
    <x v="2"/>
    <n v="24"/>
    <n v="8659"/>
    <n v="12490"/>
    <x v="3"/>
    <n v="3"/>
    <n v="3831"/>
    <x v="0"/>
    <n v="-3831"/>
    <n v="-0.44242984178311584"/>
    <x v="0"/>
    <s v="Bad Ratings"/>
    <n v="12490"/>
    <n v="8659"/>
  </r>
  <r>
    <x v="50"/>
    <x v="50"/>
    <x v="2"/>
    <n v="24"/>
    <n v="7499"/>
    <n v="7999"/>
    <x v="3"/>
    <n v="3.8"/>
    <n v="500"/>
    <x v="4"/>
    <n v="-500"/>
    <n v="-6.6675556740898784E-2"/>
    <x v="2"/>
    <s v="Medium Ratings"/>
    <n v="7999"/>
    <n v="7499"/>
  </r>
  <r>
    <x v="35"/>
    <x v="35"/>
    <x v="3"/>
    <n v="43"/>
    <n v="36379"/>
    <n v="52990"/>
    <x v="6"/>
    <n v="4"/>
    <n v="16611"/>
    <x v="0"/>
    <n v="-16611"/>
    <n v="-0.45660958245141425"/>
    <x v="0"/>
    <s v="Medium Ratings"/>
    <n v="32039"/>
    <n v="28690"/>
  </r>
  <r>
    <x v="10"/>
    <x v="10"/>
    <x v="2"/>
    <n v="32"/>
    <n v="15210"/>
    <n v="27900"/>
    <x v="4"/>
    <n v="4.3"/>
    <n v="12690"/>
    <x v="5"/>
    <n v="-12690"/>
    <n v="-0.83431952662721898"/>
    <x v="1"/>
    <s v="Medium Ratings"/>
    <n v="100945"/>
    <n v="74490"/>
  </r>
  <r>
    <x v="1"/>
    <x v="1"/>
    <x v="2"/>
    <n v="24"/>
    <n v="7499"/>
    <n v="11990"/>
    <x v="6"/>
    <n v="4"/>
    <n v="4491"/>
    <x v="3"/>
    <n v="-4491"/>
    <n v="-0.59887985064675286"/>
    <x v="0"/>
    <s v="Medium Ratings"/>
    <n v="77990"/>
    <n v="40999"/>
  </r>
  <r>
    <x v="18"/>
    <x v="18"/>
    <x v="3"/>
    <n v="42"/>
    <n v="42000"/>
    <n v="42000"/>
    <x v="1"/>
    <n v="3.8"/>
    <n v="0"/>
    <x v="7"/>
    <n v="0"/>
    <n v="0"/>
    <x v="2"/>
    <s v="Medium Ratings"/>
    <n v="44990"/>
    <n v="33459"/>
  </r>
  <r>
    <x v="24"/>
    <x v="24"/>
    <x v="2"/>
    <n v="32"/>
    <n v="14999"/>
    <n v="27990"/>
    <x v="1"/>
    <n v="4.0999999999999996"/>
    <n v="12991"/>
    <x v="5"/>
    <n v="-12991"/>
    <n v="-0.86612440829388626"/>
    <x v="1"/>
    <s v="Medium Ratings"/>
    <n v="24990"/>
    <n v="16825"/>
  </r>
  <r>
    <x v="51"/>
    <x v="51"/>
    <x v="0"/>
    <n v="55"/>
    <n v="50999"/>
    <n v="76990"/>
    <x v="2"/>
    <n v="4.5"/>
    <n v="25991"/>
    <x v="0"/>
    <n v="-25991"/>
    <n v="-0.50963744387144849"/>
    <x v="0"/>
    <s v="Good Ratings"/>
    <n v="70990"/>
    <n v="45499"/>
  </r>
  <r>
    <x v="15"/>
    <x v="15"/>
    <x v="0"/>
    <n v="55"/>
    <n v="134993"/>
    <n v="299900"/>
    <x v="2"/>
    <m/>
    <n v="164907"/>
    <x v="5"/>
    <n v="-164907"/>
    <n v="-1.221596675383168"/>
    <x v="1"/>
    <s v="Ratings Not Given"/>
    <n v="87400"/>
    <n v="64294.5"/>
  </r>
  <r>
    <x v="15"/>
    <x v="15"/>
    <x v="2"/>
    <n v="32"/>
    <n v="22999"/>
    <n v="27990"/>
    <x v="2"/>
    <n v="4.4000000000000004"/>
    <n v="4991"/>
    <x v="2"/>
    <n v="-4991"/>
    <n v="-0.21700943519283447"/>
    <x v="0"/>
    <s v="Medium Ratings"/>
    <n v="87400"/>
    <n v="64294.5"/>
  </r>
  <r>
    <x v="24"/>
    <x v="24"/>
    <x v="2"/>
    <n v="20"/>
    <n v="6498"/>
    <n v="10590"/>
    <x v="1"/>
    <n v="4.2"/>
    <n v="4092"/>
    <x v="3"/>
    <n v="-4092"/>
    <n v="-0.62973222530009232"/>
    <x v="0"/>
    <s v="Medium Ratings"/>
    <n v="24990"/>
    <n v="16825"/>
  </r>
  <r>
    <x v="15"/>
    <x v="15"/>
    <x v="0"/>
    <n v="55"/>
    <n v="82493"/>
    <n v="129900"/>
    <x v="1"/>
    <n v="4.8"/>
    <n v="47407"/>
    <x v="3"/>
    <n v="-47407"/>
    <n v="-0.57467906367813026"/>
    <x v="0"/>
    <s v="Good Ratings"/>
    <n v="87400"/>
    <n v="64294.5"/>
  </r>
  <r>
    <x v="6"/>
    <x v="6"/>
    <x v="2"/>
    <n v="32"/>
    <n v="28311"/>
    <n v="30900"/>
    <x v="5"/>
    <n v="3.7"/>
    <n v="2589"/>
    <x v="4"/>
    <n v="-2589"/>
    <n v="-9.1448553565751822E-2"/>
    <x v="2"/>
    <s v="Bad Ratings"/>
    <n v="98990"/>
    <n v="76737"/>
  </r>
  <r>
    <x v="12"/>
    <x v="12"/>
    <x v="2"/>
    <n v="32"/>
    <n v="13999"/>
    <n v="19000"/>
    <x v="1"/>
    <n v="4.3"/>
    <n v="5001"/>
    <x v="0"/>
    <n v="-5001"/>
    <n v="-0.35723980284306023"/>
    <x v="0"/>
    <s v="Medium Ratings"/>
    <n v="49990"/>
    <n v="30999"/>
  </r>
  <r>
    <x v="15"/>
    <x v="15"/>
    <x v="0"/>
    <n v="49"/>
    <n v="66104"/>
    <n v="129900"/>
    <x v="1"/>
    <n v="4.4000000000000004"/>
    <n v="63796"/>
    <x v="5"/>
    <n v="-63796"/>
    <n v="-0.96508532010165804"/>
    <x v="1"/>
    <s v="Medium Ratings"/>
    <n v="87400"/>
    <n v="64294.5"/>
  </r>
  <r>
    <x v="10"/>
    <x v="10"/>
    <x v="0"/>
    <n v="43"/>
    <n v="35999"/>
    <n v="52900"/>
    <x v="4"/>
    <n v="4.5"/>
    <n v="16901"/>
    <x v="0"/>
    <n v="-16901"/>
    <n v="-0.46948526347954112"/>
    <x v="0"/>
    <s v="Good Ratings"/>
    <n v="100945"/>
    <n v="74490"/>
  </r>
  <r>
    <x v="23"/>
    <x v="23"/>
    <x v="3"/>
    <n v="43"/>
    <n v="36999"/>
    <n v="49900"/>
    <x v="1"/>
    <n v="4.4000000000000004"/>
    <n v="12901"/>
    <x v="0"/>
    <n v="-12901"/>
    <n v="-0.34868509959728644"/>
    <x v="0"/>
    <s v="Medium Ratings"/>
    <n v="64195"/>
    <n v="43129"/>
  </r>
  <r>
    <x v="6"/>
    <x v="6"/>
    <x v="0"/>
    <n v="50"/>
    <n v="44990"/>
    <n v="66990"/>
    <x v="5"/>
    <n v="4.4000000000000004"/>
    <n v="22000"/>
    <x v="0"/>
    <n v="-22000"/>
    <n v="-0.48899755501222492"/>
    <x v="0"/>
    <s v="Medium Ratings"/>
    <n v="98990"/>
    <n v="76737"/>
  </r>
  <r>
    <x v="6"/>
    <x v="6"/>
    <x v="2"/>
    <n v="24"/>
    <n v="14771"/>
    <n v="15900"/>
    <x v="2"/>
    <n v="4.4000000000000004"/>
    <n v="1129"/>
    <x v="4"/>
    <n v="-1129"/>
    <n v="-7.643355223072236E-2"/>
    <x v="2"/>
    <s v="Medium Ratings"/>
    <n v="98990"/>
    <n v="76737"/>
  </r>
  <r>
    <x v="24"/>
    <x v="24"/>
    <x v="2"/>
    <n v="32"/>
    <n v="10499"/>
    <n v="19990"/>
    <x v="1"/>
    <n v="4.3"/>
    <n v="9491"/>
    <x v="5"/>
    <n v="-9491"/>
    <n v="-0.90399085627202591"/>
    <x v="1"/>
    <s v="Medium Ratings"/>
    <n v="24990"/>
    <n v="16825"/>
  </r>
  <r>
    <x v="10"/>
    <x v="10"/>
    <x v="2"/>
    <n v="32"/>
    <n v="17499"/>
    <n v="20900"/>
    <x v="4"/>
    <n v="4.3"/>
    <n v="3401"/>
    <x v="2"/>
    <n v="-3401"/>
    <n v="-0.19435396308360478"/>
    <x v="0"/>
    <s v="Medium Ratings"/>
    <n v="100945"/>
    <n v="74490"/>
  </r>
  <r>
    <x v="12"/>
    <x v="12"/>
    <x v="3"/>
    <n v="40"/>
    <n v="16999"/>
    <n v="32175"/>
    <x v="1"/>
    <n v="4.4000000000000004"/>
    <n v="15176"/>
    <x v="5"/>
    <n v="-15176"/>
    <n v="-0.89275839755279718"/>
    <x v="1"/>
    <s v="Medium Ratings"/>
    <n v="49990"/>
    <n v="30999"/>
  </r>
  <r>
    <x v="10"/>
    <x v="10"/>
    <x v="3"/>
    <n v="40"/>
    <n v="19929"/>
    <n v="43476"/>
    <x v="4"/>
    <n v="4.3"/>
    <n v="23547"/>
    <x v="5"/>
    <n v="-23547"/>
    <n v="-1.181544482914346"/>
    <x v="1"/>
    <s v="Medium Ratings"/>
    <n v="100945"/>
    <n v="74490"/>
  </r>
  <r>
    <x v="1"/>
    <x v="1"/>
    <x v="1"/>
    <n v="75"/>
    <n v="149990"/>
    <n v="399990"/>
    <x v="1"/>
    <n v="3.9"/>
    <n v="250000"/>
    <x v="1"/>
    <n v="-250000"/>
    <n v="-1.6667777851856791"/>
    <x v="1"/>
    <s v="Medium Ratings"/>
    <n v="77990"/>
    <n v="40999"/>
  </r>
  <r>
    <x v="8"/>
    <x v="8"/>
    <x v="0"/>
    <n v="43"/>
    <n v="29999"/>
    <n v="76990"/>
    <x v="1"/>
    <n v="4.3"/>
    <n v="46991"/>
    <x v="1"/>
    <n v="-46991"/>
    <n v="-1.5664188806293544"/>
    <x v="1"/>
    <s v="Medium Ratings"/>
    <n v="76990"/>
    <n v="36999"/>
  </r>
  <r>
    <x v="23"/>
    <x v="23"/>
    <x v="3"/>
    <n v="49"/>
    <n v="42999"/>
    <n v="72900"/>
    <x v="2"/>
    <n v="4.2"/>
    <n v="29901"/>
    <x v="3"/>
    <n v="-29901"/>
    <n v="-0.69538826484336846"/>
    <x v="0"/>
    <s v="Medium Ratings"/>
    <n v="64195"/>
    <n v="43129"/>
  </r>
  <r>
    <x v="12"/>
    <x v="12"/>
    <x v="3"/>
    <n v="43"/>
    <n v="22499"/>
    <n v="31000"/>
    <x v="1"/>
    <n v="4.2"/>
    <n v="8501"/>
    <x v="0"/>
    <n v="-8501"/>
    <n v="-0.3778390150673363"/>
    <x v="0"/>
    <s v="Medium Ratings"/>
    <n v="49990"/>
    <n v="30999"/>
  </r>
  <r>
    <x v="52"/>
    <x v="52"/>
    <x v="3"/>
    <n v="32"/>
    <n v="12990"/>
    <n v="16990"/>
    <x v="3"/>
    <m/>
    <n v="4000"/>
    <x v="2"/>
    <n v="-4000"/>
    <n v="-0.30792917628945343"/>
    <x v="0"/>
    <s v="Ratings Not Given"/>
    <n v="15994.5"/>
    <n v="13490"/>
  </r>
  <r>
    <x v="5"/>
    <x v="5"/>
    <x v="1"/>
    <n v="65"/>
    <n v="84990"/>
    <n v="109990"/>
    <x v="1"/>
    <m/>
    <n v="25000"/>
    <x v="2"/>
    <n v="-25000"/>
    <n v="-0.29415225320625954"/>
    <x v="0"/>
    <s v="Ratings Not Given"/>
    <n v="50490"/>
    <n v="39499"/>
  </r>
  <r>
    <x v="37"/>
    <x v="37"/>
    <x v="0"/>
    <n v="55"/>
    <n v="36999"/>
    <n v="61990"/>
    <x v="1"/>
    <n v="4.0999999999999996"/>
    <n v="24991"/>
    <x v="3"/>
    <n v="-24991"/>
    <n v="-0.67545068785642859"/>
    <x v="0"/>
    <s v="Medium Ratings"/>
    <n v="32990"/>
    <n v="21999"/>
  </r>
  <r>
    <x v="15"/>
    <x v="15"/>
    <x v="3"/>
    <n v="32"/>
    <n v="31990"/>
    <n v="39990"/>
    <x v="2"/>
    <n v="4.5"/>
    <n v="8000"/>
    <x v="2"/>
    <n v="-8000"/>
    <n v="-0.25007814942169426"/>
    <x v="0"/>
    <s v="Good Ratings"/>
    <n v="87400"/>
    <n v="64294.5"/>
  </r>
  <r>
    <x v="51"/>
    <x v="51"/>
    <x v="0"/>
    <n v="49"/>
    <n v="39999"/>
    <n v="64990"/>
    <x v="2"/>
    <n v="3.9"/>
    <n v="24991"/>
    <x v="3"/>
    <n v="-24991"/>
    <n v="-0.6247906197654941"/>
    <x v="0"/>
    <s v="Medium Ratings"/>
    <n v="70990"/>
    <n v="45499"/>
  </r>
  <r>
    <x v="23"/>
    <x v="23"/>
    <x v="3"/>
    <n v="43"/>
    <n v="27990"/>
    <n v="56900"/>
    <x v="1"/>
    <n v="4.0999999999999996"/>
    <n v="28910"/>
    <x v="5"/>
    <n v="-28910"/>
    <n v="-1.0328688817434799"/>
    <x v="1"/>
    <s v="Medium Ratings"/>
    <n v="64195"/>
    <n v="43129"/>
  </r>
  <r>
    <x v="12"/>
    <x v="12"/>
    <x v="0"/>
    <n v="50"/>
    <n v="37254"/>
    <n v="60000"/>
    <x v="1"/>
    <n v="4.3"/>
    <n v="22746"/>
    <x v="3"/>
    <n v="-22746"/>
    <n v="-0.61056530842325651"/>
    <x v="0"/>
    <s v="Medium Ratings"/>
    <n v="49990"/>
    <n v="30999"/>
  </r>
  <r>
    <x v="6"/>
    <x v="6"/>
    <x v="0"/>
    <n v="55"/>
    <n v="115658"/>
    <n v="212490"/>
    <x v="5"/>
    <n v="4.5999999999999996"/>
    <n v="96832"/>
    <x v="5"/>
    <n v="-96832"/>
    <n v="-0.83722699683549773"/>
    <x v="1"/>
    <s v="Good Ratings"/>
    <n v="98990"/>
    <n v="76737"/>
  </r>
  <r>
    <x v="15"/>
    <x v="15"/>
    <x v="0"/>
    <n v="65"/>
    <n v="152999"/>
    <n v="269900"/>
    <x v="1"/>
    <n v="4.5"/>
    <n v="116901"/>
    <x v="3"/>
    <n v="-116901"/>
    <n v="-0.76406381741057128"/>
    <x v="0"/>
    <s v="Good Ratings"/>
    <n v="87400"/>
    <n v="64294.5"/>
  </r>
  <r>
    <x v="24"/>
    <x v="24"/>
    <x v="3"/>
    <n v="40"/>
    <n v="18990"/>
    <n v="36663"/>
    <x v="1"/>
    <n v="4.2"/>
    <n v="17673"/>
    <x v="5"/>
    <n v="-17673"/>
    <n v="-0.93064770932069507"/>
    <x v="1"/>
    <s v="Medium Ratings"/>
    <n v="24990"/>
    <n v="16825"/>
  </r>
  <r>
    <x v="6"/>
    <x v="6"/>
    <x v="3"/>
    <n v="22"/>
    <n v="13933"/>
    <n v="14500"/>
    <x v="2"/>
    <n v="4.5999999999999996"/>
    <n v="567"/>
    <x v="7"/>
    <n v="-567"/>
    <n v="-4.0694753463001505E-2"/>
    <x v="2"/>
    <s v="Good Ratings"/>
    <n v="98990"/>
    <n v="76737"/>
  </r>
  <r>
    <x v="6"/>
    <x v="6"/>
    <x v="2"/>
    <n v="24"/>
    <n v="14495"/>
    <n v="14500"/>
    <x v="2"/>
    <n v="4.4000000000000004"/>
    <n v="5"/>
    <x v="7"/>
    <n v="-5"/>
    <n v="-3.4494653328734045E-4"/>
    <x v="2"/>
    <s v="Medium Ratings"/>
    <n v="98990"/>
    <n v="76737"/>
  </r>
  <r>
    <x v="15"/>
    <x v="15"/>
    <x v="0"/>
    <n v="65"/>
    <n v="140791"/>
    <n v="209900"/>
    <x v="1"/>
    <n v="4.8"/>
    <n v="69109"/>
    <x v="0"/>
    <n v="-69109"/>
    <n v="-0.49086234205311419"/>
    <x v="0"/>
    <s v="Good Ratings"/>
    <n v="87400"/>
    <n v="64294.5"/>
  </r>
  <r>
    <x v="12"/>
    <x v="12"/>
    <x v="0"/>
    <n v="50"/>
    <n v="27999"/>
    <n v="55000"/>
    <x v="1"/>
    <n v="4.4000000000000004"/>
    <n v="27001"/>
    <x v="5"/>
    <n v="-27001"/>
    <n v="-0.96435586985249477"/>
    <x v="1"/>
    <s v="Medium Ratings"/>
    <n v="49990"/>
    <n v="30999"/>
  </r>
  <r>
    <x v="3"/>
    <x v="3"/>
    <x v="0"/>
    <n v="55"/>
    <n v="43477"/>
    <n v="44999"/>
    <x v="1"/>
    <m/>
    <n v="1522"/>
    <x v="7"/>
    <n v="-1522"/>
    <n v="-3.5007015203440899E-2"/>
    <x v="2"/>
    <s v="Ratings Not Given"/>
    <n v="34999"/>
    <n v="27999"/>
  </r>
  <r>
    <x v="1"/>
    <x v="1"/>
    <x v="3"/>
    <n v="40"/>
    <n v="19489"/>
    <n v="36419"/>
    <x v="2"/>
    <n v="4.0999999999999996"/>
    <n v="16930"/>
    <x v="5"/>
    <n v="-16930"/>
    <n v="-0.86869516137308223"/>
    <x v="1"/>
    <s v="Medium Ratings"/>
    <n v="77990"/>
    <n v="40999"/>
  </r>
  <r>
    <x v="23"/>
    <x v="23"/>
    <x v="0"/>
    <n v="65"/>
    <n v="114999"/>
    <n v="179900"/>
    <x v="2"/>
    <n v="4.8"/>
    <n v="64901"/>
    <x v="3"/>
    <n v="-64901"/>
    <n v="-0.56436142922981936"/>
    <x v="0"/>
    <s v="Good Ratings"/>
    <n v="64195"/>
    <n v="43129"/>
  </r>
  <r>
    <x v="6"/>
    <x v="6"/>
    <x v="0"/>
    <n v="43"/>
    <n v="36999"/>
    <n v="55990"/>
    <x v="5"/>
    <n v="4.5"/>
    <n v="18991"/>
    <x v="0"/>
    <n v="-18991"/>
    <n v="-0.51328414281467072"/>
    <x v="0"/>
    <s v="Good Ratings"/>
    <n v="98990"/>
    <n v="76737"/>
  </r>
  <r>
    <x v="6"/>
    <x v="6"/>
    <x v="2"/>
    <n v="32"/>
    <n v="19603"/>
    <n v="26490"/>
    <x v="2"/>
    <n v="4.4000000000000004"/>
    <n v="6887"/>
    <x v="0"/>
    <n v="-6887"/>
    <n v="-0.35132377697291228"/>
    <x v="0"/>
    <s v="Medium Ratings"/>
    <n v="98990"/>
    <n v="76737"/>
  </r>
  <r>
    <x v="10"/>
    <x v="10"/>
    <x v="3"/>
    <n v="50"/>
    <n v="36900"/>
    <n v="36900"/>
    <x v="4"/>
    <n v="3.8"/>
    <n v="0"/>
    <x v="7"/>
    <n v="0"/>
    <n v="0"/>
    <x v="2"/>
    <s v="Medium Ratings"/>
    <n v="100945"/>
    <n v="74490"/>
  </r>
  <r>
    <x v="18"/>
    <x v="18"/>
    <x v="0"/>
    <n v="55"/>
    <n v="48999"/>
    <n v="89990"/>
    <x v="1"/>
    <n v="4"/>
    <n v="40991"/>
    <x v="5"/>
    <n v="-40991"/>
    <n v="-0.83656809322639236"/>
    <x v="1"/>
    <s v="Medium Ratings"/>
    <n v="44990"/>
    <n v="33459"/>
  </r>
  <r>
    <x v="24"/>
    <x v="24"/>
    <x v="2"/>
    <n v="22"/>
    <n v="8900"/>
    <n v="10000"/>
    <x v="1"/>
    <n v="4.2"/>
    <n v="1100"/>
    <x v="4"/>
    <n v="-1100"/>
    <n v="-0.12359550561797752"/>
    <x v="2"/>
    <s v="Medium Ratings"/>
    <n v="24990"/>
    <n v="16825"/>
  </r>
  <r>
    <x v="12"/>
    <x v="12"/>
    <x v="0"/>
    <n v="50"/>
    <n v="50000"/>
    <n v="50000"/>
    <x v="1"/>
    <n v="4.4000000000000004"/>
    <n v="0"/>
    <x v="7"/>
    <n v="0"/>
    <n v="0"/>
    <x v="2"/>
    <s v="Medium Ratings"/>
    <n v="49990"/>
    <n v="30999"/>
  </r>
  <r>
    <x v="3"/>
    <x v="3"/>
    <x v="3"/>
    <n v="49"/>
    <n v="32994"/>
    <n v="32999"/>
    <x v="1"/>
    <n v="4.4000000000000004"/>
    <n v="5"/>
    <x v="7"/>
    <n v="-5"/>
    <n v="-1.515427047341941E-4"/>
    <x v="2"/>
    <s v="Medium Ratings"/>
    <n v="34999"/>
    <n v="27999"/>
  </r>
  <r>
    <x v="45"/>
    <x v="45"/>
    <x v="2"/>
    <n v="32"/>
    <n v="12699"/>
    <n v="27990"/>
    <x v="1"/>
    <n v="3.6"/>
    <n v="15291"/>
    <x v="5"/>
    <n v="-15291"/>
    <n v="-1.2041105598866053"/>
    <x v="1"/>
    <s v="Bad Ratings"/>
    <n v="35999"/>
    <n v="23688"/>
  </r>
  <r>
    <x v="16"/>
    <x v="16"/>
    <x v="3"/>
    <n v="49"/>
    <n v="22999"/>
    <n v="31990"/>
    <x v="1"/>
    <n v="4.3"/>
    <n v="8991"/>
    <x v="0"/>
    <n v="-8991"/>
    <n v="-0.39093004043654073"/>
    <x v="0"/>
    <s v="Medium Ratings"/>
    <n v="31990"/>
    <n v="22499"/>
  </r>
  <r>
    <x v="18"/>
    <x v="18"/>
    <x v="2"/>
    <n v="32"/>
    <n v="10840"/>
    <n v="24990"/>
    <x v="1"/>
    <n v="4.0999999999999996"/>
    <n v="14150"/>
    <x v="1"/>
    <n v="-14150"/>
    <n v="-1.305350553505535"/>
    <x v="1"/>
    <s v="Medium Ratings"/>
    <n v="44990"/>
    <n v="33459"/>
  </r>
  <r>
    <x v="30"/>
    <x v="30"/>
    <x v="3"/>
    <n v="49"/>
    <n v="29990"/>
    <n v="50990"/>
    <x v="1"/>
    <n v="4.4000000000000004"/>
    <n v="21000"/>
    <x v="3"/>
    <n v="-21000"/>
    <n v="-0.70023341113704574"/>
    <x v="0"/>
    <s v="Medium Ratings"/>
    <n v="34990"/>
    <n v="29399.5"/>
  </r>
  <r>
    <x v="53"/>
    <x v="53"/>
    <x v="2"/>
    <n v="24"/>
    <n v="6999"/>
    <n v="10999"/>
    <x v="2"/>
    <n v="4.3"/>
    <n v="4000"/>
    <x v="3"/>
    <n v="-4000"/>
    <n v="-0.57151021574510641"/>
    <x v="0"/>
    <s v="Medium Ratings"/>
    <n v="10499"/>
    <n v="6999"/>
  </r>
  <r>
    <x v="31"/>
    <x v="31"/>
    <x v="3"/>
    <n v="21"/>
    <n v="5200"/>
    <n v="9420"/>
    <x v="6"/>
    <n v="3.9"/>
    <n v="4220"/>
    <x v="3"/>
    <n v="-4220"/>
    <n v="-0.81153846153846154"/>
    <x v="0"/>
    <s v="Medium Ratings"/>
    <n v="12000"/>
    <n v="5490"/>
  </r>
  <r>
    <x v="15"/>
    <x v="15"/>
    <x v="3"/>
    <n v="52"/>
    <n v="37900"/>
    <n v="37900"/>
    <x v="2"/>
    <n v="4.5999999999999996"/>
    <n v="0"/>
    <x v="7"/>
    <n v="0"/>
    <n v="0"/>
    <x v="2"/>
    <s v="Good Ratings"/>
    <n v="87400"/>
    <n v="64294.5"/>
  </r>
  <r>
    <x v="37"/>
    <x v="37"/>
    <x v="3"/>
    <n v="43"/>
    <n v="17499"/>
    <n v="32990"/>
    <x v="1"/>
    <n v="4.3"/>
    <n v="15491"/>
    <x v="5"/>
    <n v="-15491"/>
    <n v="-0.88525058574775706"/>
    <x v="1"/>
    <s v="Medium Ratings"/>
    <n v="32990"/>
    <n v="21999"/>
  </r>
  <r>
    <x v="6"/>
    <x v="6"/>
    <x v="2"/>
    <n v="24"/>
    <n v="15552"/>
    <n v="16900"/>
    <x v="2"/>
    <n v="2"/>
    <n v="1348"/>
    <x v="4"/>
    <n v="-1348"/>
    <n v="-8.6676954732510289E-2"/>
    <x v="2"/>
    <s v="Bad Ratings"/>
    <n v="98990"/>
    <n v="76737"/>
  </r>
  <r>
    <x v="0"/>
    <x v="0"/>
    <x v="0"/>
    <n v="43"/>
    <n v="28999"/>
    <n v="38999"/>
    <x v="0"/>
    <m/>
    <n v="10000"/>
    <x v="0"/>
    <n v="-10000"/>
    <n v="-0.34483947722335251"/>
    <x v="0"/>
    <s v="Ratings Not Given"/>
    <n v="46990"/>
    <n v="29999"/>
  </r>
  <r>
    <x v="6"/>
    <x v="6"/>
    <x v="3"/>
    <n v="22"/>
    <n v="12453"/>
    <n v="13500"/>
    <x v="2"/>
    <n v="4.0999999999999996"/>
    <n v="1047"/>
    <x v="4"/>
    <n v="-1047"/>
    <n v="-8.4076126234642251E-2"/>
    <x v="2"/>
    <s v="Medium Ratings"/>
    <n v="98990"/>
    <n v="76737"/>
  </r>
  <r>
    <x v="8"/>
    <x v="8"/>
    <x v="2"/>
    <n v="32"/>
    <n v="13990"/>
    <n v="18990"/>
    <x v="1"/>
    <n v="4.2"/>
    <n v="5000"/>
    <x v="0"/>
    <n v="-5000"/>
    <n v="-0.35739814152966404"/>
    <x v="0"/>
    <s v="Medium Ratings"/>
    <n v="76990"/>
    <n v="36999"/>
  </r>
  <r>
    <x v="6"/>
    <x v="6"/>
    <x v="3"/>
    <n v="32"/>
    <n v="32527"/>
    <n v="38900"/>
    <x v="5"/>
    <n v="4.3"/>
    <n v="6373"/>
    <x v="2"/>
    <n v="-6373"/>
    <n v="-0.19592953546284625"/>
    <x v="0"/>
    <s v="Medium Ratings"/>
    <n v="98990"/>
    <n v="76737"/>
  </r>
  <r>
    <x v="10"/>
    <x v="10"/>
    <x v="3"/>
    <n v="40"/>
    <n v="33000"/>
    <n v="43850"/>
    <x v="4"/>
    <n v="3.8"/>
    <n v="10850"/>
    <x v="2"/>
    <n v="-10850"/>
    <n v="-0.3287878787878788"/>
    <x v="0"/>
    <s v="Medium Ratings"/>
    <n v="100945"/>
    <n v="74490"/>
  </r>
  <r>
    <x v="24"/>
    <x v="24"/>
    <x v="2"/>
    <n v="24"/>
    <n v="5792"/>
    <n v="11990"/>
    <x v="1"/>
    <n v="4.3"/>
    <n v="6198"/>
    <x v="5"/>
    <n v="-6198"/>
    <n v="-1.070096685082873"/>
    <x v="1"/>
    <s v="Medium Ratings"/>
    <n v="24990"/>
    <n v="16825"/>
  </r>
  <r>
    <x v="37"/>
    <x v="37"/>
    <x v="0"/>
    <n v="55"/>
    <n v="84500"/>
    <n v="84500"/>
    <x v="1"/>
    <n v="3.7"/>
    <n v="0"/>
    <x v="7"/>
    <n v="0"/>
    <n v="0"/>
    <x v="2"/>
    <s v="Bad Ratings"/>
    <n v="32990"/>
    <n v="21999"/>
  </r>
  <r>
    <x v="10"/>
    <x v="10"/>
    <x v="3"/>
    <n v="32"/>
    <n v="20126"/>
    <n v="40900"/>
    <x v="4"/>
    <n v="4.4000000000000004"/>
    <n v="20774"/>
    <x v="5"/>
    <n v="-20774"/>
    <n v="-1.0321971579051972"/>
    <x v="1"/>
    <s v="Medium Ratings"/>
    <n v="100945"/>
    <n v="74490"/>
  </r>
  <r>
    <x v="10"/>
    <x v="10"/>
    <x v="3"/>
    <n v="32"/>
    <n v="15990"/>
    <n v="34900"/>
    <x v="4"/>
    <n v="4.2"/>
    <n v="18910"/>
    <x v="5"/>
    <n v="-18910"/>
    <n v="-1.182614133833646"/>
    <x v="1"/>
    <s v="Medium Ratings"/>
    <n v="100945"/>
    <n v="74490"/>
  </r>
  <r>
    <x v="12"/>
    <x v="12"/>
    <x v="2"/>
    <n v="32"/>
    <n v="14999"/>
    <n v="15000"/>
    <x v="1"/>
    <n v="4.3"/>
    <n v="1"/>
    <x v="7"/>
    <n v="-1"/>
    <n v="-6.667111140742716E-5"/>
    <x v="2"/>
    <s v="Medium Ratings"/>
    <n v="49990"/>
    <n v="30999"/>
  </r>
  <r>
    <x v="33"/>
    <x v="33"/>
    <x v="2"/>
    <n v="32"/>
    <n v="11990"/>
    <n v="23900"/>
    <x v="1"/>
    <m/>
    <n v="11910"/>
    <x v="5"/>
    <n v="-11910"/>
    <n v="-0.99332777314428689"/>
    <x v="1"/>
    <s v="Ratings Not Given"/>
    <n v="28445"/>
    <n v="16990"/>
  </r>
  <r>
    <x v="23"/>
    <x v="23"/>
    <x v="3"/>
    <n v="43"/>
    <n v="53999"/>
    <n v="59900"/>
    <x v="1"/>
    <n v="4.4000000000000004"/>
    <n v="5901"/>
    <x v="4"/>
    <n v="-5901"/>
    <n v="-0.10927980147780514"/>
    <x v="2"/>
    <s v="Medium Ratings"/>
    <n v="64195"/>
    <n v="43129"/>
  </r>
  <r>
    <x v="31"/>
    <x v="31"/>
    <x v="3"/>
    <n v="22"/>
    <n v="5490"/>
    <n v="9990"/>
    <x v="6"/>
    <n v="3.9"/>
    <n v="4500"/>
    <x v="5"/>
    <n v="-4500"/>
    <n v="-0.81967213114754101"/>
    <x v="1"/>
    <s v="Medium Ratings"/>
    <n v="12000"/>
    <n v="5490"/>
  </r>
  <r>
    <x v="6"/>
    <x v="6"/>
    <x v="3"/>
    <n v="32"/>
    <n v="31990"/>
    <n v="31990"/>
    <x v="5"/>
    <n v="4.4000000000000004"/>
    <n v="0"/>
    <x v="7"/>
    <n v="0"/>
    <n v="0"/>
    <x v="2"/>
    <s v="Medium Ratings"/>
    <n v="98990"/>
    <n v="76737"/>
  </r>
  <r>
    <x v="37"/>
    <x v="37"/>
    <x v="2"/>
    <n v="32"/>
    <n v="11999"/>
    <n v="19990"/>
    <x v="1"/>
    <n v="4.3"/>
    <n v="7991"/>
    <x v="3"/>
    <n v="-7991"/>
    <n v="-0.66597216434702888"/>
    <x v="0"/>
    <s v="Medium Ratings"/>
    <n v="32990"/>
    <n v="21999"/>
  </r>
  <r>
    <x v="54"/>
    <x v="54"/>
    <x v="0"/>
    <n v="50"/>
    <n v="37396"/>
    <n v="79990"/>
    <x v="2"/>
    <m/>
    <n v="42594"/>
    <x v="5"/>
    <n v="-42594"/>
    <n v="-1.1389988234035726"/>
    <x v="1"/>
    <s v="Ratings Not Given"/>
    <n v="127990"/>
    <n v="127990"/>
  </r>
  <r>
    <x v="27"/>
    <x v="27"/>
    <x v="3"/>
    <n v="40"/>
    <n v="15999"/>
    <n v="29990"/>
    <x v="1"/>
    <n v="4.0999999999999996"/>
    <n v="13991"/>
    <x v="5"/>
    <n v="-13991"/>
    <n v="-0.87449215575973493"/>
    <x v="1"/>
    <s v="Medium Ratings"/>
    <n v="26340"/>
    <n v="13649"/>
  </r>
  <r>
    <x v="40"/>
    <x v="40"/>
    <x v="2"/>
    <n v="32"/>
    <n v="17500"/>
    <n v="23190"/>
    <x v="1"/>
    <m/>
    <n v="5690"/>
    <x v="2"/>
    <n v="-5690"/>
    <n v="-0.32514285714285712"/>
    <x v="0"/>
    <s v="Ratings Not Given"/>
    <n v="79990"/>
    <n v="51146"/>
  </r>
  <r>
    <x v="15"/>
    <x v="15"/>
    <x v="3"/>
    <n v="50"/>
    <n v="52999"/>
    <n v="79900"/>
    <x v="2"/>
    <n v="4.5"/>
    <n v="26901"/>
    <x v="0"/>
    <n v="-26901"/>
    <n v="-0.50757561463423839"/>
    <x v="0"/>
    <s v="Good Ratings"/>
    <n v="87400"/>
    <n v="64294.5"/>
  </r>
  <r>
    <x v="6"/>
    <x v="6"/>
    <x v="3"/>
    <n v="43"/>
    <n v="25999"/>
    <n v="35990"/>
    <x v="5"/>
    <n v="4.3"/>
    <n v="9991"/>
    <x v="0"/>
    <n v="-9991"/>
    <n v="-0.38428401092349707"/>
    <x v="0"/>
    <s v="Medium Ratings"/>
    <n v="98990"/>
    <n v="76737"/>
  </r>
  <r>
    <x v="27"/>
    <x v="27"/>
    <x v="2"/>
    <n v="24"/>
    <n v="9999"/>
    <n v="17990"/>
    <x v="1"/>
    <n v="4.0999999999999996"/>
    <n v="7991"/>
    <x v="3"/>
    <n v="-7991"/>
    <n v="-0.79917991799179922"/>
    <x v="0"/>
    <s v="Medium Ratings"/>
    <n v="26340"/>
    <n v="13649"/>
  </r>
  <r>
    <x v="30"/>
    <x v="30"/>
    <x v="0"/>
    <n v="43"/>
    <n v="29800"/>
    <n v="49990"/>
    <x v="1"/>
    <n v="4.0999999999999996"/>
    <n v="20190"/>
    <x v="3"/>
    <n v="-20190"/>
    <n v="-0.6775167785234899"/>
    <x v="0"/>
    <s v="Medium Ratings"/>
    <n v="34990"/>
    <n v="29399.5"/>
  </r>
  <r>
    <x v="17"/>
    <x v="17"/>
    <x v="0"/>
    <n v="55"/>
    <n v="39999"/>
    <n v="61600"/>
    <x v="1"/>
    <n v="4.3"/>
    <n v="21601"/>
    <x v="3"/>
    <n v="-21601"/>
    <n v="-0.54003850096252404"/>
    <x v="0"/>
    <s v="Medium Ratings"/>
    <n v="54050"/>
    <n v="35999"/>
  </r>
  <r>
    <x v="12"/>
    <x v="12"/>
    <x v="0"/>
    <n v="43"/>
    <n v="23999"/>
    <n v="46165"/>
    <x v="1"/>
    <n v="4.3"/>
    <n v="22166"/>
    <x v="5"/>
    <n v="-22166"/>
    <n v="-0.92362181757573236"/>
    <x v="1"/>
    <s v="Medium Ratings"/>
    <n v="49990"/>
    <n v="30999"/>
  </r>
  <r>
    <x v="37"/>
    <x v="37"/>
    <x v="3"/>
    <n v="39"/>
    <n v="14999"/>
    <n v="26990"/>
    <x v="1"/>
    <n v="4.2"/>
    <n v="11991"/>
    <x v="3"/>
    <n v="-11991"/>
    <n v="-0.79945329688645905"/>
    <x v="0"/>
    <s v="Medium Ratings"/>
    <n v="32990"/>
    <n v="21999"/>
  </r>
  <r>
    <x v="6"/>
    <x v="6"/>
    <x v="2"/>
    <n v="32"/>
    <n v="20776"/>
    <n v="28990"/>
    <x v="5"/>
    <n v="4.5"/>
    <n v="8214"/>
    <x v="0"/>
    <n v="-8214"/>
    <n v="-0.39536003080477472"/>
    <x v="0"/>
    <s v="Good Ratings"/>
    <n v="98990"/>
    <n v="76737"/>
  </r>
  <r>
    <x v="37"/>
    <x v="37"/>
    <x v="2"/>
    <n v="32"/>
    <n v="17989"/>
    <n v="17990"/>
    <x v="1"/>
    <n v="4.3"/>
    <n v="1"/>
    <x v="7"/>
    <n v="-1"/>
    <n v="-5.5589526933125801E-5"/>
    <x v="2"/>
    <s v="Medium Ratings"/>
    <n v="32990"/>
    <n v="21999"/>
  </r>
  <r>
    <x v="37"/>
    <x v="37"/>
    <x v="3"/>
    <n v="43"/>
    <n v="21999"/>
    <n v="31990"/>
    <x v="1"/>
    <n v="4"/>
    <n v="9991"/>
    <x v="0"/>
    <n v="-9991"/>
    <n v="-0.45415700713668805"/>
    <x v="0"/>
    <s v="Medium Ratings"/>
    <n v="32990"/>
    <n v="21999"/>
  </r>
  <r>
    <x v="6"/>
    <x v="6"/>
    <x v="2"/>
    <n v="24"/>
    <n v="6765"/>
    <n v="13490"/>
    <x v="2"/>
    <n v="4.3"/>
    <n v="6725"/>
    <x v="5"/>
    <n v="-6725"/>
    <n v="-0.99408721359940877"/>
    <x v="1"/>
    <s v="Medium Ratings"/>
    <n v="98990"/>
    <n v="76737"/>
  </r>
  <r>
    <x v="46"/>
    <x v="46"/>
    <x v="2"/>
    <n v="32"/>
    <n v="7833"/>
    <n v="21999"/>
    <x v="1"/>
    <n v="4.2"/>
    <n v="14166"/>
    <x v="1"/>
    <n v="-14166"/>
    <n v="-1.8085024894676369"/>
    <x v="1"/>
    <s v="Medium Ratings"/>
    <n v="23999"/>
    <n v="11300"/>
  </r>
  <r>
    <x v="12"/>
    <x v="12"/>
    <x v="2"/>
    <n v="32"/>
    <n v="10999"/>
    <n v="18000"/>
    <x v="1"/>
    <n v="4.4000000000000004"/>
    <n v="7001"/>
    <x v="3"/>
    <n v="-7001"/>
    <n v="-0.63651241021911087"/>
    <x v="0"/>
    <s v="Medium Ratings"/>
    <n v="49990"/>
    <n v="30999"/>
  </r>
  <r>
    <x v="37"/>
    <x v="37"/>
    <x v="0"/>
    <n v="43"/>
    <n v="24999"/>
    <n v="37990"/>
    <x v="1"/>
    <n v="3.9"/>
    <n v="12991"/>
    <x v="0"/>
    <n v="-12991"/>
    <n v="-0.5196607864314573"/>
    <x v="0"/>
    <s v="Medium Ratings"/>
    <n v="32990"/>
    <n v="21999"/>
  </r>
  <r>
    <x v="23"/>
    <x v="23"/>
    <x v="2"/>
    <n v="32"/>
    <n v="27399"/>
    <n v="27400"/>
    <x v="1"/>
    <n v="4.4000000000000004"/>
    <n v="1"/>
    <x v="7"/>
    <n v="-1"/>
    <n v="-3.6497682397167778E-5"/>
    <x v="2"/>
    <s v="Medium Ratings"/>
    <n v="64195"/>
    <n v="43129"/>
  </r>
  <r>
    <x v="23"/>
    <x v="23"/>
    <x v="0"/>
    <n v="49"/>
    <n v="62999"/>
    <n v="111900"/>
    <x v="1"/>
    <n v="2.8"/>
    <n v="48901"/>
    <x v="3"/>
    <n v="-48901"/>
    <n v="-0.77621867013762125"/>
    <x v="0"/>
    <s v="Bad Ratings"/>
    <n v="64195"/>
    <n v="43129"/>
  </r>
  <r>
    <x v="23"/>
    <x v="23"/>
    <x v="0"/>
    <n v="55"/>
    <n v="90104"/>
    <n v="178900"/>
    <x v="2"/>
    <m/>
    <n v="88796"/>
    <x v="5"/>
    <n v="-88796"/>
    <n v="-0.98548344135665455"/>
    <x v="1"/>
    <s v="Ratings Not Given"/>
    <n v="64195"/>
    <n v="43129"/>
  </r>
  <r>
    <x v="6"/>
    <x v="6"/>
    <x v="3"/>
    <n v="43"/>
    <n v="24930"/>
    <n v="45674"/>
    <x v="2"/>
    <n v="4"/>
    <n v="20744"/>
    <x v="5"/>
    <n v="-20744"/>
    <n v="-0.83208985158443638"/>
    <x v="1"/>
    <s v="Medium Ratings"/>
    <n v="98990"/>
    <n v="76737"/>
  </r>
  <r>
    <x v="24"/>
    <x v="24"/>
    <x v="2"/>
    <n v="32"/>
    <n v="16825"/>
    <n v="23990"/>
    <x v="1"/>
    <n v="4.3"/>
    <n v="7165"/>
    <x v="0"/>
    <n v="-7165"/>
    <n v="-0.42585438335809805"/>
    <x v="0"/>
    <s v="Medium Ratings"/>
    <n v="24990"/>
    <n v="16825"/>
  </r>
  <r>
    <x v="23"/>
    <x v="23"/>
    <x v="3"/>
    <n v="32"/>
    <n v="62900"/>
    <n v="62900"/>
    <x v="1"/>
    <m/>
    <n v="0"/>
    <x v="7"/>
    <n v="0"/>
    <n v="0"/>
    <x v="2"/>
    <s v="Ratings Not Given"/>
    <n v="64195"/>
    <n v="43129"/>
  </r>
  <r>
    <x v="55"/>
    <x v="55"/>
    <x v="2"/>
    <n v="20"/>
    <n v="6599"/>
    <n v="7999"/>
    <x v="1"/>
    <m/>
    <n v="1400"/>
    <x v="2"/>
    <n v="-1400"/>
    <n v="-0.21215335656917714"/>
    <x v="0"/>
    <s v="Ratings Not Given"/>
    <n v="7999"/>
    <n v="5499"/>
  </r>
  <r>
    <x v="23"/>
    <x v="23"/>
    <x v="3"/>
    <n v="40"/>
    <n v="34639"/>
    <n v="39900"/>
    <x v="1"/>
    <n v="4.0999999999999996"/>
    <n v="5261"/>
    <x v="4"/>
    <n v="-5261"/>
    <n v="-0.15188082796847485"/>
    <x v="2"/>
    <s v="Medium Ratings"/>
    <n v="64195"/>
    <n v="43129"/>
  </r>
  <r>
    <x v="14"/>
    <x v="14"/>
    <x v="0"/>
    <n v="43"/>
    <n v="24999"/>
    <n v="39999"/>
    <x v="1"/>
    <n v="4.4000000000000004"/>
    <n v="15000"/>
    <x v="3"/>
    <n v="-15000"/>
    <n v="-0.60002400096003838"/>
    <x v="0"/>
    <s v="Medium Ratings"/>
    <n v="28999"/>
    <n v="21749"/>
  </r>
  <r>
    <x v="56"/>
    <x v="56"/>
    <x v="0"/>
    <n v="55"/>
    <n v="59990"/>
    <n v="59990"/>
    <x v="1"/>
    <n v="4.2"/>
    <n v="0"/>
    <x v="7"/>
    <n v="0"/>
    <n v="0"/>
    <x v="2"/>
    <s v="Medium Ratings"/>
    <n v="40990"/>
    <n v="40990"/>
  </r>
  <r>
    <x v="10"/>
    <x v="10"/>
    <x v="2"/>
    <n v="32"/>
    <n v="13990"/>
    <n v="28900"/>
    <x v="4"/>
    <n v="4.5"/>
    <n v="14910"/>
    <x v="5"/>
    <n v="-14910"/>
    <n v="-1.0657612580414582"/>
    <x v="1"/>
    <s v="Good Ratings"/>
    <n v="100945"/>
    <n v="74490"/>
  </r>
  <r>
    <x v="1"/>
    <x v="1"/>
    <x v="0"/>
    <n v="65"/>
    <n v="159990"/>
    <n v="159990"/>
    <x v="1"/>
    <m/>
    <n v="0"/>
    <x v="7"/>
    <n v="0"/>
    <n v="0"/>
    <x v="2"/>
    <s v="Ratings Not Given"/>
    <n v="77990"/>
    <n v="40999"/>
  </r>
  <r>
    <x v="23"/>
    <x v="23"/>
    <x v="2"/>
    <n v="32"/>
    <n v="26999"/>
    <n v="29900"/>
    <x v="1"/>
    <n v="4.2"/>
    <n v="2901"/>
    <x v="4"/>
    <n v="-2901"/>
    <n v="-0.10744842401570429"/>
    <x v="2"/>
    <s v="Medium Ratings"/>
    <n v="64195"/>
    <n v="43129"/>
  </r>
  <r>
    <x v="26"/>
    <x v="26"/>
    <x v="2"/>
    <n v="32"/>
    <n v="13994"/>
    <n v="20000"/>
    <x v="1"/>
    <n v="3.6"/>
    <n v="6006"/>
    <x v="0"/>
    <n v="-6006"/>
    <n v="-0.42918393597255966"/>
    <x v="0"/>
    <s v="Bad Ratings"/>
    <n v="25000"/>
    <n v="17740"/>
  </r>
  <r>
    <x v="1"/>
    <x v="1"/>
    <x v="0"/>
    <n v="55"/>
    <n v="116990"/>
    <n v="116990"/>
    <x v="1"/>
    <m/>
    <n v="0"/>
    <x v="7"/>
    <n v="0"/>
    <n v="0"/>
    <x v="2"/>
    <s v="Ratings Not Given"/>
    <n v="77990"/>
    <n v="40999"/>
  </r>
  <r>
    <x v="20"/>
    <x v="20"/>
    <x v="0"/>
    <n v="55"/>
    <n v="29199"/>
    <n v="60000"/>
    <x v="1"/>
    <n v="3.8"/>
    <n v="30801"/>
    <x v="5"/>
    <n v="-30801"/>
    <n v="-1.0548648926333093"/>
    <x v="1"/>
    <s v="Medium Ratings"/>
    <n v="40000"/>
    <n v="21999"/>
  </r>
  <r>
    <x v="1"/>
    <x v="1"/>
    <x v="0"/>
    <n v="65"/>
    <n v="159990"/>
    <n v="159990"/>
    <x v="1"/>
    <m/>
    <n v="0"/>
    <x v="7"/>
    <n v="0"/>
    <n v="0"/>
    <x v="2"/>
    <s v="Ratings Not Given"/>
    <n v="77990"/>
    <n v="40999"/>
  </r>
  <r>
    <x v="23"/>
    <x v="23"/>
    <x v="2"/>
    <n v="32"/>
    <n v="26999"/>
    <n v="29900"/>
    <x v="1"/>
    <n v="4.2"/>
    <n v="2901"/>
    <x v="4"/>
    <n v="-2901"/>
    <n v="-0.10744842401570429"/>
    <x v="2"/>
    <s v="Medium Ratings"/>
    <n v="64195"/>
    <n v="43129"/>
  </r>
  <r>
    <x v="26"/>
    <x v="26"/>
    <x v="2"/>
    <n v="32"/>
    <n v="13994"/>
    <n v="20000"/>
    <x v="1"/>
    <n v="3.6"/>
    <n v="6006"/>
    <x v="0"/>
    <n v="-6006"/>
    <n v="-0.42918393597255966"/>
    <x v="0"/>
    <s v="Bad Ratings"/>
    <n v="25000"/>
    <n v="17740"/>
  </r>
  <r>
    <x v="1"/>
    <x v="1"/>
    <x v="0"/>
    <n v="55"/>
    <n v="116990"/>
    <n v="116990"/>
    <x v="1"/>
    <m/>
    <n v="0"/>
    <x v="7"/>
    <n v="0"/>
    <n v="0"/>
    <x v="2"/>
    <s v="Ratings Not Given"/>
    <n v="77990"/>
    <n v="40999"/>
  </r>
  <r>
    <x v="31"/>
    <x v="31"/>
    <x v="3"/>
    <n v="50"/>
    <n v="35990"/>
    <n v="39990"/>
    <x v="6"/>
    <n v="3.9"/>
    <n v="4000"/>
    <x v="4"/>
    <n v="-4000"/>
    <n v="-0.11114198388441233"/>
    <x v="2"/>
    <s v="Medium Ratings"/>
    <n v="12000"/>
    <n v="5490"/>
  </r>
  <r>
    <x v="10"/>
    <x v="10"/>
    <x v="3"/>
    <n v="46"/>
    <n v="87500"/>
    <n v="87500"/>
    <x v="4"/>
    <n v="3.7"/>
    <n v="0"/>
    <x v="7"/>
    <n v="0"/>
    <n v="0"/>
    <x v="2"/>
    <s v="Bad Ratings"/>
    <n v="100945"/>
    <n v="74490"/>
  </r>
  <r>
    <x v="57"/>
    <x v="57"/>
    <x v="0"/>
    <n v="55"/>
    <n v="63900"/>
    <n v="64900"/>
    <x v="1"/>
    <m/>
    <n v="1000"/>
    <x v="7"/>
    <n v="-1000"/>
    <n v="-1.5649452269170579E-2"/>
    <x v="2"/>
    <s v="Ratings Not Given"/>
    <n v="33425"/>
    <n v="25970"/>
  </r>
  <r>
    <x v="23"/>
    <x v="23"/>
    <x v="0"/>
    <n v="55"/>
    <n v="168900"/>
    <n v="168900"/>
    <x v="1"/>
    <n v="3.8"/>
    <n v="0"/>
    <x v="7"/>
    <n v="0"/>
    <n v="0"/>
    <x v="2"/>
    <s v="Medium Ratings"/>
    <n v="64195"/>
    <n v="43129"/>
  </r>
  <r>
    <x v="57"/>
    <x v="57"/>
    <x v="0"/>
    <n v="49"/>
    <n v="47900"/>
    <n v="48900"/>
    <x v="1"/>
    <m/>
    <n v="1000"/>
    <x v="7"/>
    <n v="-1000"/>
    <n v="-2.0876826722338204E-2"/>
    <x v="2"/>
    <s v="Ratings Not Given"/>
    <n v="33425"/>
    <n v="25970"/>
  </r>
  <r>
    <x v="10"/>
    <x v="10"/>
    <x v="0"/>
    <n v="55"/>
    <n v="178900"/>
    <n v="178900"/>
    <x v="4"/>
    <n v="3.9"/>
    <n v="0"/>
    <x v="7"/>
    <n v="0"/>
    <n v="0"/>
    <x v="2"/>
    <s v="Medium Ratings"/>
    <n v="100945"/>
    <n v="74490"/>
  </r>
  <r>
    <x v="10"/>
    <x v="10"/>
    <x v="3"/>
    <n v="46"/>
    <n v="145500"/>
    <n v="145500"/>
    <x v="4"/>
    <m/>
    <n v="0"/>
    <x v="7"/>
    <n v="0"/>
    <n v="0"/>
    <x v="2"/>
    <s v="Ratings Not Given"/>
    <n v="100945"/>
    <n v="74490"/>
  </r>
  <r>
    <x v="10"/>
    <x v="10"/>
    <x v="3"/>
    <n v="60"/>
    <n v="210900"/>
    <n v="210900"/>
    <x v="4"/>
    <m/>
    <n v="0"/>
    <x v="7"/>
    <n v="0"/>
    <n v="0"/>
    <x v="2"/>
    <s v="Ratings Not Given"/>
    <n v="100945"/>
    <n v="74490"/>
  </r>
  <r>
    <x v="10"/>
    <x v="10"/>
    <x v="3"/>
    <n v="55"/>
    <n v="160500"/>
    <n v="160500"/>
    <x v="4"/>
    <m/>
    <n v="0"/>
    <x v="7"/>
    <n v="0"/>
    <n v="0"/>
    <x v="2"/>
    <s v="Ratings Not Given"/>
    <n v="100945"/>
    <n v="74490"/>
  </r>
  <r>
    <x v="10"/>
    <x v="10"/>
    <x v="3"/>
    <n v="46"/>
    <n v="139990"/>
    <n v="139990"/>
    <x v="4"/>
    <n v="4.5"/>
    <n v="0"/>
    <x v="7"/>
    <n v="0"/>
    <n v="0"/>
    <x v="2"/>
    <s v="Good Ratings"/>
    <n v="100945"/>
    <n v="74490"/>
  </r>
  <r>
    <x v="10"/>
    <x v="10"/>
    <x v="3"/>
    <n v="55"/>
    <n v="189900"/>
    <n v="189900"/>
    <x v="4"/>
    <n v="4.5999999999999996"/>
    <n v="0"/>
    <x v="7"/>
    <n v="0"/>
    <n v="0"/>
    <x v="2"/>
    <s v="Good Ratings"/>
    <n v="100945"/>
    <n v="74490"/>
  </r>
  <r>
    <x v="10"/>
    <x v="10"/>
    <x v="3"/>
    <n v="55"/>
    <n v="267000"/>
    <n v="267000"/>
    <x v="4"/>
    <n v="4.2"/>
    <n v="0"/>
    <x v="7"/>
    <n v="0"/>
    <n v="0"/>
    <x v="2"/>
    <s v="Medium Ratings"/>
    <n v="100945"/>
    <n v="74490"/>
  </r>
  <r>
    <x v="48"/>
    <x v="48"/>
    <x v="3"/>
    <n v="43"/>
    <n v="14990"/>
    <n v="38990"/>
    <x v="1"/>
    <n v="3.5"/>
    <n v="24000"/>
    <x v="1"/>
    <n v="-24000"/>
    <n v="-1.601067378252168"/>
    <x v="1"/>
    <s v="Bad Ratings"/>
    <n v="37440"/>
    <n v="15490"/>
  </r>
  <r>
    <x v="30"/>
    <x v="30"/>
    <x v="3"/>
    <n v="43"/>
    <n v="28999"/>
    <n v="33990"/>
    <x v="1"/>
    <n v="4.0999999999999996"/>
    <n v="4991"/>
    <x v="4"/>
    <n v="-4991"/>
    <n v="-0.17210938308217524"/>
    <x v="2"/>
    <s v="Medium Ratings"/>
    <n v="34990"/>
    <n v="29399.5"/>
  </r>
  <r>
    <x v="10"/>
    <x v="10"/>
    <x v="3"/>
    <n v="55"/>
    <n v="218900"/>
    <n v="218900"/>
    <x v="4"/>
    <m/>
    <n v="0"/>
    <x v="7"/>
    <n v="0"/>
    <n v="0"/>
    <x v="2"/>
    <s v="Ratings Not Given"/>
    <n v="100945"/>
    <n v="74490"/>
  </r>
  <r>
    <x v="10"/>
    <x v="10"/>
    <x v="3"/>
    <n v="55"/>
    <n v="249990"/>
    <n v="249990"/>
    <x v="4"/>
    <n v="4.3"/>
    <n v="0"/>
    <x v="7"/>
    <n v="0"/>
    <n v="0"/>
    <x v="2"/>
    <s v="Medium Ratings"/>
    <n v="100945"/>
    <n v="74490"/>
  </r>
  <r>
    <x v="6"/>
    <x v="6"/>
    <x v="3"/>
    <n v="47"/>
    <n v="112000"/>
    <n v="112000"/>
    <x v="5"/>
    <n v="5"/>
    <n v="0"/>
    <x v="7"/>
    <n v="0"/>
    <n v="0"/>
    <x v="2"/>
    <s v="Good Ratings"/>
    <n v="98990"/>
    <n v="76737"/>
  </r>
  <r>
    <x v="10"/>
    <x v="10"/>
    <x v="4"/>
    <n v="43"/>
    <n v="45000"/>
    <n v="45000"/>
    <x v="4"/>
    <n v="4"/>
    <n v="0"/>
    <x v="7"/>
    <n v="0"/>
    <n v="0"/>
    <x v="2"/>
    <s v="Medium Ratings"/>
    <n v="100945"/>
    <n v="74490"/>
  </r>
  <r>
    <x v="10"/>
    <x v="10"/>
    <x v="3"/>
    <n v="55"/>
    <n v="246900"/>
    <n v="246900"/>
    <x v="4"/>
    <m/>
    <n v="0"/>
    <x v="7"/>
    <n v="0"/>
    <n v="0"/>
    <x v="2"/>
    <s v="Ratings Not Given"/>
    <n v="100945"/>
    <n v="74490"/>
  </r>
  <r>
    <x v="6"/>
    <x v="6"/>
    <x v="0"/>
    <n v="49"/>
    <n v="70556"/>
    <n v="84900"/>
    <x v="5"/>
    <m/>
    <n v="14344"/>
    <x v="2"/>
    <n v="-14344"/>
    <n v="-0.20329950677476047"/>
    <x v="0"/>
    <s v="Ratings Not Given"/>
    <n v="98990"/>
    <n v="76737"/>
  </r>
  <r>
    <x v="30"/>
    <x v="30"/>
    <x v="2"/>
    <n v="32"/>
    <n v="14990"/>
    <n v="25000"/>
    <x v="1"/>
    <n v="4.0999999999999996"/>
    <n v="10010"/>
    <x v="3"/>
    <n v="-10010"/>
    <n v="-0.66777851901267515"/>
    <x v="0"/>
    <s v="Medium Ratings"/>
    <n v="34990"/>
    <n v="29399.5"/>
  </r>
  <r>
    <x v="6"/>
    <x v="6"/>
    <x v="3"/>
    <n v="49"/>
    <n v="62743"/>
    <n v="71900"/>
    <x v="5"/>
    <m/>
    <n v="9157"/>
    <x v="4"/>
    <n v="-9157"/>
    <n v="-0.1459445675214765"/>
    <x v="2"/>
    <s v="Ratings Not Given"/>
    <n v="98990"/>
    <n v="76737"/>
  </r>
  <r>
    <x v="6"/>
    <x v="6"/>
    <x v="0"/>
    <n v="55"/>
    <n v="131825"/>
    <n v="154900"/>
    <x v="5"/>
    <n v="3.8"/>
    <n v="23075"/>
    <x v="4"/>
    <n v="-23075"/>
    <n v="-0.17504267020671344"/>
    <x v="2"/>
    <s v="Medium Ratings"/>
    <n v="98990"/>
    <n v="76737"/>
  </r>
  <r>
    <x v="6"/>
    <x v="6"/>
    <x v="3"/>
    <n v="49"/>
    <n v="58988"/>
    <n v="66900"/>
    <x v="5"/>
    <n v="4"/>
    <n v="7912"/>
    <x v="4"/>
    <n v="-7912"/>
    <n v="-0.13412897538482405"/>
    <x v="2"/>
    <s v="Medium Ratings"/>
    <n v="98990"/>
    <n v="76737"/>
  </r>
  <r>
    <x v="6"/>
    <x v="6"/>
    <x v="3"/>
    <n v="47"/>
    <n v="105000"/>
    <n v="105000"/>
    <x v="5"/>
    <m/>
    <n v="0"/>
    <x v="7"/>
    <n v="0"/>
    <n v="0"/>
    <x v="2"/>
    <s v="Ratings Not Given"/>
    <n v="98990"/>
    <n v="76737"/>
  </r>
  <r>
    <x v="10"/>
    <x v="10"/>
    <x v="0"/>
    <n v="55"/>
    <n v="178500"/>
    <n v="178500"/>
    <x v="4"/>
    <n v="3.8"/>
    <n v="0"/>
    <x v="7"/>
    <n v="0"/>
    <n v="0"/>
    <x v="2"/>
    <s v="Medium Ratings"/>
    <n v="100945"/>
    <n v="74490"/>
  </r>
  <r>
    <x v="10"/>
    <x v="10"/>
    <x v="4"/>
    <n v="49"/>
    <n v="68000"/>
    <n v="68000"/>
    <x v="4"/>
    <n v="3.3"/>
    <n v="0"/>
    <x v="7"/>
    <n v="0"/>
    <n v="0"/>
    <x v="2"/>
    <s v="Bad Ratings"/>
    <n v="100945"/>
    <n v="74490"/>
  </r>
  <r>
    <x v="6"/>
    <x v="6"/>
    <x v="0"/>
    <n v="49"/>
    <n v="95007"/>
    <n v="117900"/>
    <x v="5"/>
    <n v="3.4"/>
    <n v="22893"/>
    <x v="2"/>
    <n v="-22893"/>
    <n v="-0.24096119233319649"/>
    <x v="0"/>
    <s v="Bad Ratings"/>
    <n v="98990"/>
    <n v="76737"/>
  </r>
  <r>
    <x v="23"/>
    <x v="23"/>
    <x v="3"/>
    <n v="40"/>
    <n v="49000"/>
    <n v="50000"/>
    <x v="1"/>
    <m/>
    <n v="1000"/>
    <x v="7"/>
    <n v="-1000"/>
    <n v="-2.0408163265306121E-2"/>
    <x v="2"/>
    <s v="Ratings Not Given"/>
    <n v="64195"/>
    <n v="43129"/>
  </r>
  <r>
    <x v="6"/>
    <x v="6"/>
    <x v="0"/>
    <n v="49"/>
    <n v="77277"/>
    <n v="103900"/>
    <x v="5"/>
    <n v="4.3"/>
    <n v="26623"/>
    <x v="0"/>
    <n v="-26623"/>
    <n v="-0.34451389158481827"/>
    <x v="0"/>
    <s v="Medium Ratings"/>
    <n v="98990"/>
    <n v="76737"/>
  </r>
  <r>
    <x v="31"/>
    <x v="31"/>
    <x v="3"/>
    <n v="39"/>
    <n v="16490"/>
    <n v="29990"/>
    <x v="6"/>
    <n v="3.9"/>
    <n v="13500"/>
    <x v="5"/>
    <n v="-13500"/>
    <n v="-0.81867798665858094"/>
    <x v="1"/>
    <s v="Medium Ratings"/>
    <n v="12000"/>
    <n v="5490"/>
  </r>
  <r>
    <x v="6"/>
    <x v="6"/>
    <x v="3"/>
    <n v="55"/>
    <n v="250000"/>
    <n v="250000"/>
    <x v="5"/>
    <m/>
    <n v="0"/>
    <x v="7"/>
    <n v="0"/>
    <n v="0"/>
    <x v="2"/>
    <s v="Ratings Not Given"/>
    <n v="98990"/>
    <n v="76737"/>
  </r>
  <r>
    <x v="6"/>
    <x v="6"/>
    <x v="0"/>
    <n v="49"/>
    <n v="102325"/>
    <n v="119900"/>
    <x v="5"/>
    <m/>
    <n v="17575"/>
    <x v="4"/>
    <n v="-17575"/>
    <n v="-0.17175665770828244"/>
    <x v="2"/>
    <s v="Ratings Not Given"/>
    <n v="98990"/>
    <n v="76737"/>
  </r>
  <r>
    <x v="6"/>
    <x v="6"/>
    <x v="3"/>
    <n v="49"/>
    <n v="67260"/>
    <n v="74900"/>
    <x v="5"/>
    <n v="3.6"/>
    <n v="7640"/>
    <x v="4"/>
    <n v="-7640"/>
    <n v="-0.1135890573892358"/>
    <x v="2"/>
    <s v="Bad Ratings"/>
    <n v="98990"/>
    <n v="76737"/>
  </r>
  <r>
    <x v="6"/>
    <x v="6"/>
    <x v="0"/>
    <n v="55"/>
    <n v="159589"/>
    <n v="189900"/>
    <x v="5"/>
    <n v="3.9"/>
    <n v="30311"/>
    <x v="2"/>
    <n v="-30311"/>
    <n v="-0.189931636892267"/>
    <x v="0"/>
    <s v="Medium Ratings"/>
    <n v="98990"/>
    <n v="76737"/>
  </r>
  <r>
    <x v="1"/>
    <x v="1"/>
    <x v="0"/>
    <n v="43"/>
    <n v="47990"/>
    <n v="47990"/>
    <x v="1"/>
    <n v="3.7"/>
    <n v="0"/>
    <x v="7"/>
    <n v="0"/>
    <n v="0"/>
    <x v="2"/>
    <s v="Bad Ratings"/>
    <n v="77990"/>
    <n v="40999"/>
  </r>
  <r>
    <x v="6"/>
    <x v="6"/>
    <x v="4"/>
    <n v="50"/>
    <n v="57990"/>
    <n v="57990"/>
    <x v="5"/>
    <m/>
    <n v="0"/>
    <x v="7"/>
    <n v="0"/>
    <n v="0"/>
    <x v="2"/>
    <s v="Ratings Not Given"/>
    <n v="98990"/>
    <n v="76737"/>
  </r>
  <r>
    <x v="23"/>
    <x v="23"/>
    <x v="3"/>
    <n v="43"/>
    <n v="30743"/>
    <n v="50900"/>
    <x v="1"/>
    <n v="4.3"/>
    <n v="20157"/>
    <x v="3"/>
    <n v="-20157"/>
    <n v="-0.65566145138730769"/>
    <x v="0"/>
    <s v="Medium Ratings"/>
    <n v="64195"/>
    <n v="43129"/>
  </r>
  <r>
    <x v="6"/>
    <x v="6"/>
    <x v="3"/>
    <n v="60"/>
    <n v="210000"/>
    <n v="210000"/>
    <x v="5"/>
    <n v="4.4000000000000004"/>
    <n v="0"/>
    <x v="7"/>
    <n v="0"/>
    <n v="0"/>
    <x v="2"/>
    <s v="Medium Ratings"/>
    <n v="98990"/>
    <n v="76737"/>
  </r>
  <r>
    <x v="10"/>
    <x v="10"/>
    <x v="2"/>
    <n v="32"/>
    <n v="35700"/>
    <n v="35700"/>
    <x v="4"/>
    <n v="3.3"/>
    <n v="0"/>
    <x v="7"/>
    <n v="0"/>
    <n v="0"/>
    <x v="2"/>
    <s v="Bad Ratings"/>
    <n v="100945"/>
    <n v="74490"/>
  </r>
  <r>
    <x v="6"/>
    <x v="6"/>
    <x v="0"/>
    <n v="49"/>
    <n v="102325"/>
    <n v="119900"/>
    <x v="5"/>
    <m/>
    <n v="17575"/>
    <x v="4"/>
    <n v="-17575"/>
    <n v="-0.17175665770828244"/>
    <x v="2"/>
    <s v="Ratings Not Given"/>
    <n v="98990"/>
    <n v="76737"/>
  </r>
  <r>
    <x v="6"/>
    <x v="6"/>
    <x v="3"/>
    <n v="49"/>
    <n v="67260"/>
    <n v="74900"/>
    <x v="5"/>
    <n v="3.6"/>
    <n v="7640"/>
    <x v="4"/>
    <n v="-7640"/>
    <n v="-0.1135890573892358"/>
    <x v="2"/>
    <s v="Bad Ratings"/>
    <n v="98990"/>
    <n v="76737"/>
  </r>
  <r>
    <x v="6"/>
    <x v="6"/>
    <x v="0"/>
    <n v="55"/>
    <n v="159589"/>
    <n v="189900"/>
    <x v="5"/>
    <n v="3.9"/>
    <n v="30311"/>
    <x v="2"/>
    <n v="-30311"/>
    <n v="-0.189931636892267"/>
    <x v="0"/>
    <s v="Medium Ratings"/>
    <n v="98990"/>
    <n v="76737"/>
  </r>
  <r>
    <x v="6"/>
    <x v="6"/>
    <x v="4"/>
    <n v="50"/>
    <n v="57990"/>
    <n v="57990"/>
    <x v="5"/>
    <m/>
    <n v="0"/>
    <x v="7"/>
    <n v="0"/>
    <n v="0"/>
    <x v="2"/>
    <s v="Ratings Not Given"/>
    <n v="98990"/>
    <n v="76737"/>
  </r>
  <r>
    <x v="6"/>
    <x v="6"/>
    <x v="3"/>
    <n v="60"/>
    <n v="210000"/>
    <n v="210000"/>
    <x v="5"/>
    <n v="4.4000000000000004"/>
    <n v="0"/>
    <x v="7"/>
    <n v="0"/>
    <n v="0"/>
    <x v="2"/>
    <s v="Medium Ratings"/>
    <n v="98990"/>
    <n v="76737"/>
  </r>
  <r>
    <x v="23"/>
    <x v="23"/>
    <x v="3"/>
    <n v="43"/>
    <n v="30743"/>
    <n v="50900"/>
    <x v="1"/>
    <n v="4.3"/>
    <n v="20157"/>
    <x v="3"/>
    <n v="-20157"/>
    <n v="-0.65566145138730769"/>
    <x v="0"/>
    <s v="Medium Ratings"/>
    <n v="64195"/>
    <n v="43129"/>
  </r>
  <r>
    <x v="35"/>
    <x v="35"/>
    <x v="3"/>
    <n v="43"/>
    <n v="54990"/>
    <n v="54990"/>
    <x v="1"/>
    <m/>
    <n v="0"/>
    <x v="7"/>
    <n v="0"/>
    <n v="0"/>
    <x v="2"/>
    <s v="Ratings Not Given"/>
    <n v="32039"/>
    <n v="28690"/>
  </r>
  <r>
    <x v="57"/>
    <x v="57"/>
    <x v="0"/>
    <n v="65"/>
    <n v="79990"/>
    <n v="99900"/>
    <x v="1"/>
    <m/>
    <n v="19910"/>
    <x v="2"/>
    <n v="-19910"/>
    <n v="-0.24890611326415801"/>
    <x v="0"/>
    <s v="Ratings Not Given"/>
    <n v="33425"/>
    <n v="25970"/>
  </r>
  <r>
    <x v="10"/>
    <x v="10"/>
    <x v="3"/>
    <n v="65"/>
    <n v="385500"/>
    <n v="385500"/>
    <x v="4"/>
    <m/>
    <n v="0"/>
    <x v="7"/>
    <n v="0"/>
    <n v="0"/>
    <x v="2"/>
    <s v="Ratings Not Given"/>
    <n v="100945"/>
    <n v="74490"/>
  </r>
  <r>
    <x v="6"/>
    <x v="6"/>
    <x v="0"/>
    <n v="55"/>
    <n v="142237"/>
    <n v="169900"/>
    <x v="5"/>
    <n v="5"/>
    <n v="27663"/>
    <x v="2"/>
    <n v="-27663"/>
    <n v="-0.19448526051589951"/>
    <x v="0"/>
    <s v="Good Ratings"/>
    <n v="98990"/>
    <n v="76737"/>
  </r>
  <r>
    <x v="10"/>
    <x v="10"/>
    <x v="3"/>
    <n v="75"/>
    <n v="419900"/>
    <n v="419900"/>
    <x v="4"/>
    <m/>
    <n v="0"/>
    <x v="7"/>
    <n v="0"/>
    <n v="0"/>
    <x v="2"/>
    <s v="Ratings Not Given"/>
    <n v="100945"/>
    <n v="74490"/>
  </r>
  <r>
    <x v="34"/>
    <x v="34"/>
    <x v="0"/>
    <n v="55"/>
    <n v="67990"/>
    <n v="67990"/>
    <x v="1"/>
    <m/>
    <n v="0"/>
    <x v="7"/>
    <n v="0"/>
    <n v="0"/>
    <x v="2"/>
    <s v="Ratings Not Given"/>
    <n v="37390"/>
    <n v="32990"/>
  </r>
  <r>
    <x v="48"/>
    <x v="48"/>
    <x v="2"/>
    <n v="40"/>
    <n v="12999"/>
    <n v="26350"/>
    <x v="1"/>
    <n v="3.9"/>
    <n v="13351"/>
    <x v="5"/>
    <n v="-13351"/>
    <n v="-1.0270790060773907"/>
    <x v="1"/>
    <s v="Medium Ratings"/>
    <n v="37440"/>
    <n v="15490"/>
  </r>
  <r>
    <x v="6"/>
    <x v="6"/>
    <x v="3"/>
    <n v="60"/>
    <n v="190000"/>
    <n v="190000"/>
    <x v="5"/>
    <n v="4.8"/>
    <n v="0"/>
    <x v="7"/>
    <n v="0"/>
    <n v="0"/>
    <x v="2"/>
    <s v="Good Ratings"/>
    <n v="98990"/>
    <n v="76737"/>
  </r>
  <r>
    <x v="10"/>
    <x v="10"/>
    <x v="2"/>
    <n v="48"/>
    <n v="70500"/>
    <n v="70500"/>
    <x v="4"/>
    <n v="4"/>
    <n v="0"/>
    <x v="7"/>
    <n v="0"/>
    <n v="0"/>
    <x v="2"/>
    <s v="Medium Ratings"/>
    <n v="100945"/>
    <n v="74490"/>
  </r>
  <r>
    <x v="1"/>
    <x v="1"/>
    <x v="0"/>
    <n v="55"/>
    <n v="74990"/>
    <n v="74990"/>
    <x v="2"/>
    <n v="4.3"/>
    <n v="0"/>
    <x v="7"/>
    <n v="0"/>
    <n v="0"/>
    <x v="2"/>
    <s v="Medium Ratings"/>
    <n v="77990"/>
    <n v="40999"/>
  </r>
  <r>
    <x v="43"/>
    <x v="43"/>
    <x v="3"/>
    <n v="43"/>
    <n v="22999"/>
    <n v="29999"/>
    <x v="1"/>
    <n v="4.2"/>
    <n v="7000"/>
    <x v="2"/>
    <n v="-7000"/>
    <n v="-0.30436105917648593"/>
    <x v="0"/>
    <s v="Medium Ratings"/>
    <n v="39999"/>
    <n v="32999"/>
  </r>
  <r>
    <x v="43"/>
    <x v="43"/>
    <x v="0"/>
    <n v="50"/>
    <n v="32999"/>
    <n v="39999"/>
    <x v="1"/>
    <n v="4.4000000000000004"/>
    <n v="7000"/>
    <x v="2"/>
    <n v="-7000"/>
    <n v="-0.21212764023152217"/>
    <x v="0"/>
    <s v="Medium Ratings"/>
    <n v="39999"/>
    <n v="32999"/>
  </r>
  <r>
    <x v="43"/>
    <x v="43"/>
    <x v="2"/>
    <n v="32"/>
    <n v="13999"/>
    <n v="15999"/>
    <x v="1"/>
    <n v="4.2"/>
    <n v="2000"/>
    <x v="4"/>
    <n v="-2000"/>
    <n v="-0.14286734766769055"/>
    <x v="2"/>
    <s v="Medium Ratings"/>
    <n v="39999"/>
    <n v="32999"/>
  </r>
  <r>
    <x v="19"/>
    <x v="19"/>
    <x v="0"/>
    <n v="55"/>
    <n v="39999"/>
    <n v="54990"/>
    <x v="1"/>
    <n v="3.8"/>
    <n v="14991"/>
    <x v="0"/>
    <n v="-14991"/>
    <n v="-0.37478436960924022"/>
    <x v="0"/>
    <s v="Medium Ratings"/>
    <n v="34990"/>
    <n v="34990"/>
  </r>
  <r>
    <x v="19"/>
    <x v="19"/>
    <x v="2"/>
    <n v="32"/>
    <n v="14999"/>
    <n v="22990"/>
    <x v="1"/>
    <n v="3.9"/>
    <n v="7991"/>
    <x v="0"/>
    <n v="-7991"/>
    <n v="-0.53276885125675044"/>
    <x v="0"/>
    <s v="Medium Ratings"/>
    <n v="34990"/>
    <n v="34990"/>
  </r>
  <r>
    <x v="19"/>
    <x v="19"/>
    <x v="0"/>
    <n v="70"/>
    <n v="69999"/>
    <n v="99990"/>
    <x v="1"/>
    <n v="4.3"/>
    <n v="29991"/>
    <x v="0"/>
    <n v="-29991"/>
    <n v="-0.4284489778425406"/>
    <x v="0"/>
    <s v="Medium Ratings"/>
    <n v="34990"/>
    <n v="34990"/>
  </r>
  <r>
    <x v="19"/>
    <x v="19"/>
    <x v="0"/>
    <n v="43"/>
    <n v="34990"/>
    <n v="34990"/>
    <x v="1"/>
    <n v="3.8"/>
    <n v="0"/>
    <x v="7"/>
    <n v="0"/>
    <n v="0"/>
    <x v="2"/>
    <s v="Medium Ratings"/>
    <n v="34990"/>
    <n v="34990"/>
  </r>
  <r>
    <x v="21"/>
    <x v="21"/>
    <x v="2"/>
    <n v="39"/>
    <n v="13699"/>
    <n v="22999"/>
    <x v="1"/>
    <n v="3.8"/>
    <n v="9300"/>
    <x v="3"/>
    <n v="-9300"/>
    <n v="-0.67888167019490475"/>
    <x v="0"/>
    <s v="Medium Ratings"/>
    <n v="21999"/>
    <n v="13699"/>
  </r>
  <r>
    <x v="21"/>
    <x v="21"/>
    <x v="0"/>
    <n v="55"/>
    <n v="28499"/>
    <n v="54999"/>
    <x v="1"/>
    <n v="3.8"/>
    <n v="26500"/>
    <x v="5"/>
    <n v="-26500"/>
    <n v="-0.92985718797150774"/>
    <x v="1"/>
    <s v="Medium Ratings"/>
    <n v="21999"/>
    <n v="13699"/>
  </r>
  <r>
    <x v="21"/>
    <x v="21"/>
    <x v="0"/>
    <n v="50"/>
    <n v="23349"/>
    <n v="43999"/>
    <x v="1"/>
    <n v="3.8"/>
    <n v="20650"/>
    <x v="5"/>
    <n v="-20650"/>
    <n v="-0.88440618441903296"/>
    <x v="1"/>
    <s v="Medium Ratings"/>
    <n v="21999"/>
    <n v="13699"/>
  </r>
  <r>
    <x v="21"/>
    <x v="21"/>
    <x v="2"/>
    <n v="39"/>
    <n v="15699"/>
    <n v="21999"/>
    <x v="1"/>
    <n v="3.8"/>
    <n v="6300"/>
    <x v="0"/>
    <n v="-6300"/>
    <n v="-0.40129944582457483"/>
    <x v="0"/>
    <s v="Medium Ratings"/>
    <n v="21999"/>
    <n v="13699"/>
  </r>
  <r>
    <x v="57"/>
    <x v="57"/>
    <x v="0"/>
    <n v="43"/>
    <n v="33950"/>
    <n v="34950"/>
    <x v="1"/>
    <m/>
    <n v="1000"/>
    <x v="7"/>
    <n v="-1000"/>
    <n v="-2.9455081001472753E-2"/>
    <x v="2"/>
    <s v="Ratings Not Given"/>
    <n v="33425"/>
    <n v="25970"/>
  </r>
  <r>
    <x v="57"/>
    <x v="57"/>
    <x v="2"/>
    <n v="40"/>
    <n v="17990"/>
    <n v="24990"/>
    <x v="1"/>
    <n v="3.3"/>
    <n v="7000"/>
    <x v="0"/>
    <n v="-7000"/>
    <n v="-0.38910505836575876"/>
    <x v="0"/>
    <s v="Bad Ratings"/>
    <n v="33425"/>
    <n v="25970"/>
  </r>
  <r>
    <x v="57"/>
    <x v="57"/>
    <x v="2"/>
    <n v="32"/>
    <n v="12990"/>
    <n v="13990"/>
    <x v="1"/>
    <m/>
    <n v="1000"/>
    <x v="4"/>
    <n v="-1000"/>
    <n v="-7.6982294072363358E-2"/>
    <x v="2"/>
    <s v="Ratings Not Given"/>
    <n v="33425"/>
    <n v="25970"/>
  </r>
  <r>
    <x v="57"/>
    <x v="57"/>
    <x v="3"/>
    <n v="32"/>
    <n v="17990"/>
    <n v="31900"/>
    <x v="1"/>
    <m/>
    <n v="13910"/>
    <x v="3"/>
    <n v="-13910"/>
    <n v="-0.77320733740967207"/>
    <x v="0"/>
    <s v="Ratings Not Given"/>
    <n v="33425"/>
    <n v="25970"/>
  </r>
  <r>
    <x v="57"/>
    <x v="57"/>
    <x v="2"/>
    <n v="24"/>
    <n v="8990"/>
    <n v="9990"/>
    <x v="1"/>
    <m/>
    <n v="1000"/>
    <x v="4"/>
    <n v="-1000"/>
    <n v="-0.11123470522803114"/>
    <x v="2"/>
    <s v="Ratings Not Given"/>
    <n v="33425"/>
    <n v="25970"/>
  </r>
  <r>
    <x v="40"/>
    <x v="40"/>
    <x v="0"/>
    <n v="65"/>
    <n v="72940"/>
    <n v="124990"/>
    <x v="1"/>
    <m/>
    <n v="52050"/>
    <x v="3"/>
    <n v="-52050"/>
    <n v="-0.7136002193583767"/>
    <x v="0"/>
    <s v="Ratings Not Given"/>
    <n v="79990"/>
    <n v="51146"/>
  </r>
  <r>
    <x v="40"/>
    <x v="40"/>
    <x v="1"/>
    <n v="55"/>
    <n v="55947"/>
    <n v="99990"/>
    <x v="1"/>
    <m/>
    <n v="44043"/>
    <x v="3"/>
    <n v="-44043"/>
    <n v="-0.787227197168749"/>
    <x v="0"/>
    <s v="Ratings Not Given"/>
    <n v="79990"/>
    <n v="51146"/>
  </r>
  <r>
    <x v="40"/>
    <x v="40"/>
    <x v="0"/>
    <n v="55"/>
    <n v="46345"/>
    <n v="59990"/>
    <x v="1"/>
    <m/>
    <n v="13645"/>
    <x v="2"/>
    <n v="-13645"/>
    <n v="-0.29442226777430142"/>
    <x v="0"/>
    <s v="Ratings Not Given"/>
    <n v="79990"/>
    <n v="51146"/>
  </r>
  <r>
    <x v="20"/>
    <x v="20"/>
    <x v="2"/>
    <n v="32"/>
    <n v="7999"/>
    <n v="18000"/>
    <x v="1"/>
    <n v="4.2"/>
    <n v="10001"/>
    <x v="1"/>
    <n v="-10001"/>
    <n v="-1.2502812851606451"/>
    <x v="1"/>
    <s v="Medium Ratings"/>
    <n v="40000"/>
    <n v="21999"/>
  </r>
  <r>
    <x v="20"/>
    <x v="20"/>
    <x v="2"/>
    <n v="24"/>
    <n v="5999"/>
    <n v="11000"/>
    <x v="1"/>
    <n v="4.0999999999999996"/>
    <n v="5001"/>
    <x v="5"/>
    <n v="-5001"/>
    <n v="-0.83363893982330384"/>
    <x v="1"/>
    <s v="Medium Ratings"/>
    <n v="40000"/>
    <n v="21999"/>
  </r>
  <r>
    <x v="20"/>
    <x v="20"/>
    <x v="2"/>
    <n v="32"/>
    <n v="9999"/>
    <n v="22000"/>
    <x v="1"/>
    <n v="4.0999999999999996"/>
    <n v="12001"/>
    <x v="5"/>
    <n v="-12001"/>
    <n v="-1.2002200220022001"/>
    <x v="1"/>
    <s v="Medium Ratings"/>
    <n v="40000"/>
    <n v="21999"/>
  </r>
  <r>
    <x v="20"/>
    <x v="20"/>
    <x v="0"/>
    <n v="49"/>
    <n v="25999"/>
    <n v="45000"/>
    <x v="1"/>
    <n v="4"/>
    <n v="19001"/>
    <x v="3"/>
    <n v="-19001"/>
    <n v="-0.73083580137697601"/>
    <x v="0"/>
    <s v="Medium Ratings"/>
    <n v="40000"/>
    <n v="21999"/>
  </r>
  <r>
    <x v="20"/>
    <x v="20"/>
    <x v="3"/>
    <n v="43"/>
    <n v="15999"/>
    <n v="32000"/>
    <x v="1"/>
    <n v="4.2"/>
    <n v="16001"/>
    <x v="5"/>
    <n v="-16001"/>
    <n v="-1.0001250078129884"/>
    <x v="1"/>
    <s v="Medium Ratings"/>
    <n v="40000"/>
    <n v="21999"/>
  </r>
  <r>
    <x v="20"/>
    <x v="20"/>
    <x v="3"/>
    <n v="40"/>
    <n v="15999"/>
    <n v="28000"/>
    <x v="1"/>
    <n v="4.0999999999999996"/>
    <n v="12001"/>
    <x v="3"/>
    <n v="-12001"/>
    <n v="-0.75010938183636477"/>
    <x v="0"/>
    <s v="Medium Ratings"/>
    <n v="40000"/>
    <n v="21999"/>
  </r>
  <r>
    <x v="20"/>
    <x v="20"/>
    <x v="0"/>
    <n v="43"/>
    <n v="21999"/>
    <n v="40000"/>
    <x v="1"/>
    <n v="3.9"/>
    <n v="18001"/>
    <x v="5"/>
    <n v="-18001"/>
    <n v="-0.81826446656666207"/>
    <x v="1"/>
    <s v="Medium Ratings"/>
    <n v="40000"/>
    <n v="21999"/>
  </r>
  <r>
    <x v="20"/>
    <x v="20"/>
    <x v="0"/>
    <n v="49"/>
    <n v="28999"/>
    <n v="55000"/>
    <x v="1"/>
    <n v="4.0999999999999996"/>
    <n v="26001"/>
    <x v="5"/>
    <n v="-26001"/>
    <n v="-0.89661712472843891"/>
    <x v="1"/>
    <s v="Medium Ratings"/>
    <n v="40000"/>
    <n v="21999"/>
  </r>
  <r>
    <x v="9"/>
    <x v="9"/>
    <x v="0"/>
    <n v="50"/>
    <n v="28990"/>
    <n v="53990"/>
    <x v="1"/>
    <n v="4.0999999999999996"/>
    <n v="25000"/>
    <x v="5"/>
    <n v="-25000"/>
    <n v="-0.86236633321835121"/>
    <x v="1"/>
    <s v="Medium Ratings"/>
    <n v="54990"/>
    <n v="25999"/>
  </r>
  <r>
    <x v="9"/>
    <x v="9"/>
    <x v="0"/>
    <n v="50"/>
    <n v="25999"/>
    <n v="59990"/>
    <x v="1"/>
    <n v="4.3"/>
    <n v="33991"/>
    <x v="1"/>
    <n v="-33991"/>
    <n v="-1.3073964383245509"/>
    <x v="1"/>
    <s v="Medium Ratings"/>
    <n v="54990"/>
    <n v="25999"/>
  </r>
  <r>
    <x v="9"/>
    <x v="9"/>
    <x v="0"/>
    <n v="55"/>
    <n v="31999"/>
    <n v="69999"/>
    <x v="1"/>
    <n v="4.3"/>
    <n v="38000"/>
    <x v="5"/>
    <n v="-38000"/>
    <n v="-1.1875371105347041"/>
    <x v="1"/>
    <s v="Medium Ratings"/>
    <n v="54990"/>
    <n v="25999"/>
  </r>
  <r>
    <x v="53"/>
    <x v="53"/>
    <x v="2"/>
    <n v="19"/>
    <n v="5499"/>
    <n v="8999"/>
    <x v="2"/>
    <m/>
    <n v="3500"/>
    <x v="3"/>
    <n v="-3500"/>
    <n v="-0.63647935988361515"/>
    <x v="0"/>
    <s v="Ratings Not Given"/>
    <n v="10499"/>
    <n v="6999"/>
  </r>
  <r>
    <x v="53"/>
    <x v="53"/>
    <x v="2"/>
    <n v="22"/>
    <n v="6999"/>
    <n v="10999"/>
    <x v="2"/>
    <m/>
    <n v="4000"/>
    <x v="3"/>
    <n v="-4000"/>
    <n v="-0.57151021574510641"/>
    <x v="0"/>
    <s v="Ratings Not Given"/>
    <n v="10499"/>
    <n v="6999"/>
  </r>
  <r>
    <x v="53"/>
    <x v="53"/>
    <x v="2"/>
    <n v="20"/>
    <n v="7399"/>
    <n v="9999"/>
    <x v="2"/>
    <m/>
    <n v="2600"/>
    <x v="0"/>
    <n v="-2600"/>
    <n v="-0.35139883768076768"/>
    <x v="0"/>
    <s v="Ratings Not Given"/>
    <n v="10499"/>
    <n v="6999"/>
  </r>
  <r>
    <x v="46"/>
    <x v="46"/>
    <x v="2"/>
    <n v="32"/>
    <n v="11300"/>
    <n v="23999"/>
    <x v="1"/>
    <n v="3.9"/>
    <n v="12699"/>
    <x v="5"/>
    <n v="-12699"/>
    <n v="-1.1238053097345133"/>
    <x v="1"/>
    <s v="Medium Ratings"/>
    <n v="23999"/>
    <n v="11300"/>
  </r>
  <r>
    <x v="48"/>
    <x v="48"/>
    <x v="3"/>
    <n v="43"/>
    <n v="16490"/>
    <n v="47990"/>
    <x v="1"/>
    <n v="3.8"/>
    <n v="31500"/>
    <x v="6"/>
    <n v="-31500"/>
    <n v="-1.910248635536689"/>
    <x v="1"/>
    <s v="Medium Ratings"/>
    <n v="37440"/>
    <n v="15490"/>
  </r>
  <r>
    <x v="48"/>
    <x v="48"/>
    <x v="2"/>
    <n v="32"/>
    <n v="9990"/>
    <n v="17990"/>
    <x v="1"/>
    <n v="4.3"/>
    <n v="8000"/>
    <x v="3"/>
    <n v="-8000"/>
    <n v="-0.80080080080080085"/>
    <x v="0"/>
    <s v="Medium Ratings"/>
    <n v="37440"/>
    <n v="15490"/>
  </r>
  <r>
    <x v="48"/>
    <x v="48"/>
    <x v="0"/>
    <n v="50"/>
    <n v="22499"/>
    <n v="58890"/>
    <x v="1"/>
    <n v="3.7"/>
    <n v="36391"/>
    <x v="1"/>
    <n v="-36391"/>
    <n v="-1.6174496644295302"/>
    <x v="1"/>
    <s v="Bad Ratings"/>
    <n v="37440"/>
    <n v="15490"/>
  </r>
  <r>
    <x v="48"/>
    <x v="48"/>
    <x v="0"/>
    <n v="55"/>
    <n v="29399"/>
    <n v="65990"/>
    <x v="1"/>
    <n v="3.9"/>
    <n v="36591"/>
    <x v="1"/>
    <n v="-36591"/>
    <n v="-1.2446341712303139"/>
    <x v="1"/>
    <s v="Medium Ratings"/>
    <n v="37440"/>
    <n v="15490"/>
  </r>
  <r>
    <x v="48"/>
    <x v="48"/>
    <x v="2"/>
    <n v="32"/>
    <n v="12990"/>
    <n v="19990"/>
    <x v="1"/>
    <n v="3.8"/>
    <n v="7000"/>
    <x v="3"/>
    <n v="-7000"/>
    <n v="-0.53887605850654352"/>
    <x v="0"/>
    <s v="Medium Ratings"/>
    <n v="37440"/>
    <n v="15490"/>
  </r>
  <r>
    <x v="29"/>
    <x v="29"/>
    <x v="3"/>
    <n v="42"/>
    <n v="30999"/>
    <n v="44990"/>
    <x v="1"/>
    <n v="5"/>
    <n v="13991"/>
    <x v="0"/>
    <n v="-13991"/>
    <n v="-0.45133713990773894"/>
    <x v="0"/>
    <s v="Good Ratings"/>
    <n v="43990"/>
    <n v="30994.5"/>
  </r>
  <r>
    <x v="29"/>
    <x v="29"/>
    <x v="3"/>
    <n v="43"/>
    <n v="30990"/>
    <n v="38642"/>
    <x v="1"/>
    <n v="4.5"/>
    <n v="7652"/>
    <x v="2"/>
    <n v="-7652"/>
    <n v="-0.24691836076153598"/>
    <x v="0"/>
    <s v="Good Ratings"/>
    <n v="43990"/>
    <n v="30994.5"/>
  </r>
  <r>
    <x v="29"/>
    <x v="29"/>
    <x v="0"/>
    <n v="50"/>
    <n v="38590"/>
    <n v="54990"/>
    <x v="1"/>
    <n v="4.3"/>
    <n v="16400"/>
    <x v="0"/>
    <n v="-16400"/>
    <n v="-0.42498056491318997"/>
    <x v="0"/>
    <s v="Medium Ratings"/>
    <n v="43990"/>
    <n v="30994.5"/>
  </r>
  <r>
    <x v="29"/>
    <x v="29"/>
    <x v="2"/>
    <n v="32"/>
    <n v="21599"/>
    <n v="25990"/>
    <x v="1"/>
    <n v="4"/>
    <n v="4391"/>
    <x v="2"/>
    <n v="-4391"/>
    <n v="-0.20329644890967175"/>
    <x v="0"/>
    <s v="Medium Ratings"/>
    <n v="43990"/>
    <n v="30994.5"/>
  </r>
  <r>
    <x v="29"/>
    <x v="29"/>
    <x v="0"/>
    <n v="55"/>
    <n v="54499"/>
    <n v="89990"/>
    <x v="1"/>
    <n v="4.5999999999999996"/>
    <n v="35491"/>
    <x v="3"/>
    <n v="-35491"/>
    <n v="-0.65122295821941689"/>
    <x v="0"/>
    <s v="Good Ratings"/>
    <n v="43990"/>
    <n v="30994.5"/>
  </r>
  <r>
    <x v="29"/>
    <x v="29"/>
    <x v="0"/>
    <n v="50"/>
    <n v="42000"/>
    <n v="69990"/>
    <x v="1"/>
    <n v="4"/>
    <n v="27990"/>
    <x v="3"/>
    <n v="-27990"/>
    <n v="-0.66642857142857148"/>
    <x v="0"/>
    <s v="Medium Ratings"/>
    <n v="43990"/>
    <n v="30994.5"/>
  </r>
  <r>
    <x v="29"/>
    <x v="29"/>
    <x v="0"/>
    <n v="55"/>
    <n v="47899"/>
    <n v="77990"/>
    <x v="1"/>
    <m/>
    <n v="30091"/>
    <x v="3"/>
    <n v="-30091"/>
    <n v="-0.6282177080941147"/>
    <x v="0"/>
    <s v="Ratings Not Given"/>
    <n v="43990"/>
    <n v="30994.5"/>
  </r>
  <r>
    <x v="29"/>
    <x v="29"/>
    <x v="2"/>
    <n v="39"/>
    <n v="15990"/>
    <n v="31999"/>
    <x v="1"/>
    <n v="4.3"/>
    <n v="16009"/>
    <x v="5"/>
    <n v="-16009"/>
    <n v="-1.0011882426516572"/>
    <x v="1"/>
    <s v="Medium Ratings"/>
    <n v="43990"/>
    <n v="30994.5"/>
  </r>
  <r>
    <x v="29"/>
    <x v="29"/>
    <x v="2"/>
    <n v="32"/>
    <n v="7739"/>
    <n v="19990"/>
    <x v="1"/>
    <n v="4"/>
    <n v="12251"/>
    <x v="1"/>
    <n v="-12251"/>
    <n v="-1.583021062152733"/>
    <x v="1"/>
    <s v="Medium Ratings"/>
    <n v="43990"/>
    <n v="30994.5"/>
  </r>
  <r>
    <x v="44"/>
    <x v="44"/>
    <x v="2"/>
    <n v="32"/>
    <n v="9499"/>
    <n v="16599"/>
    <x v="1"/>
    <n v="4"/>
    <n v="7100"/>
    <x v="3"/>
    <n v="-7100"/>
    <n v="-0.74744709969470469"/>
    <x v="0"/>
    <s v="Medium Ratings"/>
    <n v="23299"/>
    <n v="13999"/>
  </r>
  <r>
    <x v="44"/>
    <x v="44"/>
    <x v="0"/>
    <n v="49"/>
    <n v="26999"/>
    <n v="36999"/>
    <x v="1"/>
    <n v="4.5"/>
    <n v="10000"/>
    <x v="0"/>
    <n v="-10000"/>
    <n v="-0.37038408829956665"/>
    <x v="0"/>
    <s v="Good Ratings"/>
    <n v="23299"/>
    <n v="13999"/>
  </r>
  <r>
    <x v="44"/>
    <x v="44"/>
    <x v="0"/>
    <n v="55"/>
    <n v="36999"/>
    <n v="46999"/>
    <x v="1"/>
    <m/>
    <n v="10000"/>
    <x v="2"/>
    <n v="-10000"/>
    <n v="-0.27027757506959649"/>
    <x v="0"/>
    <s v="Ratings Not Given"/>
    <n v="23299"/>
    <n v="13999"/>
  </r>
  <r>
    <x v="8"/>
    <x v="8"/>
    <x v="0"/>
    <n v="50"/>
    <n v="28999"/>
    <n v="58990"/>
    <x v="1"/>
    <n v="4.3"/>
    <n v="29991"/>
    <x v="5"/>
    <n v="-29991"/>
    <n v="-1.0342080761405565"/>
    <x v="1"/>
    <s v="Medium Ratings"/>
    <n v="76990"/>
    <n v="36999"/>
  </r>
  <r>
    <x v="8"/>
    <x v="8"/>
    <x v="0"/>
    <n v="55"/>
    <n v="113990"/>
    <n v="113990"/>
    <x v="1"/>
    <m/>
    <n v="0"/>
    <x v="7"/>
    <n v="0"/>
    <n v="0"/>
    <x v="2"/>
    <s v="Ratings Not Given"/>
    <n v="76990"/>
    <n v="36999"/>
  </r>
  <r>
    <x v="8"/>
    <x v="8"/>
    <x v="0"/>
    <n v="65"/>
    <n v="49999"/>
    <n v="99990"/>
    <x v="1"/>
    <m/>
    <n v="49991"/>
    <x v="5"/>
    <n v="-49991"/>
    <n v="-0.99983999679993596"/>
    <x v="1"/>
    <s v="Ratings Not Given"/>
    <n v="76990"/>
    <n v="36999"/>
  </r>
  <r>
    <x v="35"/>
    <x v="35"/>
    <x v="2"/>
    <n v="32"/>
    <n v="9999"/>
    <n v="16990"/>
    <x v="6"/>
    <n v="3.6"/>
    <n v="6991"/>
    <x v="3"/>
    <n v="-6991"/>
    <n v="-0.69916991699169917"/>
    <x v="0"/>
    <s v="Bad Ratings"/>
    <n v="32039"/>
    <n v="28690"/>
  </r>
  <r>
    <x v="35"/>
    <x v="35"/>
    <x v="2"/>
    <n v="32"/>
    <n v="11390"/>
    <n v="18190"/>
    <x v="6"/>
    <n v="4.7"/>
    <n v="6800"/>
    <x v="3"/>
    <n v="-6800"/>
    <n v="-0.59701492537313428"/>
    <x v="0"/>
    <s v="Good Ratings"/>
    <n v="32039"/>
    <n v="28690"/>
  </r>
  <r>
    <x v="35"/>
    <x v="35"/>
    <x v="2"/>
    <n v="24"/>
    <n v="7999"/>
    <n v="12990"/>
    <x v="6"/>
    <n v="4.4000000000000004"/>
    <n v="4991"/>
    <x v="3"/>
    <n v="-4991"/>
    <n v="-0.62395299412426553"/>
    <x v="0"/>
    <s v="Medium Ratings"/>
    <n v="32039"/>
    <n v="28690"/>
  </r>
  <r>
    <x v="35"/>
    <x v="35"/>
    <x v="0"/>
    <n v="55"/>
    <n v="60859"/>
    <n v="89990"/>
    <x v="1"/>
    <m/>
    <n v="29131"/>
    <x v="0"/>
    <n v="-29131"/>
    <n v="-0.47866379664470332"/>
    <x v="0"/>
    <s v="Ratings Not Given"/>
    <n v="32039"/>
    <n v="28690"/>
  </r>
  <r>
    <x v="35"/>
    <x v="35"/>
    <x v="3"/>
    <n v="50"/>
    <n v="31000"/>
    <n v="49990"/>
    <x v="1"/>
    <m/>
    <n v="18990"/>
    <x v="3"/>
    <n v="-18990"/>
    <n v="-0.61258064516129029"/>
    <x v="0"/>
    <s v="Ratings Not Given"/>
    <n v="32039"/>
    <n v="28690"/>
  </r>
  <r>
    <x v="45"/>
    <x v="45"/>
    <x v="2"/>
    <n v="38"/>
    <n v="19800"/>
    <n v="34600"/>
    <x v="1"/>
    <n v="5"/>
    <n v="14800"/>
    <x v="3"/>
    <n v="-14800"/>
    <n v="-0.74747474747474751"/>
    <x v="0"/>
    <s v="Good Ratings"/>
    <n v="35999"/>
    <n v="23688"/>
  </r>
  <r>
    <x v="45"/>
    <x v="45"/>
    <x v="3"/>
    <n v="55"/>
    <n v="49900"/>
    <n v="49900"/>
    <x v="1"/>
    <n v="4.3"/>
    <n v="0"/>
    <x v="7"/>
    <n v="0"/>
    <n v="0"/>
    <x v="2"/>
    <s v="Medium Ratings"/>
    <n v="35999"/>
    <n v="23688"/>
  </r>
  <r>
    <x v="45"/>
    <x v="45"/>
    <x v="3"/>
    <n v="50"/>
    <n v="29499"/>
    <n v="39999"/>
    <x v="1"/>
    <n v="3.8"/>
    <n v="10500"/>
    <x v="0"/>
    <n v="-10500"/>
    <n v="-0.3559442692972643"/>
    <x v="0"/>
    <s v="Medium Ratings"/>
    <n v="35999"/>
    <n v="23688"/>
  </r>
  <r>
    <x v="45"/>
    <x v="45"/>
    <x v="3"/>
    <n v="43"/>
    <n v="23688"/>
    <n v="47990"/>
    <x v="1"/>
    <n v="4.2"/>
    <n v="24302"/>
    <x v="5"/>
    <n v="-24302"/>
    <n v="-1.025920297196893"/>
    <x v="1"/>
    <s v="Medium Ratings"/>
    <n v="35999"/>
    <n v="23688"/>
  </r>
  <r>
    <x v="45"/>
    <x v="45"/>
    <x v="3"/>
    <n v="43"/>
    <n v="35999"/>
    <n v="35999"/>
    <x v="1"/>
    <n v="4.2"/>
    <n v="0"/>
    <x v="7"/>
    <n v="0"/>
    <n v="0"/>
    <x v="2"/>
    <s v="Medium Ratings"/>
    <n v="35999"/>
    <n v="23688"/>
  </r>
  <r>
    <x v="47"/>
    <x v="47"/>
    <x v="0"/>
    <n v="65"/>
    <n v="55000"/>
    <n v="109000"/>
    <x v="1"/>
    <n v="4.0999999999999996"/>
    <n v="54000"/>
    <x v="5"/>
    <n v="-54000"/>
    <n v="-0.98181818181818181"/>
    <x v="1"/>
    <s v="Medium Ratings"/>
    <n v="55999.5"/>
    <n v="32494.5"/>
  </r>
  <r>
    <x v="47"/>
    <x v="47"/>
    <x v="2"/>
    <n v="32"/>
    <n v="16990"/>
    <n v="21000"/>
    <x v="1"/>
    <n v="4.0999999999999996"/>
    <n v="4010"/>
    <x v="2"/>
    <n v="-4010"/>
    <n v="-0.23602118893466745"/>
    <x v="0"/>
    <s v="Medium Ratings"/>
    <n v="55999.5"/>
    <n v="32494.5"/>
  </r>
  <r>
    <x v="47"/>
    <x v="47"/>
    <x v="2"/>
    <n v="24"/>
    <n v="12999"/>
    <n v="12999"/>
    <x v="1"/>
    <n v="3.8"/>
    <n v="0"/>
    <x v="7"/>
    <n v="0"/>
    <n v="0"/>
    <x v="2"/>
    <s v="Medium Ratings"/>
    <n v="55999.5"/>
    <n v="32494.5"/>
  </r>
  <r>
    <x v="55"/>
    <x v="55"/>
    <x v="2"/>
    <n v="19"/>
    <n v="5499"/>
    <n v="7999"/>
    <x v="1"/>
    <m/>
    <n v="2500"/>
    <x v="0"/>
    <n v="-2500"/>
    <n v="-0.45462811420258231"/>
    <x v="0"/>
    <s v="Ratings Not Given"/>
    <n v="7999"/>
    <n v="5499"/>
  </r>
  <r>
    <x v="55"/>
    <x v="55"/>
    <x v="2"/>
    <n v="17"/>
    <n v="5499"/>
    <n v="6999"/>
    <x v="1"/>
    <m/>
    <n v="1500"/>
    <x v="2"/>
    <n v="-1500"/>
    <n v="-0.27277686852154936"/>
    <x v="0"/>
    <s v="Ratings Not Given"/>
    <n v="7999"/>
    <n v="5499"/>
  </r>
  <r>
    <x v="32"/>
    <x v="32"/>
    <x v="3"/>
    <n v="43"/>
    <n v="34990"/>
    <n v="48990"/>
    <x v="2"/>
    <m/>
    <n v="14000"/>
    <x v="0"/>
    <n v="-14000"/>
    <n v="-0.40011431837667905"/>
    <x v="0"/>
    <s v="Ratings Not Given"/>
    <n v="44490"/>
    <n v="25740"/>
  </r>
  <r>
    <x v="32"/>
    <x v="32"/>
    <x v="0"/>
    <n v="50"/>
    <n v="44999"/>
    <n v="84990"/>
    <x v="2"/>
    <n v="4.3"/>
    <n v="39991"/>
    <x v="5"/>
    <n v="-39991"/>
    <n v="-0.88870863796973265"/>
    <x v="1"/>
    <s v="Medium Ratings"/>
    <n v="44490"/>
    <n v="25740"/>
  </r>
  <r>
    <x v="32"/>
    <x v="32"/>
    <x v="2"/>
    <n v="32"/>
    <n v="18689"/>
    <n v="26957"/>
    <x v="2"/>
    <m/>
    <n v="8268"/>
    <x v="0"/>
    <n v="-8268"/>
    <n v="-0.44239927229921344"/>
    <x v="0"/>
    <s v="Ratings Not Given"/>
    <n v="44490"/>
    <n v="25740"/>
  </r>
  <r>
    <x v="32"/>
    <x v="32"/>
    <x v="3"/>
    <n v="39"/>
    <n v="22990"/>
    <n v="39990"/>
    <x v="2"/>
    <n v="3.8"/>
    <n v="17000"/>
    <x v="3"/>
    <n v="-17000"/>
    <n v="-0.73945193562418443"/>
    <x v="0"/>
    <s v="Medium Ratings"/>
    <n v="44490"/>
    <n v="25740"/>
  </r>
  <r>
    <x v="32"/>
    <x v="32"/>
    <x v="3"/>
    <n v="48"/>
    <n v="39999"/>
    <n v="50990"/>
    <x v="2"/>
    <m/>
    <n v="10991"/>
    <x v="2"/>
    <n v="-10991"/>
    <n v="-0.27478186954673867"/>
    <x v="0"/>
    <s v="Ratings Not Given"/>
    <n v="44490"/>
    <n v="25740"/>
  </r>
  <r>
    <x v="32"/>
    <x v="32"/>
    <x v="0"/>
    <n v="43"/>
    <n v="33999"/>
    <n v="69990"/>
    <x v="2"/>
    <n v="4.2"/>
    <n v="35991"/>
    <x v="5"/>
    <n v="-35991"/>
    <n v="-1.0585899585281919"/>
    <x v="1"/>
    <s v="Medium Ratings"/>
    <n v="44490"/>
    <n v="25740"/>
  </r>
  <r>
    <x v="32"/>
    <x v="32"/>
    <x v="2"/>
    <n v="32"/>
    <n v="14990"/>
    <n v="19990"/>
    <x v="2"/>
    <n v="4.3"/>
    <n v="5000"/>
    <x v="0"/>
    <n v="-5000"/>
    <n v="-0.33355570380253502"/>
    <x v="0"/>
    <s v="Medium Ratings"/>
    <n v="44490"/>
    <n v="25740"/>
  </r>
  <r>
    <x v="32"/>
    <x v="32"/>
    <x v="0"/>
    <n v="42"/>
    <n v="25990"/>
    <n v="59900"/>
    <x v="2"/>
    <n v="3.5"/>
    <n v="33910"/>
    <x v="1"/>
    <n v="-33910"/>
    <n v="-1.3047325894574837"/>
    <x v="1"/>
    <s v="Bad Ratings"/>
    <n v="44490"/>
    <n v="25740"/>
  </r>
  <r>
    <x v="32"/>
    <x v="32"/>
    <x v="3"/>
    <n v="55"/>
    <n v="114990"/>
    <n v="114990"/>
    <x v="2"/>
    <m/>
    <n v="0"/>
    <x v="7"/>
    <n v="0"/>
    <n v="0"/>
    <x v="2"/>
    <s v="Ratings Not Given"/>
    <n v="44490"/>
    <n v="25740"/>
  </r>
  <r>
    <x v="32"/>
    <x v="32"/>
    <x v="3"/>
    <n v="46"/>
    <n v="55990"/>
    <n v="55990"/>
    <x v="2"/>
    <n v="5"/>
    <n v="0"/>
    <x v="7"/>
    <n v="0"/>
    <n v="0"/>
    <x v="2"/>
    <s v="Good Ratings"/>
    <n v="44490"/>
    <n v="25740"/>
  </r>
  <r>
    <x v="32"/>
    <x v="32"/>
    <x v="2"/>
    <n v="32"/>
    <n v="11000"/>
    <n v="20990"/>
    <x v="2"/>
    <n v="3.7"/>
    <n v="9990"/>
    <x v="5"/>
    <n v="-9990"/>
    <n v="-0.9081818181818182"/>
    <x v="1"/>
    <s v="Bad Ratings"/>
    <n v="44490"/>
    <n v="25740"/>
  </r>
  <r>
    <x v="32"/>
    <x v="32"/>
    <x v="2"/>
    <n v="24"/>
    <n v="8103"/>
    <n v="15990"/>
    <x v="2"/>
    <n v="3.7"/>
    <n v="7887"/>
    <x v="5"/>
    <n v="-7887"/>
    <n v="-0.97334320621991854"/>
    <x v="1"/>
    <s v="Bad Ratings"/>
    <n v="44490"/>
    <n v="25740"/>
  </r>
  <r>
    <x v="32"/>
    <x v="32"/>
    <x v="0"/>
    <n v="55"/>
    <n v="51999"/>
    <n v="99990"/>
    <x v="2"/>
    <n v="3.7"/>
    <n v="47991"/>
    <x v="5"/>
    <n v="-47991"/>
    <n v="-0.92292159464605084"/>
    <x v="1"/>
    <s v="Bad Ratings"/>
    <n v="44490"/>
    <n v="25740"/>
  </r>
  <r>
    <x v="32"/>
    <x v="32"/>
    <x v="2"/>
    <n v="24"/>
    <n v="13200"/>
    <n v="14990"/>
    <x v="2"/>
    <n v="2.5"/>
    <n v="1790"/>
    <x v="4"/>
    <n v="-1790"/>
    <n v="-0.13560606060606062"/>
    <x v="2"/>
    <s v="Bad Ratings"/>
    <n v="44490"/>
    <n v="25740"/>
  </r>
  <r>
    <x v="32"/>
    <x v="32"/>
    <x v="3"/>
    <n v="43"/>
    <n v="25490"/>
    <n v="39000"/>
    <x v="2"/>
    <m/>
    <n v="13510"/>
    <x v="0"/>
    <n v="-13510"/>
    <n v="-0.53001176932130245"/>
    <x v="0"/>
    <s v="Ratings Not Given"/>
    <n v="44490"/>
    <n v="25740"/>
  </r>
  <r>
    <x v="33"/>
    <x v="33"/>
    <x v="2"/>
    <n v="24"/>
    <n v="7290"/>
    <n v="17900"/>
    <x v="1"/>
    <n v="4.3"/>
    <n v="10610"/>
    <x v="1"/>
    <n v="-10610"/>
    <n v="-1.4554183813443073"/>
    <x v="1"/>
    <s v="Medium Ratings"/>
    <n v="28445"/>
    <n v="16990"/>
  </r>
  <r>
    <x v="33"/>
    <x v="33"/>
    <x v="2"/>
    <n v="40"/>
    <n v="29990"/>
    <n v="29990"/>
    <x v="1"/>
    <m/>
    <n v="0"/>
    <x v="7"/>
    <n v="0"/>
    <n v="0"/>
    <x v="2"/>
    <s v="Ratings Not Given"/>
    <n v="28445"/>
    <n v="16990"/>
  </r>
  <r>
    <x v="33"/>
    <x v="33"/>
    <x v="0"/>
    <n v="55"/>
    <n v="65900"/>
    <n v="65900"/>
    <x v="1"/>
    <m/>
    <n v="0"/>
    <x v="7"/>
    <n v="0"/>
    <n v="0"/>
    <x v="2"/>
    <s v="Ratings Not Given"/>
    <n v="28445"/>
    <n v="16990"/>
  </r>
  <r>
    <x v="7"/>
    <x v="7"/>
    <x v="2"/>
    <n v="24"/>
    <n v="7499"/>
    <n v="14999"/>
    <x v="3"/>
    <n v="4.2"/>
    <n v="7500"/>
    <x v="5"/>
    <n v="-7500"/>
    <n v="-1.0001333511134818"/>
    <x v="1"/>
    <s v="Medium Ratings"/>
    <n v="17499"/>
    <n v="10249"/>
  </r>
  <r>
    <x v="7"/>
    <x v="7"/>
    <x v="3"/>
    <n v="24"/>
    <n v="6999"/>
    <n v="11499"/>
    <x v="3"/>
    <n v="4.3"/>
    <n v="4500"/>
    <x v="3"/>
    <n v="-4500"/>
    <n v="-0.64294899271324479"/>
    <x v="0"/>
    <s v="Medium Ratings"/>
    <n v="17499"/>
    <n v="10249"/>
  </r>
  <r>
    <x v="7"/>
    <x v="7"/>
    <x v="3"/>
    <n v="32"/>
    <n v="9499"/>
    <n v="16499"/>
    <x v="3"/>
    <n v="4.3"/>
    <n v="7000"/>
    <x v="3"/>
    <n v="-7000"/>
    <n v="-0.73691967575534267"/>
    <x v="0"/>
    <s v="Medium Ratings"/>
    <n v="17499"/>
    <n v="10249"/>
  </r>
  <r>
    <x v="7"/>
    <x v="7"/>
    <x v="2"/>
    <n v="32"/>
    <n v="13499"/>
    <n v="15499"/>
    <x v="1"/>
    <n v="4.0999999999999996"/>
    <n v="2000"/>
    <x v="4"/>
    <n v="-2000"/>
    <n v="-0.14815912289799243"/>
    <x v="2"/>
    <s v="Medium Ratings"/>
    <n v="17499"/>
    <n v="10249"/>
  </r>
  <r>
    <x v="7"/>
    <x v="7"/>
    <x v="3"/>
    <n v="40"/>
    <n v="18999"/>
    <n v="29499"/>
    <x v="2"/>
    <n v="4.3"/>
    <n v="10500"/>
    <x v="3"/>
    <n v="-10500"/>
    <n v="-0.55266066635086053"/>
    <x v="0"/>
    <s v="Medium Ratings"/>
    <n v="17499"/>
    <n v="10249"/>
  </r>
  <r>
    <x v="7"/>
    <x v="7"/>
    <x v="2"/>
    <n v="32"/>
    <n v="10499"/>
    <n v="18499"/>
    <x v="2"/>
    <n v="4.3"/>
    <n v="8000"/>
    <x v="3"/>
    <n v="-8000"/>
    <n v="-0.76197733117439759"/>
    <x v="0"/>
    <s v="Medium Ratings"/>
    <n v="17499"/>
    <n v="10249"/>
  </r>
  <r>
    <x v="24"/>
    <x v="24"/>
    <x v="0"/>
    <n v="43"/>
    <n v="91990"/>
    <n v="91990"/>
    <x v="1"/>
    <n v="4"/>
    <n v="0"/>
    <x v="7"/>
    <n v="0"/>
    <n v="0"/>
    <x v="2"/>
    <s v="Medium Ratings"/>
    <n v="24990"/>
    <n v="16825"/>
  </r>
  <r>
    <x v="24"/>
    <x v="24"/>
    <x v="3"/>
    <n v="40"/>
    <n v="29990"/>
    <n v="29990"/>
    <x v="1"/>
    <n v="4"/>
    <n v="0"/>
    <x v="7"/>
    <n v="0"/>
    <n v="0"/>
    <x v="2"/>
    <s v="Medium Ratings"/>
    <n v="24990"/>
    <n v="16825"/>
  </r>
  <r>
    <x v="24"/>
    <x v="24"/>
    <x v="3"/>
    <n v="49"/>
    <n v="65990"/>
    <n v="65990"/>
    <x v="1"/>
    <n v="4.4000000000000004"/>
    <n v="0"/>
    <x v="7"/>
    <n v="0"/>
    <n v="0"/>
    <x v="2"/>
    <s v="Medium Ratings"/>
    <n v="24990"/>
    <n v="16825"/>
  </r>
  <r>
    <x v="24"/>
    <x v="24"/>
    <x v="3"/>
    <n v="50"/>
    <n v="66990"/>
    <n v="66990"/>
    <x v="1"/>
    <n v="4.3"/>
    <n v="0"/>
    <x v="7"/>
    <n v="0"/>
    <n v="0"/>
    <x v="2"/>
    <s v="Medium Ratings"/>
    <n v="24990"/>
    <n v="16825"/>
  </r>
  <r>
    <x v="24"/>
    <x v="24"/>
    <x v="3"/>
    <n v="55"/>
    <n v="71990"/>
    <n v="71990"/>
    <x v="1"/>
    <n v="4.2"/>
    <n v="0"/>
    <x v="7"/>
    <n v="0"/>
    <n v="0"/>
    <x v="2"/>
    <s v="Medium Ratings"/>
    <n v="24990"/>
    <n v="16825"/>
  </r>
  <r>
    <x v="24"/>
    <x v="24"/>
    <x v="2"/>
    <n v="24"/>
    <n v="11999"/>
    <n v="13490"/>
    <x v="1"/>
    <n v="3.9"/>
    <n v="1491"/>
    <x v="4"/>
    <n v="-1491"/>
    <n v="-0.1242603550295858"/>
    <x v="2"/>
    <s v="Medium Ratings"/>
    <n v="24990"/>
    <n v="16825"/>
  </r>
  <r>
    <x v="24"/>
    <x v="24"/>
    <x v="3"/>
    <n v="24"/>
    <n v="6179"/>
    <n v="13390"/>
    <x v="1"/>
    <n v="4.2"/>
    <n v="7211"/>
    <x v="5"/>
    <n v="-7211"/>
    <n v="-1.1670173167179154"/>
    <x v="1"/>
    <s v="Medium Ratings"/>
    <n v="24990"/>
    <n v="16825"/>
  </r>
  <r>
    <x v="24"/>
    <x v="24"/>
    <x v="2"/>
    <n v="20"/>
    <n v="5364"/>
    <n v="10990"/>
    <x v="1"/>
    <n v="4.0999999999999996"/>
    <n v="5626"/>
    <x v="5"/>
    <n v="-5626"/>
    <n v="-1.0488441461595823"/>
    <x v="1"/>
    <s v="Medium Ratings"/>
    <n v="24990"/>
    <n v="16825"/>
  </r>
  <r>
    <x v="17"/>
    <x v="17"/>
    <x v="0"/>
    <n v="55"/>
    <n v="42999"/>
    <n v="61999"/>
    <x v="1"/>
    <n v="4.4000000000000004"/>
    <n v="19000"/>
    <x v="0"/>
    <n v="-19000"/>
    <n v="-0.44187074118002745"/>
    <x v="0"/>
    <s v="Medium Ratings"/>
    <n v="54050"/>
    <n v="35999"/>
  </r>
  <r>
    <x v="52"/>
    <x v="52"/>
    <x v="3"/>
    <n v="32"/>
    <n v="13990"/>
    <n v="14999"/>
    <x v="3"/>
    <n v="3.7"/>
    <n v="1009"/>
    <x v="4"/>
    <n v="-1009"/>
    <n v="-7.2122944960686206E-2"/>
    <x v="2"/>
    <s v="Bad Ratings"/>
    <n v="15994.5"/>
    <n v="13490"/>
  </r>
  <r>
    <x v="52"/>
    <x v="52"/>
    <x v="2"/>
    <n v="24"/>
    <n v="7490"/>
    <n v="12990"/>
    <x v="3"/>
    <n v="3"/>
    <n v="5500"/>
    <x v="3"/>
    <n v="-5500"/>
    <n v="-0.73431241655540724"/>
    <x v="0"/>
    <s v="Bad Ratings"/>
    <n v="15994.5"/>
    <n v="13490"/>
  </r>
  <r>
    <x v="52"/>
    <x v="52"/>
    <x v="3"/>
    <n v="32"/>
    <n v="16799"/>
    <n v="17999"/>
    <x v="1"/>
    <n v="2.6"/>
    <n v="1200"/>
    <x v="4"/>
    <n v="-1200"/>
    <n v="-7.143282338234419E-2"/>
    <x v="2"/>
    <s v="Bad Ratings"/>
    <n v="15994.5"/>
    <n v="13490"/>
  </r>
  <r>
    <x v="4"/>
    <x v="4"/>
    <x v="0"/>
    <n v="50"/>
    <n v="43999"/>
    <n v="49999"/>
    <x v="1"/>
    <n v="4.3"/>
    <n v="6000"/>
    <x v="4"/>
    <n v="-6000"/>
    <n v="-0.13636673560762744"/>
    <x v="2"/>
    <s v="Medium Ratings"/>
    <n v="59999"/>
    <n v="49999"/>
  </r>
  <r>
    <x v="4"/>
    <x v="4"/>
    <x v="1"/>
    <n v="55"/>
    <n v="84990"/>
    <n v="99900"/>
    <x v="1"/>
    <n v="4.8"/>
    <n v="14910"/>
    <x v="4"/>
    <n v="-14910"/>
    <n v="-0.1754324038122132"/>
    <x v="2"/>
    <s v="Good Ratings"/>
    <n v="59999"/>
    <n v="49999"/>
  </r>
  <r>
    <x v="4"/>
    <x v="4"/>
    <x v="0"/>
    <n v="65"/>
    <n v="66999"/>
    <n v="69999"/>
    <x v="1"/>
    <n v="4.3"/>
    <n v="3000"/>
    <x v="7"/>
    <n v="-3000"/>
    <n v="-4.4776787713249451E-2"/>
    <x v="2"/>
    <s v="Medium Ratings"/>
    <n v="59999"/>
    <n v="49999"/>
  </r>
  <r>
    <x v="4"/>
    <x v="4"/>
    <x v="1"/>
    <n v="55"/>
    <n v="62899"/>
    <n v="69900"/>
    <x v="1"/>
    <n v="4.5999999999999996"/>
    <n v="7001"/>
    <x v="4"/>
    <n v="-7001"/>
    <n v="-0.1113054261593984"/>
    <x v="2"/>
    <s v="Good Ratings"/>
    <n v="59999"/>
    <n v="49999"/>
  </r>
  <r>
    <x v="30"/>
    <x v="30"/>
    <x v="2"/>
    <n v="24"/>
    <n v="8359"/>
    <n v="13490"/>
    <x v="1"/>
    <n v="4.2"/>
    <n v="5131"/>
    <x v="3"/>
    <n v="-5131"/>
    <n v="-0.61382940543127174"/>
    <x v="0"/>
    <s v="Medium Ratings"/>
    <n v="34990"/>
    <n v="29399.5"/>
  </r>
  <r>
    <x v="30"/>
    <x v="30"/>
    <x v="2"/>
    <n v="32"/>
    <n v="22990"/>
    <n v="22990"/>
    <x v="1"/>
    <n v="4.7"/>
    <n v="0"/>
    <x v="7"/>
    <n v="0"/>
    <n v="0"/>
    <x v="2"/>
    <s v="Good Ratings"/>
    <n v="34990"/>
    <n v="29399.5"/>
  </r>
  <r>
    <x v="30"/>
    <x v="30"/>
    <x v="0"/>
    <n v="43"/>
    <n v="33190"/>
    <n v="52900"/>
    <x v="1"/>
    <n v="4.2"/>
    <n v="19710"/>
    <x v="3"/>
    <n v="-19710"/>
    <n v="-0.59385357035251585"/>
    <x v="0"/>
    <s v="Medium Ratings"/>
    <n v="34990"/>
    <n v="29399.5"/>
  </r>
  <r>
    <x v="30"/>
    <x v="30"/>
    <x v="3"/>
    <n v="32"/>
    <n v="56990"/>
    <n v="56990"/>
    <x v="1"/>
    <n v="5"/>
    <n v="0"/>
    <x v="7"/>
    <n v="0"/>
    <n v="0"/>
    <x v="2"/>
    <s v="Good Ratings"/>
    <n v="34990"/>
    <n v="29399.5"/>
  </r>
  <r>
    <x v="30"/>
    <x v="30"/>
    <x v="3"/>
    <n v="32"/>
    <n v="35990"/>
    <n v="35990"/>
    <x v="1"/>
    <n v="4.7"/>
    <n v="0"/>
    <x v="7"/>
    <n v="0"/>
    <n v="0"/>
    <x v="2"/>
    <s v="Good Ratings"/>
    <n v="34990"/>
    <n v="29399.5"/>
  </r>
  <r>
    <x v="34"/>
    <x v="34"/>
    <x v="2"/>
    <n v="32"/>
    <n v="19790"/>
    <n v="19790"/>
    <x v="1"/>
    <m/>
    <n v="0"/>
    <x v="7"/>
    <n v="0"/>
    <n v="0"/>
    <x v="2"/>
    <s v="Ratings Not Given"/>
    <n v="37390"/>
    <n v="32990"/>
  </r>
  <r>
    <x v="34"/>
    <x v="34"/>
    <x v="2"/>
    <n v="39"/>
    <n v="14990"/>
    <n v="26349"/>
    <x v="1"/>
    <n v="3.7"/>
    <n v="11359"/>
    <x v="3"/>
    <n v="-11359"/>
    <n v="-0.75777184789859908"/>
    <x v="0"/>
    <s v="Bad Ratings"/>
    <n v="37390"/>
    <n v="32990"/>
  </r>
  <r>
    <x v="34"/>
    <x v="34"/>
    <x v="3"/>
    <n v="39"/>
    <n v="35990"/>
    <n v="35990"/>
    <x v="1"/>
    <m/>
    <n v="0"/>
    <x v="7"/>
    <n v="0"/>
    <n v="0"/>
    <x v="2"/>
    <s v="Ratings Not Given"/>
    <n v="37390"/>
    <n v="32990"/>
  </r>
  <r>
    <x v="38"/>
    <x v="38"/>
    <x v="0"/>
    <n v="65"/>
    <n v="56990"/>
    <n v="124990"/>
    <x v="1"/>
    <m/>
    <n v="68000"/>
    <x v="5"/>
    <n v="-68000"/>
    <n v="-1.1931917880329883"/>
    <x v="1"/>
    <s v="Ratings Not Given"/>
    <n v="52990"/>
    <n v="35990"/>
  </r>
  <r>
    <x v="38"/>
    <x v="38"/>
    <x v="0"/>
    <n v="43"/>
    <n v="27999"/>
    <n v="42990"/>
    <x v="1"/>
    <m/>
    <n v="14991"/>
    <x v="0"/>
    <n v="-14991"/>
    <n v="-0.53541197899924997"/>
    <x v="0"/>
    <s v="Ratings Not Given"/>
    <n v="52990"/>
    <n v="35990"/>
  </r>
  <r>
    <x v="23"/>
    <x v="23"/>
    <x v="0"/>
    <n v="43"/>
    <n v="30001"/>
    <n v="79900"/>
    <x v="6"/>
    <n v="4.3"/>
    <n v="49899"/>
    <x v="1"/>
    <n v="-49899"/>
    <n v="-1.6632445585147162"/>
    <x v="1"/>
    <s v="Medium Ratings"/>
    <n v="64195"/>
    <n v="43129"/>
  </r>
  <r>
    <x v="23"/>
    <x v="23"/>
    <x v="0"/>
    <n v="49"/>
    <n v="43259"/>
    <n v="66900"/>
    <x v="6"/>
    <m/>
    <n v="23641"/>
    <x v="3"/>
    <n v="-23641"/>
    <n v="-0.54649899442890493"/>
    <x v="0"/>
    <s v="Ratings Not Given"/>
    <n v="64195"/>
    <n v="43129"/>
  </r>
  <r>
    <x v="23"/>
    <x v="23"/>
    <x v="0"/>
    <n v="55"/>
    <n v="55890"/>
    <n v="82400"/>
    <x v="6"/>
    <m/>
    <n v="26510"/>
    <x v="0"/>
    <n v="-26510"/>
    <n v="-0.47432456611200574"/>
    <x v="0"/>
    <s v="Ratings Not Given"/>
    <n v="64195"/>
    <n v="43129"/>
  </r>
  <r>
    <x v="18"/>
    <x v="18"/>
    <x v="3"/>
    <n v="43"/>
    <n v="28999"/>
    <n v="35990"/>
    <x v="2"/>
    <n v="4"/>
    <n v="6991"/>
    <x v="2"/>
    <n v="-6991"/>
    <n v="-0.24107727852684574"/>
    <x v="0"/>
    <s v="Medium Ratings"/>
    <n v="44990"/>
    <n v="33459"/>
  </r>
  <r>
    <x v="18"/>
    <x v="18"/>
    <x v="2"/>
    <n v="32"/>
    <n v="18999"/>
    <n v="20990"/>
    <x v="2"/>
    <n v="4"/>
    <n v="1991"/>
    <x v="4"/>
    <n v="-1991"/>
    <n v="-0.10479498920995842"/>
    <x v="2"/>
    <s v="Medium Ratings"/>
    <n v="44990"/>
    <n v="33459"/>
  </r>
  <r>
    <x v="18"/>
    <x v="18"/>
    <x v="3"/>
    <n v="43"/>
    <n v="33459"/>
    <n v="36990"/>
    <x v="1"/>
    <n v="4.5"/>
    <n v="3531"/>
    <x v="4"/>
    <n v="-3531"/>
    <n v="-0.10553214381780687"/>
    <x v="2"/>
    <s v="Good Ratings"/>
    <n v="44990"/>
    <n v="33459"/>
  </r>
  <r>
    <x v="18"/>
    <x v="18"/>
    <x v="3"/>
    <n v="22"/>
    <n v="6649"/>
    <n v="12990"/>
    <x v="3"/>
    <n v="3.9"/>
    <n v="6341"/>
    <x v="5"/>
    <n v="-6341"/>
    <n v="-0.95367724469845094"/>
    <x v="1"/>
    <s v="Medium Ratings"/>
    <n v="44990"/>
    <n v="33459"/>
  </r>
  <r>
    <x v="39"/>
    <x v="39"/>
    <x v="2"/>
    <n v="24"/>
    <n v="10990"/>
    <n v="12990"/>
    <x v="6"/>
    <m/>
    <n v="2000"/>
    <x v="2"/>
    <n v="-2000"/>
    <n v="-0.18198362147406733"/>
    <x v="0"/>
    <s v="Ratings Not Given"/>
    <n v="28990"/>
    <n v="15650"/>
  </r>
  <r>
    <x v="39"/>
    <x v="39"/>
    <x v="2"/>
    <n v="24"/>
    <n v="11999"/>
    <n v="14990"/>
    <x v="1"/>
    <m/>
    <n v="2991"/>
    <x v="2"/>
    <n v="-2991"/>
    <n v="-0.24927077256438038"/>
    <x v="0"/>
    <s v="Ratings Not Given"/>
    <n v="28990"/>
    <n v="15650"/>
  </r>
  <r>
    <x v="39"/>
    <x v="39"/>
    <x v="2"/>
    <n v="32"/>
    <n v="13300"/>
    <n v="19990"/>
    <x v="6"/>
    <m/>
    <n v="6690"/>
    <x v="0"/>
    <n v="-6690"/>
    <n v="-0.50300751879699246"/>
    <x v="0"/>
    <s v="Ratings Not Given"/>
    <n v="28990"/>
    <n v="15650"/>
  </r>
  <r>
    <x v="39"/>
    <x v="39"/>
    <x v="2"/>
    <n v="32"/>
    <n v="15650"/>
    <n v="28990"/>
    <x v="1"/>
    <m/>
    <n v="13340"/>
    <x v="5"/>
    <n v="-13340"/>
    <n v="-0.85239616613418534"/>
    <x v="1"/>
    <s v="Ratings Not Given"/>
    <n v="28990"/>
    <n v="15650"/>
  </r>
  <r>
    <x v="2"/>
    <x v="2"/>
    <x v="2"/>
    <n v="32"/>
    <n v="11999"/>
    <n v="21999"/>
    <x v="2"/>
    <n v="4.3"/>
    <n v="10000"/>
    <x v="5"/>
    <n v="-10000"/>
    <n v="-0.83340278356529707"/>
    <x v="1"/>
    <s v="Medium Ratings"/>
    <n v="23999"/>
    <n v="17999"/>
  </r>
  <r>
    <x v="2"/>
    <x v="2"/>
    <x v="0"/>
    <n v="55"/>
    <n v="46999"/>
    <n v="69999"/>
    <x v="1"/>
    <n v="4.3"/>
    <n v="23000"/>
    <x v="0"/>
    <n v="-23000"/>
    <n v="-0.48937211430030425"/>
    <x v="0"/>
    <s v="Medium Ratings"/>
    <n v="23999"/>
    <n v="17999"/>
  </r>
  <r>
    <x v="31"/>
    <x v="31"/>
    <x v="3"/>
    <n v="20"/>
    <n v="4849"/>
    <n v="8990"/>
    <x v="6"/>
    <n v="3.9"/>
    <n v="4141"/>
    <x v="5"/>
    <n v="-4141"/>
    <n v="-0.85399051350793975"/>
    <x v="1"/>
    <s v="Medium Ratings"/>
    <n v="12000"/>
    <n v="5490"/>
  </r>
  <r>
    <x v="31"/>
    <x v="31"/>
    <x v="3"/>
    <n v="21"/>
    <n v="5200"/>
    <n v="9420"/>
    <x v="6"/>
    <n v="3.9"/>
    <n v="4220"/>
    <x v="3"/>
    <n v="-4220"/>
    <n v="-0.81153846153846154"/>
    <x v="0"/>
    <s v="Medium Ratings"/>
    <n v="12000"/>
    <n v="5490"/>
  </r>
  <r>
    <x v="31"/>
    <x v="31"/>
    <x v="3"/>
    <n v="24"/>
    <n v="5459"/>
    <n v="12000"/>
    <x v="6"/>
    <n v="3.9"/>
    <n v="6541"/>
    <x v="5"/>
    <n v="-6541"/>
    <n v="-1.1982047994138121"/>
    <x v="1"/>
    <s v="Medium Ratings"/>
    <n v="12000"/>
    <n v="5490"/>
  </r>
  <r>
    <x v="31"/>
    <x v="31"/>
    <x v="2"/>
    <n v="32"/>
    <n v="11290"/>
    <n v="16990"/>
    <x v="6"/>
    <n v="3.7"/>
    <n v="5700"/>
    <x v="0"/>
    <n v="-5700"/>
    <n v="-0.50487156775907882"/>
    <x v="0"/>
    <s v="Bad Ratings"/>
    <n v="12000"/>
    <n v="5490"/>
  </r>
  <r>
    <x v="56"/>
    <x v="56"/>
    <x v="3"/>
    <n v="40"/>
    <n v="27990"/>
    <n v="27990"/>
    <x v="1"/>
    <n v="4.4000000000000004"/>
    <n v="0"/>
    <x v="7"/>
    <n v="0"/>
    <n v="0"/>
    <x v="2"/>
    <s v="Medium Ratings"/>
    <n v="40990"/>
    <n v="40990"/>
  </r>
  <r>
    <x v="56"/>
    <x v="56"/>
    <x v="3"/>
    <n v="43"/>
    <n v="37990"/>
    <n v="37990"/>
    <x v="1"/>
    <n v="3.9"/>
    <n v="0"/>
    <x v="7"/>
    <n v="0"/>
    <n v="0"/>
    <x v="2"/>
    <s v="Medium Ratings"/>
    <n v="40990"/>
    <n v="40990"/>
  </r>
  <r>
    <x v="56"/>
    <x v="56"/>
    <x v="0"/>
    <n v="43"/>
    <n v="40990"/>
    <n v="40990"/>
    <x v="1"/>
    <n v="4.3"/>
    <n v="0"/>
    <x v="7"/>
    <n v="0"/>
    <n v="0"/>
    <x v="2"/>
    <s v="Medium Ratings"/>
    <n v="40990"/>
    <n v="40990"/>
  </r>
  <r>
    <x v="56"/>
    <x v="56"/>
    <x v="3"/>
    <n v="49"/>
    <n v="49990"/>
    <n v="49990"/>
    <x v="1"/>
    <n v="4.4000000000000004"/>
    <n v="0"/>
    <x v="7"/>
    <n v="0"/>
    <n v="0"/>
    <x v="2"/>
    <s v="Medium Ratings"/>
    <n v="40990"/>
    <n v="40990"/>
  </r>
  <r>
    <x v="12"/>
    <x v="12"/>
    <x v="0"/>
    <n v="65"/>
    <n v="116000"/>
    <n v="116000"/>
    <x v="2"/>
    <n v="4.5"/>
    <n v="0"/>
    <x v="7"/>
    <n v="0"/>
    <n v="0"/>
    <x v="2"/>
    <s v="Good Ratings"/>
    <n v="49990"/>
    <n v="30999"/>
  </r>
  <r>
    <x v="12"/>
    <x v="12"/>
    <x v="3"/>
    <n v="40"/>
    <n v="16999"/>
    <n v="27000"/>
    <x v="2"/>
    <n v="4.4000000000000004"/>
    <n v="10001"/>
    <x v="3"/>
    <n v="-10001"/>
    <n v="-0.58832872521913049"/>
    <x v="0"/>
    <s v="Medium Ratings"/>
    <n v="49990"/>
    <n v="30999"/>
  </r>
  <r>
    <x v="12"/>
    <x v="12"/>
    <x v="0"/>
    <n v="43"/>
    <n v="23999"/>
    <n v="46165"/>
    <x v="2"/>
    <n v="4.3"/>
    <n v="22166"/>
    <x v="5"/>
    <n v="-22166"/>
    <n v="-0.92362181757573236"/>
    <x v="1"/>
    <s v="Medium Ratings"/>
    <n v="49990"/>
    <n v="30999"/>
  </r>
  <r>
    <x v="12"/>
    <x v="12"/>
    <x v="0"/>
    <n v="50"/>
    <n v="26360"/>
    <n v="41990"/>
    <x v="2"/>
    <n v="4.4000000000000004"/>
    <n v="15630"/>
    <x v="3"/>
    <n v="-15630"/>
    <n v="-0.5929438543247344"/>
    <x v="0"/>
    <s v="Medium Ratings"/>
    <n v="49990"/>
    <n v="30999"/>
  </r>
  <r>
    <x v="41"/>
    <x v="41"/>
    <x v="2"/>
    <n v="32"/>
    <n v="15990"/>
    <n v="20500"/>
    <x v="1"/>
    <m/>
    <n v="4510"/>
    <x v="2"/>
    <n v="-4510"/>
    <n v="-0.28205128205128205"/>
    <x v="0"/>
    <s v="Ratings Not Given"/>
    <n v="28500"/>
    <n v="18494.5"/>
  </r>
  <r>
    <x v="41"/>
    <x v="41"/>
    <x v="2"/>
    <n v="39"/>
    <n v="17999"/>
    <n v="31000"/>
    <x v="1"/>
    <m/>
    <n v="13001"/>
    <x v="3"/>
    <n v="-13001"/>
    <n v="-0.72231790655036388"/>
    <x v="0"/>
    <s v="Ratings Not Given"/>
    <n v="28500"/>
    <n v="18494.5"/>
  </r>
  <r>
    <x v="22"/>
    <x v="22"/>
    <x v="2"/>
    <n v="32"/>
    <n v="12499"/>
    <n v="17990"/>
    <x v="2"/>
    <m/>
    <n v="5491"/>
    <x v="0"/>
    <n v="-5491"/>
    <n v="-0.43931514521161691"/>
    <x v="0"/>
    <s v="Ratings Not Given"/>
    <n v="20990"/>
    <n v="16499"/>
  </r>
  <r>
    <x v="22"/>
    <x v="22"/>
    <x v="2"/>
    <n v="32"/>
    <n v="16499"/>
    <n v="18990"/>
    <x v="1"/>
    <n v="3.9"/>
    <n v="2491"/>
    <x v="4"/>
    <n v="-2491"/>
    <n v="-0.15097884720286078"/>
    <x v="2"/>
    <s v="Medium Ratings"/>
    <n v="20990"/>
    <n v="16499"/>
  </r>
  <r>
    <x v="22"/>
    <x v="22"/>
    <x v="2"/>
    <n v="32"/>
    <n v="15999"/>
    <n v="20990"/>
    <x v="1"/>
    <m/>
    <n v="4991"/>
    <x v="2"/>
    <n v="-4991"/>
    <n v="-0.31195699731233201"/>
    <x v="0"/>
    <s v="Ratings Not Given"/>
    <n v="20990"/>
    <n v="16499"/>
  </r>
  <r>
    <x v="22"/>
    <x v="22"/>
    <x v="3"/>
    <n v="40"/>
    <n v="18499"/>
    <n v="25990"/>
    <x v="1"/>
    <m/>
    <n v="7491"/>
    <x v="0"/>
    <n v="-7491"/>
    <n v="-0.40494080761122225"/>
    <x v="0"/>
    <s v="Ratings Not Given"/>
    <n v="20990"/>
    <n v="16499"/>
  </r>
  <r>
    <x v="0"/>
    <x v="0"/>
    <x v="3"/>
    <n v="43"/>
    <n v="24999"/>
    <n v="31990"/>
    <x v="0"/>
    <m/>
    <n v="6991"/>
    <x v="2"/>
    <n v="-6991"/>
    <n v="-0.27965118604744188"/>
    <x v="0"/>
    <s v="Ratings Not Given"/>
    <n v="46990"/>
    <n v="29999"/>
  </r>
  <r>
    <x v="0"/>
    <x v="0"/>
    <x v="0"/>
    <n v="65"/>
    <n v="66999"/>
    <n v="84990"/>
    <x v="0"/>
    <n v="4.5"/>
    <n v="17991"/>
    <x v="2"/>
    <n v="-17991"/>
    <n v="-0.26852639591635696"/>
    <x v="0"/>
    <s v="Good Ratings"/>
    <n v="46990"/>
    <n v="29999"/>
  </r>
  <r>
    <x v="0"/>
    <x v="0"/>
    <x v="3"/>
    <n v="49"/>
    <n v="29999"/>
    <n v="51999"/>
    <x v="0"/>
    <m/>
    <n v="22000"/>
    <x v="3"/>
    <n v="-22000"/>
    <n v="-0.73335777859261975"/>
    <x v="0"/>
    <s v="Ratings Not Given"/>
    <n v="46990"/>
    <n v="29999"/>
  </r>
  <r>
    <x v="0"/>
    <x v="0"/>
    <x v="0"/>
    <n v="65"/>
    <n v="96999"/>
    <n v="133990"/>
    <x v="0"/>
    <m/>
    <n v="36991"/>
    <x v="0"/>
    <n v="-36991"/>
    <n v="-0.38135444695306137"/>
    <x v="0"/>
    <s v="Ratings Not Given"/>
    <n v="46990"/>
    <n v="29999"/>
  </r>
  <r>
    <x v="1"/>
    <x v="1"/>
    <x v="2"/>
    <n v="32"/>
    <n v="6166"/>
    <n v="19990"/>
    <x v="6"/>
    <n v="4.2"/>
    <n v="13824"/>
    <x v="6"/>
    <n v="-13824"/>
    <n v="-2.2419721050924424"/>
    <x v="1"/>
    <s v="Medium Ratings"/>
    <n v="77990"/>
    <n v="40999"/>
  </r>
  <r>
    <x v="1"/>
    <x v="1"/>
    <x v="2"/>
    <n v="24"/>
    <n v="6940"/>
    <n v="15490"/>
    <x v="6"/>
    <n v="4.2"/>
    <n v="8550"/>
    <x v="1"/>
    <n v="-8550"/>
    <n v="-1.2319884726224783"/>
    <x v="1"/>
    <s v="Medium Ratings"/>
    <n v="77990"/>
    <n v="40999"/>
  </r>
  <r>
    <x v="1"/>
    <x v="1"/>
    <x v="2"/>
    <n v="40"/>
    <n v="8679"/>
    <n v="29990"/>
    <x v="6"/>
    <n v="4"/>
    <n v="21311"/>
    <x v="6"/>
    <n v="-21311"/>
    <n v="-2.455467219725775"/>
    <x v="1"/>
    <s v="Medium Ratings"/>
    <n v="77990"/>
    <n v="40999"/>
  </r>
  <r>
    <x v="54"/>
    <x v="54"/>
    <x v="3"/>
    <n v="60"/>
    <n v="229900"/>
    <n v="229900"/>
    <x v="2"/>
    <m/>
    <n v="0"/>
    <x v="7"/>
    <n v="0"/>
    <n v="0"/>
    <x v="2"/>
    <s v="Ratings Not Given"/>
    <n v="127990"/>
    <n v="127990"/>
  </r>
  <r>
    <x v="54"/>
    <x v="54"/>
    <x v="3"/>
    <n v="46"/>
    <n v="151990"/>
    <n v="151990"/>
    <x v="2"/>
    <m/>
    <n v="0"/>
    <x v="7"/>
    <n v="0"/>
    <n v="0"/>
    <x v="2"/>
    <s v="Ratings Not Given"/>
    <n v="127990"/>
    <n v="127990"/>
  </r>
  <r>
    <x v="54"/>
    <x v="54"/>
    <x v="3"/>
    <n v="70"/>
    <n v="449900"/>
    <n v="449900"/>
    <x v="2"/>
    <m/>
    <n v="0"/>
    <x v="7"/>
    <n v="0"/>
    <n v="0"/>
    <x v="2"/>
    <s v="Ratings Not Given"/>
    <n v="127990"/>
    <n v="127990"/>
  </r>
  <r>
    <x v="54"/>
    <x v="54"/>
    <x v="3"/>
    <n v="52"/>
    <n v="199990"/>
    <n v="199990"/>
    <x v="2"/>
    <m/>
    <n v="0"/>
    <x v="7"/>
    <n v="0"/>
    <n v="0"/>
    <x v="2"/>
    <s v="Ratings Not Given"/>
    <n v="127990"/>
    <n v="127990"/>
  </r>
  <r>
    <x v="54"/>
    <x v="54"/>
    <x v="3"/>
    <n v="40"/>
    <n v="103990"/>
    <n v="103990"/>
    <x v="2"/>
    <m/>
    <n v="0"/>
    <x v="7"/>
    <n v="0"/>
    <n v="0"/>
    <x v="2"/>
    <s v="Ratings Not Given"/>
    <n v="127990"/>
    <n v="127990"/>
  </r>
  <r>
    <x v="54"/>
    <x v="54"/>
    <x v="2"/>
    <n v="32"/>
    <n v="15990"/>
    <n v="22500"/>
    <x v="2"/>
    <n v="3"/>
    <n v="6510"/>
    <x v="0"/>
    <n v="-6510"/>
    <n v="-0.4071294559099437"/>
    <x v="0"/>
    <s v="Bad Ratings"/>
    <n v="127990"/>
    <n v="127990"/>
  </r>
  <r>
    <x v="54"/>
    <x v="54"/>
    <x v="2"/>
    <n v="24"/>
    <n v="8220"/>
    <n v="14990"/>
    <x v="2"/>
    <n v="3.7"/>
    <n v="6770"/>
    <x v="5"/>
    <n v="-6770"/>
    <n v="-0.82360097323600978"/>
    <x v="1"/>
    <s v="Bad Ratings"/>
    <n v="127990"/>
    <n v="127990"/>
  </r>
  <r>
    <x v="25"/>
    <x v="25"/>
    <x v="0"/>
    <n v="43"/>
    <n v="30490"/>
    <n v="35350"/>
    <x v="2"/>
    <n v="4.0999999999999996"/>
    <n v="4860"/>
    <x v="4"/>
    <n v="-4860"/>
    <n v="-0.15939652345031158"/>
    <x v="2"/>
    <s v="Medium Ratings"/>
    <n v="35174.5"/>
    <n v="29990"/>
  </r>
  <r>
    <x v="25"/>
    <x v="25"/>
    <x v="0"/>
    <n v="55"/>
    <n v="40999"/>
    <n v="53290"/>
    <x v="2"/>
    <n v="4.2"/>
    <n v="12291"/>
    <x v="2"/>
    <n v="-12291"/>
    <n v="-0.29978779970243175"/>
    <x v="0"/>
    <s v="Medium Ratings"/>
    <n v="35174.5"/>
    <n v="29990"/>
  </r>
  <r>
    <x v="25"/>
    <x v="25"/>
    <x v="2"/>
    <n v="32"/>
    <n v="15290"/>
    <n v="20990"/>
    <x v="2"/>
    <m/>
    <n v="5700"/>
    <x v="0"/>
    <n v="-5700"/>
    <n v="-0.37279267495094831"/>
    <x v="0"/>
    <s v="Ratings Not Given"/>
    <n v="35174.5"/>
    <n v="29990"/>
  </r>
  <r>
    <x v="25"/>
    <x v="25"/>
    <x v="1"/>
    <n v="55"/>
    <n v="49900"/>
    <n v="72590"/>
    <x v="2"/>
    <n v="4.3"/>
    <n v="22690"/>
    <x v="0"/>
    <n v="-22690"/>
    <n v="-0.45470941883767535"/>
    <x v="0"/>
    <s v="Medium Ratings"/>
    <n v="35174.5"/>
    <n v="29990"/>
  </r>
  <r>
    <x v="25"/>
    <x v="25"/>
    <x v="0"/>
    <n v="65"/>
    <n v="47999"/>
    <n v="70290"/>
    <x v="2"/>
    <n v="4.0999999999999996"/>
    <n v="22291"/>
    <x v="0"/>
    <n v="-22291"/>
    <n v="-0.46440550844809264"/>
    <x v="0"/>
    <s v="Medium Ratings"/>
    <n v="35174.5"/>
    <n v="29990"/>
  </r>
  <r>
    <x v="25"/>
    <x v="25"/>
    <x v="3"/>
    <n v="49"/>
    <n v="25999"/>
    <n v="49999"/>
    <x v="1"/>
    <n v="4.3"/>
    <n v="24000"/>
    <x v="5"/>
    <n v="-24000"/>
    <n v="-0.92311242740105393"/>
    <x v="1"/>
    <s v="Medium Ratings"/>
    <n v="35174.5"/>
    <n v="29990"/>
  </r>
  <r>
    <x v="25"/>
    <x v="25"/>
    <x v="0"/>
    <n v="49"/>
    <n v="59990"/>
    <n v="59990"/>
    <x v="2"/>
    <m/>
    <n v="0"/>
    <x v="7"/>
    <n v="0"/>
    <n v="0"/>
    <x v="2"/>
    <s v="Ratings Not Given"/>
    <n v="35174.5"/>
    <n v="29990"/>
  </r>
  <r>
    <x v="25"/>
    <x v="25"/>
    <x v="2"/>
    <n v="24"/>
    <n v="10500"/>
    <n v="14900"/>
    <x v="1"/>
    <m/>
    <n v="4400"/>
    <x v="0"/>
    <n v="-4400"/>
    <n v="-0.41904761904761906"/>
    <x v="0"/>
    <s v="Ratings Not Given"/>
    <n v="35174.5"/>
    <n v="29990"/>
  </r>
  <r>
    <x v="15"/>
    <x v="15"/>
    <x v="0"/>
    <n v="55"/>
    <n v="79290"/>
    <n v="109900"/>
    <x v="2"/>
    <n v="4.7"/>
    <n v="30610"/>
    <x v="0"/>
    <n v="-30610"/>
    <n v="-0.38605120443939966"/>
    <x v="0"/>
    <s v="Good Ratings"/>
    <n v="87400"/>
    <n v="64294.5"/>
  </r>
  <r>
    <x v="15"/>
    <x v="15"/>
    <x v="3"/>
    <n v="43"/>
    <n v="44900"/>
    <n v="44900"/>
    <x v="2"/>
    <n v="4.5999999999999996"/>
    <n v="0"/>
    <x v="7"/>
    <n v="0"/>
    <n v="0"/>
    <x v="2"/>
    <s v="Good Ratings"/>
    <n v="87400"/>
    <n v="64294.5"/>
  </r>
  <r>
    <x v="15"/>
    <x v="15"/>
    <x v="0"/>
    <n v="65"/>
    <n v="118641"/>
    <n v="183249"/>
    <x v="2"/>
    <n v="4.7"/>
    <n v="64608"/>
    <x v="3"/>
    <n v="-64608"/>
    <n v="-0.54456722380964417"/>
    <x v="0"/>
    <s v="Good Ratings"/>
    <n v="87400"/>
    <n v="64294.5"/>
  </r>
  <r>
    <x v="15"/>
    <x v="15"/>
    <x v="0"/>
    <n v="50"/>
    <n v="83491"/>
    <n v="99913"/>
    <x v="2"/>
    <n v="4.7"/>
    <n v="16422"/>
    <x v="2"/>
    <n v="-16422"/>
    <n v="-0.19669185900276676"/>
    <x v="0"/>
    <s v="Good Ratings"/>
    <n v="87400"/>
    <n v="64294.5"/>
  </r>
  <r>
    <x v="15"/>
    <x v="15"/>
    <x v="3"/>
    <n v="43"/>
    <n v="53423"/>
    <n v="53423"/>
    <x v="2"/>
    <n v="4.4000000000000004"/>
    <n v="0"/>
    <x v="7"/>
    <n v="0"/>
    <n v="0"/>
    <x v="2"/>
    <s v="Medium Ratings"/>
    <n v="87400"/>
    <n v="64294.5"/>
  </r>
  <r>
    <x v="15"/>
    <x v="15"/>
    <x v="3"/>
    <n v="40"/>
    <n v="29999"/>
    <n v="49900"/>
    <x v="2"/>
    <n v="4.4000000000000004"/>
    <n v="19901"/>
    <x v="3"/>
    <n v="-19901"/>
    <n v="-0.66338877962598752"/>
    <x v="0"/>
    <s v="Medium Ratings"/>
    <n v="87400"/>
    <n v="64294.5"/>
  </r>
  <r>
    <x v="15"/>
    <x v="15"/>
    <x v="2"/>
    <n v="32"/>
    <n v="25990"/>
    <n v="31990"/>
    <x v="2"/>
    <n v="4.4000000000000004"/>
    <n v="6000"/>
    <x v="2"/>
    <n v="-6000"/>
    <n v="-0.2308580223162755"/>
    <x v="0"/>
    <s v="Medium Ratings"/>
    <n v="87400"/>
    <n v="64294.5"/>
  </r>
  <r>
    <x v="15"/>
    <x v="15"/>
    <x v="3"/>
    <n v="32"/>
    <n v="21223"/>
    <n v="33900"/>
    <x v="2"/>
    <n v="4.5"/>
    <n v="12677"/>
    <x v="3"/>
    <n v="-12677"/>
    <n v="-0.5973236582952457"/>
    <x v="0"/>
    <s v="Good Ratings"/>
    <n v="87400"/>
    <n v="64294.5"/>
  </r>
  <r>
    <x v="15"/>
    <x v="15"/>
    <x v="0"/>
    <n v="49"/>
    <n v="54999"/>
    <n v="114900"/>
    <x v="2"/>
    <n v="4.5999999999999996"/>
    <n v="59901"/>
    <x v="5"/>
    <n v="-59901"/>
    <n v="-1.0891288932526046"/>
    <x v="1"/>
    <s v="Good Ratings"/>
    <n v="87400"/>
    <n v="64294.5"/>
  </r>
  <r>
    <x v="15"/>
    <x v="15"/>
    <x v="3"/>
    <n v="43"/>
    <n v="44999"/>
    <n v="57900"/>
    <x v="2"/>
    <n v="4.4000000000000004"/>
    <n v="12901"/>
    <x v="2"/>
    <n v="-12901"/>
    <n v="-0.28669525989466432"/>
    <x v="0"/>
    <s v="Medium Ratings"/>
    <n v="87400"/>
    <n v="64294.5"/>
  </r>
  <r>
    <x v="15"/>
    <x v="15"/>
    <x v="3"/>
    <n v="40"/>
    <n v="41499"/>
    <n v="51900"/>
    <x v="2"/>
    <n v="4.5999999999999996"/>
    <n v="10401"/>
    <x v="2"/>
    <n v="-10401"/>
    <n v="-0.25063254536253887"/>
    <x v="0"/>
    <s v="Good Ratings"/>
    <n v="87400"/>
    <n v="64294.5"/>
  </r>
  <r>
    <x v="15"/>
    <x v="15"/>
    <x v="0"/>
    <n v="65"/>
    <n v="149990"/>
    <n v="184990"/>
    <x v="2"/>
    <n v="4.3"/>
    <n v="35000"/>
    <x v="2"/>
    <n v="-35000"/>
    <n v="-0.23334888992599506"/>
    <x v="0"/>
    <s v="Medium Ratings"/>
    <n v="87400"/>
    <n v="64294.5"/>
  </r>
  <r>
    <x v="15"/>
    <x v="15"/>
    <x v="2"/>
    <n v="32"/>
    <n v="32900"/>
    <n v="32900"/>
    <x v="2"/>
    <n v="4.4000000000000004"/>
    <n v="0"/>
    <x v="7"/>
    <n v="0"/>
    <n v="0"/>
    <x v="2"/>
    <s v="Medium Ratings"/>
    <n v="87400"/>
    <n v="64294.5"/>
  </r>
  <r>
    <x v="15"/>
    <x v="15"/>
    <x v="3"/>
    <n v="43"/>
    <n v="56900"/>
    <n v="56900"/>
    <x v="2"/>
    <n v="4.5999999999999996"/>
    <n v="0"/>
    <x v="7"/>
    <n v="0"/>
    <n v="0"/>
    <x v="2"/>
    <s v="Good Ratings"/>
    <n v="87400"/>
    <n v="64294.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4488FA0-1723-41F4-96D9-168DECEA81DB}" name="KPI's" cacheId="110" applyNumberFormats="0" applyBorderFormats="0" applyFontFormats="0" applyPatternFormats="0" applyAlignmentFormats="0" applyWidthHeightFormats="1" dataCaption="Values" tag="7ff1b58b-ad5a-4125-a70e-dc3b9ccad851" updatedVersion="8" minRefreshableVersion="3" useAutoFormatting="1" subtotalHiddenItems="1" itemPrintTitles="1" createdVersion="8" indent="0" outline="1" outlineData="1" multipleFieldFilters="0">
  <location ref="A3:C4" firstHeaderRow="0" firstDataRow="1" firstDataCol="0"/>
  <pivotFields count="4">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3">
    <i>
      <x/>
    </i>
    <i i="1">
      <x v="1"/>
    </i>
    <i i="2">
      <x v="2"/>
    </i>
  </colItems>
  <dataFields count="3">
    <dataField name="Sum of Selling Price" fld="0" baseField="0" baseItem="0" numFmtId="164"/>
    <dataField name="Sum of Original Price" fld="1" baseField="0" baseItem="0" numFmtId="164"/>
    <dataField name="Average of Discount%" fld="2" subtotal="average" baseField="0" baseItem="1" numFmtId="10"/>
  </dataFields>
  <formats count="2">
    <format dxfId="26">
      <pivotArea outline="0" collapsedLevelsAreSubtotals="1" fieldPosition="0">
        <references count="1">
          <reference field="4294967294" count="1" selected="0">
            <x v="2"/>
          </reference>
        </references>
      </pivotArea>
    </format>
    <format dxfId="25">
      <pivotArea outline="0" collapsedLevelsAreSubtotals="1" fieldPosition="0">
        <references count="1">
          <reference field="4294967294" count="2" selected="0">
            <x v="0"/>
            <x v="1"/>
          </reference>
        </references>
      </pivotArea>
    </format>
  </formats>
  <pivotHierarchies count="4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caption="Average of Discount%"/>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TV_Final 2.xlsx!Table4">
        <x15:activeTabTopLevelEntity name="[Table4]"/>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26D64F0-F499-402E-96D9-19482B7692A5}" name="PivotTable2" cacheId="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D26:E27" firstHeaderRow="0" firstDataRow="1" firstDataCol="0"/>
  <pivotFields count="3">
    <pivotField allDrilled="1" showAll="0" measureFilter="1" defaultAttributeDrillState="1">
      <items count="16">
        <item x="0"/>
        <item x="1"/>
        <item x="2"/>
        <item x="3"/>
        <item x="4"/>
        <item x="5"/>
        <item x="6"/>
        <item x="7"/>
        <item x="8"/>
        <item x="9"/>
        <item x="10"/>
        <item x="11"/>
        <item x="12"/>
        <item x="13"/>
        <item x="14"/>
        <item t="default"/>
      </items>
    </pivotField>
    <pivotField dataField="1" showAll="0"/>
    <pivotField dataField="1" showAll="0"/>
  </pivotFields>
  <rowItems count="1">
    <i/>
  </rowItems>
  <colFields count="1">
    <field x="-2"/>
  </colFields>
  <colItems count="2">
    <i>
      <x/>
    </i>
    <i i="1">
      <x v="1"/>
    </i>
  </colItems>
  <dataFields count="2">
    <dataField fld="1" subtotal="count" baseField="0" baseItem="0"/>
    <dataField fld="2" subtotal="count" baseField="0" baseItem="0"/>
  </dataFields>
  <formats count="1">
    <format dxfId="27">
      <pivotArea outline="0" collapsedLevelsAreSubtotals="1" fieldPosition="0"/>
    </format>
  </formats>
  <pivotHierarchies count="4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caption="Average of Discount%"/>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3" iMeasureHier="28">
      <autoFilter ref="A1">
        <filterColumn colId="0">
          <top10 val="15" filterVal="15"/>
        </filterColumn>
      </autoFilter>
    </filter>
  </filters>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TV_Final 2.xlsx!Table4">
        <x15:activeTabTopLevelEntity name="[Table4]"/>
      </x15:pivotTableUISettings>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B97C1C7-88BB-4644-8A4D-25E844E4B9CE}"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M24:O41" firstHeaderRow="1" firstDataRow="1" firstDataCol="0"/>
  <pivotFields count="16">
    <pivotField showAll="0"/>
    <pivotField showAll="0"/>
    <pivotField showAll="0">
      <items count="6">
        <item x="3"/>
        <item x="2"/>
        <item x="4"/>
        <item x="1"/>
        <item x="0"/>
        <item t="default"/>
      </items>
    </pivotField>
    <pivotField showAll="0"/>
    <pivotField showAll="0"/>
    <pivotField showAll="0"/>
    <pivotField showAll="0"/>
    <pivotField showAll="0"/>
    <pivotField showAll="0"/>
    <pivotField numFmtId="9" showAll="0"/>
    <pivotField showAll="0"/>
    <pivotField numFmtId="9" showAll="0"/>
    <pivotField showAll="0"/>
    <pivotField showAll="0"/>
    <pivotField numFmtId="166" showAll="0"/>
    <pivotField numFmtId="165"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F1C1A23-AF22-4137-B0C4-0CC4B99E8CB8}" name="PivotTable4" cacheId="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T6:W45" firstHeaderRow="0" firstDataRow="1" firstDataCol="2"/>
  <pivotFields count="16">
    <pivotField compact="0" outline="0" showAll="0"/>
    <pivotField compact="0" outline="0" showAll="0"/>
    <pivotField axis="axisRow" compact="0" outline="0" showAll="0">
      <items count="6">
        <item x="3"/>
        <item x="2"/>
        <item x="4"/>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axis="axisRow" compact="0" numFmtId="9" outline="0" showAll="0">
      <items count="9">
        <item x="7"/>
        <item x="4"/>
        <item x="2"/>
        <item x="0"/>
        <item x="3"/>
        <item x="5"/>
        <item x="1"/>
        <item x="6"/>
        <item t="default"/>
      </items>
    </pivotField>
    <pivotField compact="0" outline="0" showAll="0"/>
    <pivotField compact="0" numFmtId="9" outline="0" showAll="0"/>
    <pivotField compact="0" outline="0" showAll="0"/>
    <pivotField compact="0" outline="0" showAll="0"/>
    <pivotField dataField="1" compact="0" numFmtId="166" outline="0" showAll="0"/>
    <pivotField dataField="1" compact="0" numFmtId="165" outline="0" showAll="0"/>
  </pivotFields>
  <rowFields count="2">
    <field x="2"/>
    <field x="9"/>
  </rowFields>
  <rowItems count="39">
    <i>
      <x/>
      <x/>
    </i>
    <i r="1">
      <x v="1"/>
    </i>
    <i r="1">
      <x v="2"/>
    </i>
    <i r="1">
      <x v="3"/>
    </i>
    <i r="1">
      <x v="4"/>
    </i>
    <i r="1">
      <x v="5"/>
    </i>
    <i r="1">
      <x v="6"/>
    </i>
    <i r="1">
      <x v="7"/>
    </i>
    <i t="default">
      <x/>
    </i>
    <i>
      <x v="1"/>
      <x/>
    </i>
    <i r="1">
      <x v="1"/>
    </i>
    <i r="1">
      <x v="2"/>
    </i>
    <i r="1">
      <x v="3"/>
    </i>
    <i r="1">
      <x v="4"/>
    </i>
    <i r="1">
      <x v="5"/>
    </i>
    <i r="1">
      <x v="6"/>
    </i>
    <i r="1">
      <x v="7"/>
    </i>
    <i t="default">
      <x v="1"/>
    </i>
    <i>
      <x v="2"/>
      <x/>
    </i>
    <i t="default">
      <x v="2"/>
    </i>
    <i>
      <x v="3"/>
      <x/>
    </i>
    <i r="1">
      <x v="1"/>
    </i>
    <i r="1">
      <x v="2"/>
    </i>
    <i r="1">
      <x v="3"/>
    </i>
    <i r="1">
      <x v="4"/>
    </i>
    <i r="1">
      <x v="5"/>
    </i>
    <i r="1">
      <x v="6"/>
    </i>
    <i r="1">
      <x v="7"/>
    </i>
    <i t="default">
      <x v="3"/>
    </i>
    <i>
      <x v="4"/>
      <x/>
    </i>
    <i r="1">
      <x v="1"/>
    </i>
    <i r="1">
      <x v="2"/>
    </i>
    <i r="1">
      <x v="3"/>
    </i>
    <i r="1">
      <x v="4"/>
    </i>
    <i r="1">
      <x v="5"/>
    </i>
    <i r="1">
      <x v="6"/>
    </i>
    <i r="1">
      <x v="7"/>
    </i>
    <i t="default">
      <x v="4"/>
    </i>
    <i t="grand">
      <x/>
    </i>
  </rowItems>
  <colFields count="1">
    <field x="-2"/>
  </colFields>
  <colItems count="2">
    <i>
      <x/>
    </i>
    <i i="1">
      <x v="1"/>
    </i>
  </colItems>
  <dataFields count="2">
    <dataField name="Sum of Median for Original" fld="14" baseField="0" baseItem="0"/>
    <dataField name="Sum of Median for Selling" fld="1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3F0B3D3-196D-425F-8225-D08B7C5D0CD8}" name="PivotTable3" cacheId="116" applyNumberFormats="0" applyBorderFormats="0" applyFontFormats="0" applyPatternFormats="0" applyAlignmentFormats="0" applyWidthHeightFormats="1" dataCaption="Values" updatedVersion="8" minRefreshableVersion="3" useAutoFormatting="1" subtotalHiddenItems="1" colGrandTotals="0" itemPrintTitles="1" createdVersion="8" indent="0" outline="1" outlineData="1" multipleFieldFilters="0">
  <location ref="E64:H65" firstHeaderRow="1" firstDataRow="2" firstDataCol="0"/>
  <pivotFields count="2">
    <pivotField allDrilled="1" showAll="0" measureFilter="1" defaultAttributeDrillState="1">
      <items count="16">
        <item x="0"/>
        <item x="1"/>
        <item x="2"/>
        <item x="3"/>
        <item x="4"/>
        <item x="5"/>
        <item x="6"/>
        <item x="7"/>
        <item x="8"/>
        <item x="9"/>
        <item x="10"/>
        <item x="11"/>
        <item x="12"/>
        <item x="13"/>
        <item x="14"/>
        <item t="default"/>
      </items>
    </pivotField>
    <pivotField axis="axisCol" allDrilled="1" showAll="0" dataSourceSort="1" defaultAttributeDrillState="1">
      <items count="5">
        <item x="0"/>
        <item x="1"/>
        <item x="2"/>
        <item x="3"/>
        <item t="default"/>
      </items>
    </pivotField>
  </pivotFields>
  <colFields count="1">
    <field x="1"/>
  </colFields>
  <colItems count="4">
    <i>
      <x/>
    </i>
    <i>
      <x v="1"/>
    </i>
    <i>
      <x v="2"/>
    </i>
    <i>
      <x v="3"/>
    </i>
  </colItems>
  <formats count="1">
    <format dxfId="28">
      <pivotArea outline="0" collapsedLevelsAreSubtotals="1" fieldPosition="0"/>
    </format>
  </formats>
  <pivotHierarchies count="4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caption="Average of Discount%"/>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3" iMeasureHier="28">
      <autoFilter ref="A1">
        <filterColumn colId="0">
          <top10 val="15" filterVal="15"/>
        </filterColumn>
      </autoFilter>
    </filter>
  </filters>
  <colHierarchiesUsage count="1">
    <colHierarchyUsage hierarchyUsage="27"/>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TV_Final 2.xlsx!Table4">
        <x15:activeTabTopLevelEntity name="[Table4]"/>
      </x15:pivotTableUISettings>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611A44B-86E0-431F-B267-D36651C78758}" name="PivotTable1" cacheId="11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J45:K56" firstHeaderRow="1" firstDataRow="1" firstDataCol="1"/>
  <pivotFields count="3">
    <pivotField axis="axisRow" allDrilled="1" subtotalTop="0" showAll="0" measureFilter="1" sortType="ascending" defaultSubtotal="0" defaultAttributeDrillState="1">
      <items count="10">
        <item x="0"/>
        <item x="1"/>
        <item x="2"/>
        <item x="3"/>
        <item x="4"/>
        <item x="5"/>
        <item x="6"/>
        <item x="7"/>
        <item x="8"/>
        <item x="9"/>
      </items>
    </pivotField>
    <pivotField dataField="1" subtotalTop="0" showAll="0" defaultSubtotal="0"/>
    <pivotField allDrilled="1" subtotalTop="0" showAll="0" dataSourceSort="1" defaultSubtotal="0" defaultAttributeDrillState="1"/>
  </pivotFields>
  <rowFields count="1">
    <field x="0"/>
  </rowFields>
  <rowItems count="11">
    <i>
      <x/>
    </i>
    <i>
      <x v="1"/>
    </i>
    <i>
      <x v="2"/>
    </i>
    <i>
      <x v="3"/>
    </i>
    <i>
      <x v="4"/>
    </i>
    <i>
      <x v="5"/>
    </i>
    <i>
      <x v="6"/>
    </i>
    <i>
      <x v="7"/>
    </i>
    <i>
      <x v="8"/>
    </i>
    <i>
      <x v="9"/>
    </i>
    <i t="grand">
      <x/>
    </i>
  </rowItems>
  <colItems count="1">
    <i/>
  </colItems>
  <dataFields count="1">
    <dataField name="Sum of Discount" fld="1" baseField="0" baseItem="0"/>
  </dataFields>
  <formats count="2">
    <format dxfId="30">
      <pivotArea outline="0" collapsedLevelsAreSubtotals="1" fieldPosition="0"/>
    </format>
    <format dxfId="29">
      <pivotArea collapsedLevelsAreSubtotals="1" fieldPosition="0">
        <references count="1">
          <reference field="0" count="0"/>
        </references>
      </pivotArea>
    </format>
  </formats>
  <pivotHierarchies count="4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caption="Average of Discount%"/>
    <pivotHierarchy dragToData="1"/>
    <pivotHierarchy dragToData="1"/>
    <pivotHierarchy dragToData="1" caption="Max of Discount"/>
    <pivotHierarchy dragToData="1" caption="Max of Discount%"/>
    <pivotHierarchy dragToData="1"/>
    <pivotHierarchy dragToData="1" caption="Count of Discount%"/>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4" iMeasureHier="32">
      <autoFilter ref="A1">
        <filterColumn colId="0">
          <top10 val="10" filterVal="10"/>
        </filterColumn>
      </autoFilter>
    </filter>
  </filters>
  <rowHierarchiesUsage count="1">
    <rowHierarchyUsage hierarchyUsage="1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TV_Final 2.xlsx!Table4">
        <x15:activeTabTopLevelEntity name="[Table4]"/>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DA249E8-EA41-4663-BA3A-F11372261353}" name="Brand vs Selling" cacheId="107" applyNumberFormats="0" applyBorderFormats="0" applyFontFormats="0" applyPatternFormats="0" applyAlignmentFormats="0" applyWidthHeightFormats="1" dataCaption="Values" tag="8618350a-d87a-4147-90cc-399a716968d2" updatedVersion="8" minRefreshableVersion="3" useAutoFormatting="1" subtotalHiddenItems="1" itemPrintTitles="1" createdVersion="8" indent="0" outline="1" outlineData="1" multipleFieldFilters="0">
  <location ref="A7:C23" firstHeaderRow="0" firstDataRow="1" firstDataCol="1"/>
  <pivotFields count="4">
    <pivotField dataField="1" subtotalTop="0" showAll="0" defaultSubtotal="0"/>
    <pivotField axis="axisRow" allDrilled="1" showAll="0" measureFilter="1" sortType="descending" defaultAttributeDrillState="1">
      <items count="16">
        <item x="0"/>
        <item x="1"/>
        <item x="2"/>
        <item x="3"/>
        <item x="4"/>
        <item x="5"/>
        <item x="6"/>
        <item x="7"/>
        <item x="8"/>
        <item x="9"/>
        <item x="10"/>
        <item x="11"/>
        <item x="12"/>
        <item x="13"/>
        <item x="14"/>
        <item t="default"/>
      </items>
      <autoSortScope>
        <pivotArea dataOnly="0" outline="0" fieldPosition="0">
          <references count="1">
            <reference field="4294967294" count="1" selected="0">
              <x v="0"/>
            </reference>
          </references>
        </pivotArea>
      </autoSortScope>
    </pivotField>
    <pivotField dataField="1" subtotalTop="0" showAll="0" defaultSubtotal="0"/>
    <pivotField allDrilled="1" showAll="0" dataSourceSort="1" defaultAttributeDrillState="1"/>
  </pivotFields>
  <rowFields count="1">
    <field x="1"/>
  </rowFields>
  <rowItems count="16">
    <i>
      <x v="9"/>
    </i>
    <i>
      <x v="3"/>
    </i>
    <i>
      <x v="12"/>
    </i>
    <i>
      <x v="13"/>
    </i>
    <i>
      <x v="7"/>
    </i>
    <i>
      <x v="11"/>
    </i>
    <i>
      <x v="14"/>
    </i>
    <i>
      <x v="2"/>
    </i>
    <i>
      <x v="1"/>
    </i>
    <i>
      <x v="4"/>
    </i>
    <i>
      <x v="10"/>
    </i>
    <i>
      <x v="6"/>
    </i>
    <i>
      <x/>
    </i>
    <i>
      <x v="5"/>
    </i>
    <i>
      <x v="8"/>
    </i>
    <i t="grand">
      <x/>
    </i>
  </rowItems>
  <colFields count="1">
    <field x="-2"/>
  </colFields>
  <colItems count="2">
    <i>
      <x/>
    </i>
    <i i="1">
      <x v="1"/>
    </i>
  </colItems>
  <dataFields count="2">
    <dataField name="Sum of Selling Price" fld="0" baseField="0" baseItem="0" numFmtId="164"/>
    <dataField name="Sum of Original Price" fld="2" baseField="0" baseItem="0"/>
  </dataFields>
  <formats count="1">
    <format dxfId="31">
      <pivotArea outline="0" collapsedLevelsAreSubtotals="1" fieldPosition="0"/>
    </format>
  </formats>
  <pivotHierarchies count="4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caption="Average of Discount%"/>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1" type="count" id="3" iMeasureHier="28">
      <autoFilter ref="A1">
        <filterColumn colId="0">
          <top10 val="15" filterVal="15"/>
        </filterColumn>
      </autoFilter>
    </filter>
  </filters>
  <rowHierarchiesUsage count="1">
    <rowHierarchyUsage hierarchyUsage="1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TV_Final 2.xlsx!Table4">
        <x15:activeTabTopLevelEntity name="[Table4]"/>
      </x15:pivotTableUISettings>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327C187-3DD4-4C0E-8E5D-402000FFA032}" name="PivotTable1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62" firstHeaderRow="0" firstDataRow="1" firstDataCol="1"/>
  <pivotFields count="16">
    <pivotField showAll="0"/>
    <pivotField axis="axisRow" showAll="0">
      <items count="59">
        <item x="19"/>
        <item x="21"/>
        <item x="57"/>
        <item x="40"/>
        <item x="20"/>
        <item x="36"/>
        <item x="27"/>
        <item x="37"/>
        <item x="43"/>
        <item x="9"/>
        <item x="26"/>
        <item x="53"/>
        <item x="46"/>
        <item x="28"/>
        <item x="48"/>
        <item x="29"/>
        <item x="5"/>
        <item x="44"/>
        <item x="8"/>
        <item x="35"/>
        <item x="11"/>
        <item x="45"/>
        <item x="47"/>
        <item x="16"/>
        <item x="55"/>
        <item x="6"/>
        <item x="32"/>
        <item x="33"/>
        <item x="7"/>
        <item x="50"/>
        <item x="3"/>
        <item x="24"/>
        <item x="17"/>
        <item x="52"/>
        <item x="13"/>
        <item x="4"/>
        <item x="30"/>
        <item x="34"/>
        <item x="38"/>
        <item x="23"/>
        <item x="18"/>
        <item x="39"/>
        <item x="2"/>
        <item x="31"/>
        <item x="10"/>
        <item x="25"/>
        <item x="51"/>
        <item x="54"/>
        <item x="49"/>
        <item x="15"/>
        <item x="42"/>
        <item x="1"/>
        <item x="14"/>
        <item x="0"/>
        <item x="22"/>
        <item x="41"/>
        <item x="12"/>
        <item x="56"/>
        <item t="default"/>
      </items>
    </pivotField>
    <pivotField showAll="0">
      <items count="6">
        <item x="3"/>
        <item x="2"/>
        <item x="4"/>
        <item x="1"/>
        <item x="0"/>
        <item t="default"/>
      </items>
    </pivotField>
    <pivotField showAll="0"/>
    <pivotField showAll="0"/>
    <pivotField showAll="0"/>
    <pivotField showAll="0"/>
    <pivotField showAll="0"/>
    <pivotField showAll="0"/>
    <pivotField numFmtId="9" showAll="0"/>
    <pivotField showAll="0"/>
    <pivotField numFmtId="9" showAll="0"/>
    <pivotField showAll="0">
      <items count="4">
        <item x="1"/>
        <item x="2"/>
        <item x="0"/>
        <item t="default"/>
      </items>
    </pivotField>
    <pivotField showAll="0"/>
    <pivotField dataField="1" numFmtId="166" showAll="0"/>
    <pivotField dataField="1" numFmtId="165" showAll="0"/>
  </pivotFields>
  <rowFields count="1">
    <field x="1"/>
  </rowFields>
  <rowItems count="5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t="grand">
      <x/>
    </i>
  </rowItems>
  <colFields count="1">
    <field x="-2"/>
  </colFields>
  <colItems count="2">
    <i>
      <x/>
    </i>
    <i i="1">
      <x v="1"/>
    </i>
  </colItems>
  <dataFields count="2">
    <dataField name="Sum of Median for Original" fld="14" baseField="1" baseItem="0" numFmtId="165"/>
    <dataField name="Sum of Median for Selling" fld="15" baseField="1" baseItem="0" numFmtId="165"/>
  </dataFields>
  <formats count="2">
    <format dxfId="24">
      <pivotArea outline="0" collapsedLevelsAreSubtotals="1" fieldPosition="0">
        <references count="1">
          <reference field="4294967294" count="1" selected="0">
            <x v="0"/>
          </reference>
        </references>
      </pivotArea>
    </format>
    <format dxfId="23">
      <pivotArea dataOnly="0" labelOnly="1"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5FF2C9A-6214-426A-B84B-04AAC60FDFCC}" name="PivotTable2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I23:J31" firstHeaderRow="1" firstDataRow="1" firstDataCol="1"/>
  <pivotFields count="16">
    <pivotField showAll="0"/>
    <pivotField showAll="0">
      <items count="59">
        <item x="19"/>
        <item x="21"/>
        <item x="57"/>
        <item x="40"/>
        <item x="20"/>
        <item x="36"/>
        <item x="27"/>
        <item x="37"/>
        <item x="43"/>
        <item x="9"/>
        <item x="26"/>
        <item x="53"/>
        <item x="46"/>
        <item x="28"/>
        <item x="48"/>
        <item x="29"/>
        <item x="5"/>
        <item x="44"/>
        <item x="8"/>
        <item x="35"/>
        <item x="11"/>
        <item x="45"/>
        <item x="47"/>
        <item x="16"/>
        <item x="55"/>
        <item x="6"/>
        <item x="32"/>
        <item x="33"/>
        <item x="7"/>
        <item x="50"/>
        <item x="3"/>
        <item x="24"/>
        <item x="17"/>
        <item x="52"/>
        <item x="13"/>
        <item x="4"/>
        <item x="30"/>
        <item x="34"/>
        <item x="38"/>
        <item x="23"/>
        <item x="18"/>
        <item x="39"/>
        <item x="2"/>
        <item x="31"/>
        <item x="10"/>
        <item x="25"/>
        <item x="51"/>
        <item x="54"/>
        <item x="49"/>
        <item x="15"/>
        <item x="42"/>
        <item x="1"/>
        <item x="14"/>
        <item x="0"/>
        <item x="22"/>
        <item x="41"/>
        <item x="12"/>
        <item x="56"/>
        <item t="default"/>
      </items>
    </pivotField>
    <pivotField showAll="0">
      <items count="6">
        <item x="3"/>
        <item x="2"/>
        <item x="4"/>
        <item x="1"/>
        <item x="0"/>
        <item t="default"/>
      </items>
    </pivotField>
    <pivotField showAll="0"/>
    <pivotField dataField="1" showAll="0"/>
    <pivotField showAll="0"/>
    <pivotField axis="axisRow" showAll="0" sortType="descending">
      <items count="9">
        <item x="1"/>
        <item x="7"/>
        <item x="6"/>
        <item x="2"/>
        <item x="4"/>
        <item x="0"/>
        <item x="5"/>
        <item h="1" x="3"/>
        <item t="default"/>
      </items>
      <autoSortScope>
        <pivotArea dataOnly="0" outline="0" fieldPosition="0">
          <references count="1">
            <reference field="4294967294" count="1" selected="0">
              <x v="0"/>
            </reference>
          </references>
        </pivotArea>
      </autoSortScope>
    </pivotField>
    <pivotField showAll="0"/>
    <pivotField showAll="0"/>
    <pivotField numFmtId="9" showAll="0"/>
    <pivotField showAll="0"/>
    <pivotField numFmtId="9" showAll="0"/>
    <pivotField showAll="0">
      <items count="4">
        <item x="1"/>
        <item x="2"/>
        <item x="0"/>
        <item t="default"/>
      </items>
    </pivotField>
    <pivotField showAll="0"/>
    <pivotField numFmtId="166" showAll="0"/>
    <pivotField numFmtId="165" showAll="0"/>
  </pivotFields>
  <rowFields count="1">
    <field x="6"/>
  </rowFields>
  <rowItems count="8">
    <i>
      <x/>
    </i>
    <i>
      <x v="4"/>
    </i>
    <i>
      <x v="6"/>
    </i>
    <i>
      <x v="3"/>
    </i>
    <i>
      <x v="2"/>
    </i>
    <i>
      <x v="5"/>
    </i>
    <i>
      <x v="1"/>
    </i>
    <i t="grand">
      <x/>
    </i>
  </rowItems>
  <colItems count="1">
    <i/>
  </colItems>
  <dataFields count="1">
    <dataField name="Sum of Selling Price" fld="4"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3524455-E9CA-43C7-B6D3-946A9F4D4D0F}" name="PivotTable16" cacheId="1"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location ref="G4:O11" firstHeaderRow="1" firstDataRow="2" firstDataCol="1"/>
  <pivotFields count="16">
    <pivotField showAll="0"/>
    <pivotField showAll="0">
      <items count="59">
        <item x="19"/>
        <item x="21"/>
        <item x="57"/>
        <item x="40"/>
        <item x="20"/>
        <item x="36"/>
        <item x="27"/>
        <item x="37"/>
        <item x="43"/>
        <item x="9"/>
        <item x="26"/>
        <item x="53"/>
        <item x="46"/>
        <item x="28"/>
        <item x="48"/>
        <item x="29"/>
        <item x="5"/>
        <item x="44"/>
        <item x="8"/>
        <item x="35"/>
        <item x="11"/>
        <item x="45"/>
        <item x="47"/>
        <item x="16"/>
        <item x="55"/>
        <item x="6"/>
        <item x="32"/>
        <item x="33"/>
        <item x="7"/>
        <item x="50"/>
        <item x="3"/>
        <item x="24"/>
        <item x="17"/>
        <item x="52"/>
        <item x="13"/>
        <item x="4"/>
        <item x="30"/>
        <item x="34"/>
        <item x="38"/>
        <item x="23"/>
        <item x="18"/>
        <item x="39"/>
        <item x="2"/>
        <item x="31"/>
        <item x="10"/>
        <item x="25"/>
        <item x="51"/>
        <item x="54"/>
        <item x="49"/>
        <item x="15"/>
        <item x="42"/>
        <item x="1"/>
        <item x="14"/>
        <item x="0"/>
        <item x="22"/>
        <item x="41"/>
        <item x="12"/>
        <item x="56"/>
        <item t="default"/>
      </items>
    </pivotField>
    <pivotField axis="axisRow" showAll="0">
      <items count="6">
        <item x="3"/>
        <item x="2"/>
        <item x="4"/>
        <item x="1"/>
        <item x="0"/>
        <item t="default"/>
      </items>
    </pivotField>
    <pivotField showAll="0"/>
    <pivotField showAll="0"/>
    <pivotField dataField="1" showAll="0"/>
    <pivotField showAll="0"/>
    <pivotField showAll="0"/>
    <pivotField showAll="0"/>
    <pivotField axis="axisCol" numFmtId="9" showAll="0">
      <items count="9">
        <item x="7"/>
        <item x="4"/>
        <item x="2"/>
        <item x="0"/>
        <item x="3"/>
        <item x="5"/>
        <item x="1"/>
        <item x="6"/>
        <item t="default"/>
      </items>
    </pivotField>
    <pivotField showAll="0"/>
    <pivotField numFmtId="9" showAll="0"/>
    <pivotField showAll="0">
      <items count="4">
        <item x="1"/>
        <item x="2"/>
        <item x="0"/>
        <item t="default"/>
      </items>
    </pivotField>
    <pivotField showAll="0"/>
    <pivotField numFmtId="166" showAll="0"/>
    <pivotField numFmtId="165" showAll="0"/>
  </pivotFields>
  <rowFields count="1">
    <field x="2"/>
  </rowFields>
  <rowItems count="6">
    <i>
      <x/>
    </i>
    <i>
      <x v="1"/>
    </i>
    <i>
      <x v="2"/>
    </i>
    <i>
      <x v="3"/>
    </i>
    <i>
      <x v="4"/>
    </i>
    <i t="grand">
      <x/>
    </i>
  </rowItems>
  <colFields count="1">
    <field x="9"/>
  </colFields>
  <colItems count="8">
    <i>
      <x/>
    </i>
    <i>
      <x v="1"/>
    </i>
    <i>
      <x v="2"/>
    </i>
    <i>
      <x v="3"/>
    </i>
    <i>
      <x v="4"/>
    </i>
    <i>
      <x v="5"/>
    </i>
    <i>
      <x v="6"/>
    </i>
    <i>
      <x v="7"/>
    </i>
  </colItems>
  <dataFields count="1">
    <dataField name="Sum of Original Price"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12FD85F-0659-4965-9CC1-DD122FB095DB}" name="PivotTable1" cacheId="1"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5">
  <location ref="H35:M45" firstHeaderRow="1" firstDataRow="2" firstDataCol="1"/>
  <pivotFields count="16">
    <pivotField showAll="0"/>
    <pivotField showAll="0">
      <items count="59">
        <item x="19"/>
        <item x="21"/>
        <item x="57"/>
        <item x="40"/>
        <item x="20"/>
        <item x="36"/>
        <item x="27"/>
        <item x="37"/>
        <item x="43"/>
        <item x="9"/>
        <item x="26"/>
        <item x="53"/>
        <item x="46"/>
        <item x="28"/>
        <item x="48"/>
        <item x="29"/>
        <item x="5"/>
        <item x="44"/>
        <item x="8"/>
        <item x="35"/>
        <item x="11"/>
        <item x="45"/>
        <item x="47"/>
        <item x="16"/>
        <item x="55"/>
        <item x="6"/>
        <item x="32"/>
        <item x="33"/>
        <item x="7"/>
        <item x="50"/>
        <item x="3"/>
        <item x="24"/>
        <item x="17"/>
        <item x="52"/>
        <item x="13"/>
        <item x="4"/>
        <item x="30"/>
        <item x="34"/>
        <item x="38"/>
        <item x="23"/>
        <item x="18"/>
        <item x="39"/>
        <item x="2"/>
        <item x="31"/>
        <item x="10"/>
        <item x="25"/>
        <item x="51"/>
        <item x="54"/>
        <item x="49"/>
        <item x="15"/>
        <item x="42"/>
        <item x="1"/>
        <item x="14"/>
        <item x="0"/>
        <item x="22"/>
        <item x="41"/>
        <item x="12"/>
        <item x="56"/>
        <item t="default"/>
      </items>
    </pivotField>
    <pivotField axis="axisCol" showAll="0">
      <items count="6">
        <item x="3"/>
        <item x="2"/>
        <item x="4"/>
        <item x="1"/>
        <item x="0"/>
        <item t="default"/>
      </items>
    </pivotField>
    <pivotField showAll="0"/>
    <pivotField showAll="0"/>
    <pivotField dataField="1" showAll="0"/>
    <pivotField showAll="0"/>
    <pivotField showAll="0"/>
    <pivotField showAll="0"/>
    <pivotField axis="axisRow" numFmtId="9" showAll="0">
      <items count="9">
        <item x="7"/>
        <item x="4"/>
        <item x="2"/>
        <item x="0"/>
        <item x="3"/>
        <item x="5"/>
        <item x="1"/>
        <item x="6"/>
        <item t="default"/>
      </items>
    </pivotField>
    <pivotField showAll="0"/>
    <pivotField numFmtId="9" showAll="0"/>
    <pivotField showAll="0">
      <items count="4">
        <item x="1"/>
        <item x="2"/>
        <item x="0"/>
        <item t="default"/>
      </items>
    </pivotField>
    <pivotField showAll="0"/>
    <pivotField numFmtId="166" showAll="0"/>
    <pivotField numFmtId="165" showAll="0"/>
  </pivotFields>
  <rowFields count="1">
    <field x="9"/>
  </rowFields>
  <rowItems count="9">
    <i>
      <x/>
    </i>
    <i>
      <x v="1"/>
    </i>
    <i>
      <x v="2"/>
    </i>
    <i>
      <x v="3"/>
    </i>
    <i>
      <x v="4"/>
    </i>
    <i>
      <x v="5"/>
    </i>
    <i>
      <x v="6"/>
    </i>
    <i>
      <x v="7"/>
    </i>
    <i t="grand">
      <x/>
    </i>
  </rowItems>
  <colFields count="1">
    <field x="2"/>
  </colFields>
  <colItems count="5">
    <i>
      <x/>
    </i>
    <i>
      <x v="1"/>
    </i>
    <i>
      <x v="2"/>
    </i>
    <i>
      <x v="3"/>
    </i>
    <i>
      <x v="4"/>
    </i>
  </colItems>
  <dataFields count="1">
    <dataField name="Sum of Original Price" fld="5" baseField="0" baseItem="0"/>
  </dataFields>
  <chartFormats count="10">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4" format="10" series="1">
      <pivotArea type="data" outline="0" fieldPosition="0">
        <references count="2">
          <reference field="4294967294" count="1" selected="0">
            <x v="0"/>
          </reference>
          <reference field="2" count="1" selected="0">
            <x v="0"/>
          </reference>
        </references>
      </pivotArea>
    </chartFormat>
    <chartFormat chart="4" format="11" series="1">
      <pivotArea type="data" outline="0" fieldPosition="0">
        <references count="2">
          <reference field="4294967294" count="1" selected="0">
            <x v="0"/>
          </reference>
          <reference field="2" count="1" selected="0">
            <x v="1"/>
          </reference>
        </references>
      </pivotArea>
    </chartFormat>
    <chartFormat chart="4" format="12" series="1">
      <pivotArea type="data" outline="0" fieldPosition="0">
        <references count="2">
          <reference field="4294967294" count="1" selected="0">
            <x v="0"/>
          </reference>
          <reference field="2" count="1" selected="0">
            <x v="2"/>
          </reference>
        </references>
      </pivotArea>
    </chartFormat>
    <chartFormat chart="4" format="13" series="1">
      <pivotArea type="data" outline="0" fieldPosition="0">
        <references count="2">
          <reference field="4294967294" count="1" selected="0">
            <x v="0"/>
          </reference>
          <reference field="2" count="1" selected="0">
            <x v="3"/>
          </reference>
        </references>
      </pivotArea>
    </chartFormat>
    <chartFormat chart="4" format="14" series="1">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708A63E-AAB9-4DDC-AE46-AA3505C3F65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F14" firstHeaderRow="0" firstDataRow="1" firstDataCol="1"/>
  <pivotFields count="11">
    <pivotField axis="axisRow" showAll="0" measureFilter="1" sortType="descending">
      <items count="59">
        <item x="19"/>
        <item x="21"/>
        <item x="57"/>
        <item x="40"/>
        <item x="20"/>
        <item x="36"/>
        <item x="27"/>
        <item x="37"/>
        <item x="43"/>
        <item x="9"/>
        <item x="26"/>
        <item x="53"/>
        <item x="46"/>
        <item x="28"/>
        <item x="48"/>
        <item x="29"/>
        <item x="5"/>
        <item x="44"/>
        <item x="8"/>
        <item x="35"/>
        <item x="11"/>
        <item x="45"/>
        <item x="47"/>
        <item x="16"/>
        <item x="55"/>
        <item x="6"/>
        <item x="32"/>
        <item x="33"/>
        <item x="7"/>
        <item x="50"/>
        <item x="3"/>
        <item x="24"/>
        <item x="17"/>
        <item x="52"/>
        <item x="13"/>
        <item x="4"/>
        <item x="30"/>
        <item x="34"/>
        <item x="38"/>
        <item x="23"/>
        <item x="18"/>
        <item x="39"/>
        <item x="2"/>
        <item x="31"/>
        <item x="10"/>
        <item x="25"/>
        <item x="51"/>
        <item x="54"/>
        <item x="49"/>
        <item x="15"/>
        <item x="42"/>
        <item x="1"/>
        <item x="14"/>
        <item x="0"/>
        <item x="22"/>
        <item x="41"/>
        <item x="12"/>
        <item x="5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dataField="1" showAll="0"/>
    <pivotField dataField="1" showAll="0"/>
    <pivotField dataField="1" showAll="0"/>
    <pivotField dataField="1" showAll="0"/>
    <pivotField dataField="1" showAll="0"/>
  </pivotFields>
  <rowFields count="1">
    <field x="0"/>
  </rowFields>
  <rowItems count="11">
    <i>
      <x v="25"/>
    </i>
    <i>
      <x v="44"/>
    </i>
    <i>
      <x v="49"/>
    </i>
    <i>
      <x v="51"/>
    </i>
    <i>
      <x v="39"/>
    </i>
    <i>
      <x v="56"/>
    </i>
    <i>
      <x v="18"/>
    </i>
    <i>
      <x v="45"/>
    </i>
    <i>
      <x v="53"/>
    </i>
    <i>
      <x v="15"/>
    </i>
    <i t="grand">
      <x/>
    </i>
  </rowItems>
  <colFields count="1">
    <field x="-2"/>
  </colFields>
  <colItems count="5">
    <i>
      <x/>
    </i>
    <i i="1">
      <x v="1"/>
    </i>
    <i i="2">
      <x v="2"/>
    </i>
    <i i="3">
      <x v="3"/>
    </i>
    <i i="4">
      <x v="4"/>
    </i>
  </colItems>
  <dataFields count="5">
    <dataField name="Average of Selling price of Ultra" fld="6" subtotal="average" baseField="0" baseItem="0"/>
    <dataField name="Average of Selling price of QLED" fld="7" subtotal="average" baseField="0" baseItem="0"/>
    <dataField name="Sum of Selling price of HD" fld="8" baseField="0" baseItem="0"/>
    <dataField name="Average of Selling price of Full Hd" fld="9" subtotal="average" baseField="0" baseItem="0"/>
    <dataField name="Average of Selling price of HD plasma" fld="10" subtotal="average" baseField="0" baseItem="0"/>
  </dataField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4817A0-461D-4AF3-8F51-8CADC0A12A15}" name="PivotTable9"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R1048540:T1048557" firstHeaderRow="1" firstDataRow="1" firstDataCol="0"/>
  <pivotHierarchies count="4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TV_Final 2.xlsx!Table4">
        <x15:activeTabTopLevelEntity name="[Table4]"/>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tings_Strings" xr10:uid="{F37E60FC-B57D-4F6D-949A-FC97346A0D5F}" sourceName="[Table4].[Ratings Strings]">
  <pivotTables>
    <pivotTable tabId="7" name="Brand vs Selling"/>
    <pivotTable tabId="7" name="KPI's"/>
    <pivotTable tabId="7" name="PivotTable1"/>
    <pivotTable tabId="7" name="PivotTable3"/>
  </pivotTables>
  <data>
    <olap pivotCacheId="1573264911">
      <levels count="2">
        <level uniqueName="[Table4].[Ratings Strings].[(All)]" sourceCaption="(All)" count="0"/>
        <level uniqueName="[Table4].[Ratings Strings].[Ratings Strings]" sourceCaption="Ratings Strings" count="4">
          <ranges>
            <range startItem="0">
              <i n="[Table4].[Ratings Strings].&amp;[Bad Ratings]" c="Bad Ratings"/>
              <i n="[Table4].[Ratings Strings].&amp;[Good Ratings]" c="Good Ratings"/>
              <i n="[Table4].[Ratings Strings].&amp;[Medium Ratings]" c="Medium Ratings"/>
              <i n="[Table4].[Ratings Strings].&amp;[Ratings Not Given]" c="Ratings Not Given"/>
            </range>
          </ranges>
        </level>
      </levels>
      <selections count="1">
        <selection n="[Table4].[Ratings Strings].[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count_Rating" xr10:uid="{CEBAEBC5-6622-4A07-B0A0-BCFF269E59C8}" sourceName="Discount Rating">
  <pivotTables>
    <pivotTable tabId="12" name="PivotTable16"/>
    <pivotTable tabId="12" name="PivotTable1"/>
  </pivotTables>
  <data>
    <tabular pivotCacheId="1061529901">
      <items count="3">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atings Strings" xr10:uid="{A891B2A0-B987-4824-A8EE-7584DC78B06E}" cache="Slicer_Ratings_Strings" caption="Ratings Strings" level="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scount Rating" xr10:uid="{87E95548-5DC0-478D-9FBB-FF491DEE9A94}" cache="Slicer_Discount_Rating" caption="Discount Rating" rowHeight="2222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atings Strings 2" xr10:uid="{CE9D91EC-001D-409E-AE54-87405F0E2D55}" cache="Slicer_Ratings_Strings" caption="Ratings" level="1" style="Slicer Style 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E60DDDC-D3A2-43CA-BB6F-81F927D8F11E}" name="Table4" displayName="Table4" ref="A1:O913" totalsRowShown="0" headerRowDxfId="22" dataDxfId="21" tableBorderDxfId="20">
  <autoFilter ref="A1:O913" xr:uid="{EE60DDDC-D3A2-43CA-BB6F-81F927D8F11E}"/>
  <tableColumns count="15">
    <tableColumn id="1" xr3:uid="{27514E2B-1C97-4F18-842E-074E7852273C}" name="Brand" dataDxfId="19"/>
    <tableColumn id="2" xr3:uid="{440A5BB4-4BB4-467D-941B-88028D467062}" name="Brand-Renamed" dataDxfId="18">
      <calculatedColumnFormula>PROPER(A2)</calculatedColumnFormula>
    </tableColumn>
    <tableColumn id="3" xr3:uid="{06B6715E-B3E2-4FB3-AEF4-FA941774A061}" name="Resolution" dataDxfId="17"/>
    <tableColumn id="4" xr3:uid="{3564A69D-C700-4947-B0F4-575B4EE4AA4C}" name="Size " dataDxfId="16"/>
    <tableColumn id="5" xr3:uid="{D353766C-8B6C-4348-844A-A36D7CCBB316}" name="Selling Price" dataDxfId="15"/>
    <tableColumn id="6" xr3:uid="{7A93BE9C-5B11-4305-A6A9-BF0611034949}" name="Original Price" dataDxfId="14"/>
    <tableColumn id="7" xr3:uid="{580E0C5A-4210-4DC7-A511-073A73F3B8B6}" name="Operating System" dataDxfId="13"/>
    <tableColumn id="8" xr3:uid="{8DD2185C-D96D-4EFC-95E8-C452B5188D8E}" name="Rating" dataDxfId="12"/>
    <tableColumn id="9" xr3:uid="{E73B8745-D61F-4CD8-9EAC-FB1EE3675124}" name="Discount" dataDxfId="11">
      <calculatedColumnFormula>F2-E2</calculatedColumnFormula>
    </tableColumn>
    <tableColumn id="17" xr3:uid="{FDB592C3-8D55-4892-B0A8-A02BE0E9AF33}" name="Discount%" dataDxfId="10">
      <calculatedColumnFormula>IF((F2-E2)/F2 = 0, "Discount Not Applied", (F2-E2)/F2)</calculatedColumnFormula>
    </tableColumn>
    <tableColumn id="11" xr3:uid="{D08DCD97-D609-4BAE-A245-CE000AB17A1C}" name="Profit" dataDxfId="9">
      <calculatedColumnFormula>E2-F2</calculatedColumnFormula>
    </tableColumn>
    <tableColumn id="12" xr3:uid="{ED880388-9A86-447B-A6DF-DE65605F20C3}" name="Profit%" dataDxfId="8" dataCellStyle="Percent">
      <calculatedColumnFormula>(E2-F2)/E2</calculatedColumnFormula>
    </tableColumn>
    <tableColumn id="14" xr3:uid="{2EF9E74A-A0F7-4209-8168-4D6DCA3B2E68}" name="Ratings Strings" dataDxfId="7">
      <calculatedColumnFormula>IF(ISBLANK(H2),"Ratings Not Given",IF(H2&gt;=4.5,"Good Ratings",IF(H2&lt;=3.7,"Bad Ratings","Medium Ratings")))</calculatedColumnFormula>
    </tableColumn>
    <tableColumn id="15" xr3:uid="{BAF61CA1-C6C3-474A-A2D2-581E18AABE87}" name="Median for Original" dataDxfId="6">
      <calculatedColumnFormula array="1">MEDIAN(_xlfn._xlws.FILTER(Table4[Original Price],Table4[Brand-Renamed] = Table4[[#This Row],[Brand]]))</calculatedColumnFormula>
    </tableColumn>
    <tableColumn id="16" xr3:uid="{FC1C7E39-9F0A-4CEB-804C-C354192D9ABE}" name="Median for Selling" dataDxfId="5">
      <calculatedColumnFormula array="1">MEDIAN(_xlfn._xlws.FILTER(Table4[Selling Price],Table4[Brand-Renamed] =Table4[[#This Row],[Brand-Renamed]]))</calculatedColumnFormula>
    </tableColumn>
  </tableColumns>
  <tableStyleInfo name="TableStyleMedium5"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ntegral">
  <a:themeElements>
    <a:clrScheme name="Integral">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B9F25"/>
      </a:hlink>
      <a:folHlink>
        <a:srgbClr val="B26B02"/>
      </a:folHlink>
    </a:clrScheme>
    <a:fontScheme name="Integral">
      <a:majorFont>
        <a:latin typeface="Tw Cen MT Condensed" panose="020B06060201040202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Elements>
  <a:objectDefaults/>
  <a:extraClrSchemeLst/>
  <a:extLst>
    <a:ext uri="{05A4C25C-085E-4340-85A3-A5531E510DB2}">
      <thm15:themeFamily xmlns:thm15="http://schemas.microsoft.com/office/thememl/2012/main" name="Integral" id="{3577F8C9-A904-41D8-97D2-FD898F53F20E}" vid="{682D6EBE-8D36-4FF2-9DB3-F3D8D7B6715D}"/>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10.xml"/><Relationship Id="rId2" Type="http://schemas.openxmlformats.org/officeDocument/2006/relationships/pivotTable" Target="../pivotTables/pivotTable9.xml"/><Relationship Id="rId1" Type="http://schemas.openxmlformats.org/officeDocument/2006/relationships/pivotTable" Target="../pivotTables/pivotTable8.xml"/><Relationship Id="rId6" Type="http://schemas.microsoft.com/office/2007/relationships/slicer" Target="../slicers/slicer2.xml"/><Relationship Id="rId5" Type="http://schemas.openxmlformats.org/officeDocument/2006/relationships/drawing" Target="../drawings/drawing2.xml"/><Relationship Id="rId4" Type="http://schemas.openxmlformats.org/officeDocument/2006/relationships/pivotTable" Target="../pivotTables/pivotTable1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ivotTable" Target="../pivotTables/pivotTable13.xml"/></Relationships>
</file>

<file path=xl/worksheets/_rels/sheet6.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E8E04-3381-4274-9332-79F21144F580}">
  <dimension ref="A3:W70"/>
  <sheetViews>
    <sheetView topLeftCell="A50" zoomScale="106" workbookViewId="0">
      <selection activeCell="E71" sqref="E71"/>
    </sheetView>
  </sheetViews>
  <sheetFormatPr defaultRowHeight="13.8" x14ac:dyDescent="0.25"/>
  <cols>
    <col min="1" max="1" width="16.3984375" bestFit="1" customWidth="1"/>
    <col min="2" max="2" width="17.59765625" bestFit="1" customWidth="1"/>
    <col min="3" max="3" width="18.59765625" bestFit="1" customWidth="1"/>
    <col min="4" max="4" width="10.69921875" bestFit="1" customWidth="1"/>
    <col min="5" max="5" width="14.3984375" bestFit="1" customWidth="1"/>
    <col min="6" max="6" width="11.5" bestFit="1" customWidth="1"/>
    <col min="7" max="7" width="13.59765625" bestFit="1" customWidth="1"/>
    <col min="8" max="8" width="15.19921875" bestFit="1" customWidth="1"/>
    <col min="9" max="9" width="10.69921875" customWidth="1"/>
    <col min="10" max="10" width="11.8984375" bestFit="1" customWidth="1"/>
    <col min="11" max="11" width="13.5" bestFit="1" customWidth="1"/>
    <col min="12" max="13" width="14.69921875" customWidth="1"/>
    <col min="14" max="14" width="7.59765625" customWidth="1"/>
    <col min="15" max="15" width="8.09765625" bestFit="1" customWidth="1"/>
    <col min="16" max="16" width="7.5" bestFit="1" customWidth="1"/>
    <col min="17" max="17" width="6.19921875" bestFit="1" customWidth="1"/>
    <col min="18" max="18" width="11.8984375" bestFit="1" customWidth="1"/>
    <col min="19" max="19" width="6.19921875" bestFit="1" customWidth="1"/>
    <col min="20" max="21" width="12.09765625" bestFit="1" customWidth="1"/>
    <col min="22" max="22" width="22.69921875" bestFit="1" customWidth="1"/>
    <col min="23" max="23" width="21.59765625" bestFit="1" customWidth="1"/>
    <col min="24" max="119" width="17.59765625" bestFit="1" customWidth="1"/>
    <col min="120" max="120" width="21.09765625" bestFit="1" customWidth="1"/>
    <col min="121" max="121" width="21.8984375" bestFit="1" customWidth="1"/>
  </cols>
  <sheetData>
    <row r="3" spans="1:23" x14ac:dyDescent="0.25">
      <c r="A3" t="s">
        <v>0</v>
      </c>
      <c r="B3" t="s">
        <v>1</v>
      </c>
      <c r="C3" t="s">
        <v>2</v>
      </c>
    </row>
    <row r="4" spans="1:23" x14ac:dyDescent="0.25">
      <c r="A4" s="11">
        <v>54135049</v>
      </c>
      <c r="B4" s="11">
        <v>74761395</v>
      </c>
      <c r="C4" s="10">
        <v>0.27686403508771978</v>
      </c>
      <c r="D4" s="10">
        <v>0.27686403508771978</v>
      </c>
      <c r="E4" s="11">
        <v>54135049</v>
      </c>
    </row>
    <row r="6" spans="1:23" x14ac:dyDescent="0.25">
      <c r="T6" s="2" t="s">
        <v>3</v>
      </c>
      <c r="U6" s="2" t="s">
        <v>4</v>
      </c>
      <c r="V6" t="s">
        <v>5</v>
      </c>
      <c r="W6" t="s">
        <v>6</v>
      </c>
    </row>
    <row r="7" spans="1:23" x14ac:dyDescent="0.25">
      <c r="A7" s="2" t="s">
        <v>7</v>
      </c>
      <c r="B7" t="s">
        <v>0</v>
      </c>
      <c r="C7" t="s">
        <v>1</v>
      </c>
      <c r="T7" t="s">
        <v>8</v>
      </c>
      <c r="U7" s="12">
        <v>0</v>
      </c>
      <c r="V7">
        <v>5234860</v>
      </c>
      <c r="W7">
        <v>4100665</v>
      </c>
    </row>
    <row r="8" spans="1:23" x14ac:dyDescent="0.25">
      <c r="A8" s="3" t="s">
        <v>9</v>
      </c>
      <c r="B8" s="11">
        <v>15627072</v>
      </c>
      <c r="C8" s="11">
        <v>19219045</v>
      </c>
      <c r="U8" s="12">
        <v>0.1</v>
      </c>
      <c r="V8">
        <v>1500326.5</v>
      </c>
      <c r="W8">
        <v>1126267.5</v>
      </c>
    </row>
    <row r="9" spans="1:23" x14ac:dyDescent="0.25">
      <c r="A9" s="3" t="s">
        <v>10</v>
      </c>
      <c r="B9" s="11">
        <v>11823557</v>
      </c>
      <c r="C9" s="11">
        <v>16518545</v>
      </c>
      <c r="U9" s="12">
        <v>0.2</v>
      </c>
      <c r="V9">
        <v>2139683</v>
      </c>
      <c r="W9">
        <v>1603584</v>
      </c>
    </row>
    <row r="10" spans="1:23" x14ac:dyDescent="0.25">
      <c r="A10" s="3" t="s">
        <v>11</v>
      </c>
      <c r="B10" s="11">
        <v>5539256</v>
      </c>
      <c r="C10" s="11">
        <v>8084395</v>
      </c>
      <c r="G10" t="str">
        <f t="shared" ref="G10:G20" si="0">J46</f>
        <v>Haier</v>
      </c>
      <c r="H10">
        <f t="shared" ref="H10:H20" si="1">K46</f>
        <v>330489</v>
      </c>
      <c r="U10" s="12">
        <v>0.3</v>
      </c>
      <c r="V10">
        <v>1458346</v>
      </c>
      <c r="W10">
        <v>1020722</v>
      </c>
    </row>
    <row r="11" spans="1:23" x14ac:dyDescent="0.25">
      <c r="A11" s="3" t="s">
        <v>12</v>
      </c>
      <c r="B11" s="11">
        <v>2455126</v>
      </c>
      <c r="C11" s="11">
        <v>4371854</v>
      </c>
      <c r="G11" t="str">
        <f t="shared" si="0"/>
        <v>Iffalcon By Tcl</v>
      </c>
      <c r="H11">
        <f t="shared" si="1"/>
        <v>869365</v>
      </c>
      <c r="U11" s="12">
        <v>0.4</v>
      </c>
      <c r="V11">
        <v>1659475</v>
      </c>
      <c r="W11">
        <v>1145880</v>
      </c>
    </row>
    <row r="12" spans="1:23" x14ac:dyDescent="0.25">
      <c r="A12" s="3" t="s">
        <v>13</v>
      </c>
      <c r="B12" s="11">
        <v>1604819</v>
      </c>
      <c r="C12" s="11">
        <v>2258830</v>
      </c>
      <c r="G12" t="str">
        <f t="shared" si="0"/>
        <v>Lg</v>
      </c>
      <c r="H12">
        <f t="shared" si="1"/>
        <v>4694988</v>
      </c>
      <c r="U12" s="12">
        <v>0.5</v>
      </c>
      <c r="V12">
        <v>1354533.5</v>
      </c>
      <c r="W12">
        <v>871950</v>
      </c>
    </row>
    <row r="13" spans="1:23" x14ac:dyDescent="0.25">
      <c r="A13" s="3" t="s">
        <v>14</v>
      </c>
      <c r="B13" s="11">
        <v>1197376</v>
      </c>
      <c r="C13" s="11">
        <v>1253250</v>
      </c>
      <c r="G13" t="str">
        <f t="shared" si="0"/>
        <v>Lloyd</v>
      </c>
      <c r="H13">
        <f t="shared" si="1"/>
        <v>408984</v>
      </c>
      <c r="U13" s="12">
        <v>0.6</v>
      </c>
      <c r="V13">
        <v>371390</v>
      </c>
      <c r="W13">
        <v>197945</v>
      </c>
    </row>
    <row r="14" spans="1:23" x14ac:dyDescent="0.25">
      <c r="A14" s="3" t="s">
        <v>15</v>
      </c>
      <c r="B14" s="11">
        <v>1072947</v>
      </c>
      <c r="C14" s="11">
        <v>1521484</v>
      </c>
      <c r="G14" t="str">
        <f t="shared" si="0"/>
        <v>Panasonic</v>
      </c>
      <c r="H14">
        <f t="shared" si="1"/>
        <v>654011</v>
      </c>
      <c r="U14" s="12">
        <v>0.7</v>
      </c>
      <c r="V14">
        <v>37440</v>
      </c>
      <c r="W14">
        <v>15490</v>
      </c>
    </row>
    <row r="15" spans="1:23" x14ac:dyDescent="0.25">
      <c r="A15" s="3" t="s">
        <v>16</v>
      </c>
      <c r="B15" s="11">
        <v>1030454</v>
      </c>
      <c r="C15" s="11">
        <v>1899819</v>
      </c>
      <c r="G15" t="str">
        <f t="shared" si="0"/>
        <v>Philips</v>
      </c>
      <c r="H15">
        <f t="shared" si="1"/>
        <v>507905</v>
      </c>
      <c r="T15" t="s">
        <v>17</v>
      </c>
      <c r="V15">
        <v>13756054</v>
      </c>
      <c r="W15">
        <v>10082503.5</v>
      </c>
    </row>
    <row r="16" spans="1:23" x14ac:dyDescent="0.25">
      <c r="A16" s="3" t="s">
        <v>18</v>
      </c>
      <c r="B16" s="11">
        <v>897954</v>
      </c>
      <c r="C16" s="11">
        <v>1007900</v>
      </c>
      <c r="G16" t="str">
        <f t="shared" si="0"/>
        <v>Samsung</v>
      </c>
      <c r="H16">
        <f t="shared" si="1"/>
        <v>3591973</v>
      </c>
      <c r="T16" t="s">
        <v>19</v>
      </c>
      <c r="U16" s="12">
        <v>0</v>
      </c>
      <c r="V16">
        <v>1398809.5</v>
      </c>
      <c r="W16">
        <v>1030552.5</v>
      </c>
    </row>
    <row r="17" spans="1:23" x14ac:dyDescent="0.25">
      <c r="A17" s="3" t="s">
        <v>20</v>
      </c>
      <c r="B17" s="11">
        <v>751560</v>
      </c>
      <c r="C17" s="11">
        <v>1160544</v>
      </c>
      <c r="G17" t="str">
        <f t="shared" si="0"/>
        <v>Sony</v>
      </c>
      <c r="H17">
        <f t="shared" si="1"/>
        <v>2545139</v>
      </c>
      <c r="U17" s="12">
        <v>0.1</v>
      </c>
      <c r="V17">
        <v>1882095.5</v>
      </c>
      <c r="W17">
        <v>1404049</v>
      </c>
    </row>
    <row r="18" spans="1:23" x14ac:dyDescent="0.25">
      <c r="A18" s="3" t="s">
        <v>153</v>
      </c>
      <c r="B18" s="11">
        <v>678095</v>
      </c>
      <c r="C18" s="11">
        <v>807318</v>
      </c>
      <c r="G18" t="str">
        <f t="shared" si="0"/>
        <v>Tcl</v>
      </c>
      <c r="H18">
        <f t="shared" si="1"/>
        <v>1916728</v>
      </c>
      <c r="U18" s="12">
        <v>0.2</v>
      </c>
      <c r="V18">
        <v>1942839.5</v>
      </c>
      <c r="W18">
        <v>1394813</v>
      </c>
    </row>
    <row r="19" spans="1:23" x14ac:dyDescent="0.25">
      <c r="A19" s="3" t="s">
        <v>21</v>
      </c>
      <c r="B19" s="11">
        <v>671739</v>
      </c>
      <c r="C19" s="11">
        <v>837938</v>
      </c>
      <c r="G19" t="str">
        <f t="shared" si="0"/>
        <v>Vu</v>
      </c>
      <c r="H19">
        <f t="shared" si="1"/>
        <v>448537</v>
      </c>
      <c r="U19" s="12">
        <v>0.3</v>
      </c>
      <c r="V19">
        <v>1927586.5</v>
      </c>
      <c r="W19">
        <v>1411167</v>
      </c>
    </row>
    <row r="20" spans="1:23" x14ac:dyDescent="0.25">
      <c r="A20" s="3" t="s">
        <v>151</v>
      </c>
      <c r="B20" s="11">
        <v>659092</v>
      </c>
      <c r="C20" s="11">
        <v>989581</v>
      </c>
      <c r="G20" t="str">
        <f t="shared" si="0"/>
        <v>Grand Total</v>
      </c>
      <c r="H20">
        <f t="shared" si="1"/>
        <v>15968119</v>
      </c>
      <c r="U20" s="12">
        <v>0.4</v>
      </c>
      <c r="V20">
        <v>1331547</v>
      </c>
      <c r="W20">
        <v>854893</v>
      </c>
    </row>
    <row r="21" spans="1:23" x14ac:dyDescent="0.25">
      <c r="A21" s="3" t="s">
        <v>154</v>
      </c>
      <c r="B21" s="11">
        <v>584954</v>
      </c>
      <c r="C21" s="11">
        <v>713981</v>
      </c>
      <c r="U21" s="12">
        <v>0.5</v>
      </c>
      <c r="V21">
        <v>1508652</v>
      </c>
      <c r="W21">
        <v>1015677</v>
      </c>
    </row>
    <row r="22" spans="1:23" x14ac:dyDescent="0.25">
      <c r="A22" s="3" t="s">
        <v>22</v>
      </c>
      <c r="B22" s="11">
        <v>579935</v>
      </c>
      <c r="C22" s="11">
        <v>1087840</v>
      </c>
      <c r="U22" s="12">
        <v>0.6</v>
      </c>
      <c r="V22">
        <v>347298</v>
      </c>
      <c r="W22">
        <v>201920.5</v>
      </c>
    </row>
    <row r="23" spans="1:23" x14ac:dyDescent="0.25">
      <c r="A23" s="3" t="s">
        <v>23</v>
      </c>
      <c r="B23" s="11">
        <v>45173936</v>
      </c>
      <c r="C23" s="11">
        <v>61732324</v>
      </c>
      <c r="U23" s="12">
        <v>0.7</v>
      </c>
      <c r="V23">
        <v>210970</v>
      </c>
      <c r="W23">
        <v>107997</v>
      </c>
    </row>
    <row r="24" spans="1:23" x14ac:dyDescent="0.25">
      <c r="M24" s="51"/>
      <c r="N24" s="52"/>
      <c r="O24" s="53"/>
      <c r="T24" t="s">
        <v>24</v>
      </c>
      <c r="V24">
        <v>10549798</v>
      </c>
      <c r="W24">
        <v>7421069</v>
      </c>
    </row>
    <row r="25" spans="1:23" x14ac:dyDescent="0.25">
      <c r="M25" s="54"/>
      <c r="N25" s="55"/>
      <c r="O25" s="56"/>
      <c r="T25" t="s">
        <v>25</v>
      </c>
      <c r="U25" s="12">
        <v>0</v>
      </c>
      <c r="V25">
        <v>399870</v>
      </c>
      <c r="W25">
        <v>302454</v>
      </c>
    </row>
    <row r="26" spans="1:23" x14ac:dyDescent="0.25">
      <c r="D26" t="s">
        <v>26</v>
      </c>
      <c r="E26" t="s">
        <v>27</v>
      </c>
      <c r="M26" s="54"/>
      <c r="N26" s="55"/>
      <c r="O26" s="56"/>
      <c r="T26" t="s">
        <v>28</v>
      </c>
      <c r="V26">
        <v>399870</v>
      </c>
      <c r="W26">
        <v>302454</v>
      </c>
    </row>
    <row r="27" spans="1:23" x14ac:dyDescent="0.25">
      <c r="D27" s="11">
        <v>58</v>
      </c>
      <c r="E27" s="11">
        <v>5</v>
      </c>
      <c r="M27" s="54"/>
      <c r="N27" s="55"/>
      <c r="O27" s="56"/>
      <c r="T27" t="s">
        <v>29</v>
      </c>
      <c r="U27" s="12">
        <v>0</v>
      </c>
      <c r="V27">
        <v>465314</v>
      </c>
      <c r="W27">
        <v>327967</v>
      </c>
    </row>
    <row r="28" spans="1:23" x14ac:dyDescent="0.25">
      <c r="M28" s="54"/>
      <c r="N28" s="55"/>
      <c r="O28" s="56"/>
      <c r="U28" s="12">
        <v>0.1</v>
      </c>
      <c r="V28">
        <v>332973</v>
      </c>
      <c r="W28">
        <v>241787</v>
      </c>
    </row>
    <row r="29" spans="1:23" x14ac:dyDescent="0.25">
      <c r="M29" s="54"/>
      <c r="N29" s="55"/>
      <c r="O29" s="56"/>
      <c r="U29" s="12">
        <v>0.2</v>
      </c>
      <c r="V29">
        <v>811155</v>
      </c>
      <c r="W29">
        <v>596928</v>
      </c>
    </row>
    <row r="30" spans="1:23" x14ac:dyDescent="0.25">
      <c r="M30" s="54"/>
      <c r="N30" s="55"/>
      <c r="O30" s="56"/>
      <c r="U30" s="12">
        <v>0.3</v>
      </c>
      <c r="V30">
        <v>1154613.5</v>
      </c>
      <c r="W30">
        <v>845888</v>
      </c>
    </row>
    <row r="31" spans="1:23" x14ac:dyDescent="0.25">
      <c r="M31" s="54"/>
      <c r="N31" s="55"/>
      <c r="O31" s="56"/>
      <c r="U31" s="12">
        <v>0.4</v>
      </c>
      <c r="V31">
        <v>1331329</v>
      </c>
      <c r="W31">
        <v>978025</v>
      </c>
    </row>
    <row r="32" spans="1:23" x14ac:dyDescent="0.25">
      <c r="M32" s="54"/>
      <c r="N32" s="55"/>
      <c r="O32" s="56"/>
      <c r="U32" s="12">
        <v>0.5</v>
      </c>
      <c r="V32">
        <v>458815</v>
      </c>
      <c r="W32">
        <v>305468</v>
      </c>
    </row>
    <row r="33" spans="6:23" x14ac:dyDescent="0.25">
      <c r="M33" s="54"/>
      <c r="N33" s="55"/>
      <c r="O33" s="56"/>
      <c r="U33" s="12">
        <v>0.6</v>
      </c>
      <c r="V33">
        <v>427949</v>
      </c>
      <c r="W33">
        <v>229994</v>
      </c>
    </row>
    <row r="34" spans="6:23" x14ac:dyDescent="0.25">
      <c r="F34" t="str">
        <f>IF(_xlfn.TEXTJOIN(",",TRUE,31:31)="Bad Ratings"," Bad Ratings",IF(_xlfn.TEXTJOIN(",",TRUE,31:31)="Good Ratings"," Good Ratings",IF(_xlfn.TEXTJOIN(",",TRUE,31:31)="Medium Ratings","Medium Ratings",IF(_xlfn.TEXTJOIN(",",TRUE,31:31)="Ratings Not Given"," Ratings Not Given","Total Brand"))))</f>
        <v>Total Brand</v>
      </c>
      <c r="M34" s="54"/>
      <c r="N34" s="55"/>
      <c r="O34" s="56"/>
      <c r="U34" s="12">
        <v>0.7</v>
      </c>
      <c r="V34">
        <v>77990</v>
      </c>
      <c r="W34">
        <v>40999</v>
      </c>
    </row>
    <row r="35" spans="6:23" x14ac:dyDescent="0.25">
      <c r="M35" s="54"/>
      <c r="N35" s="55"/>
      <c r="O35" s="56"/>
      <c r="T35" t="s">
        <v>31</v>
      </c>
      <c r="V35">
        <v>5060138.5</v>
      </c>
      <c r="W35">
        <v>3567056</v>
      </c>
    </row>
    <row r="36" spans="6:23" x14ac:dyDescent="0.25">
      <c r="M36" s="54"/>
      <c r="N36" s="55"/>
      <c r="O36" s="56"/>
      <c r="T36" t="s">
        <v>32</v>
      </c>
      <c r="U36" s="12">
        <v>0</v>
      </c>
      <c r="V36">
        <v>3797756</v>
      </c>
      <c r="W36">
        <v>2745494</v>
      </c>
    </row>
    <row r="37" spans="6:23" x14ac:dyDescent="0.25">
      <c r="M37" s="54"/>
      <c r="N37" s="55"/>
      <c r="O37" s="56"/>
      <c r="U37" s="12">
        <v>0.1</v>
      </c>
      <c r="V37">
        <v>1240263</v>
      </c>
      <c r="W37">
        <v>934117</v>
      </c>
    </row>
    <row r="38" spans="6:23" x14ac:dyDescent="0.25">
      <c r="M38" s="54"/>
      <c r="N38" s="55"/>
      <c r="O38" s="56"/>
      <c r="U38" s="12">
        <v>0.2</v>
      </c>
      <c r="V38">
        <v>4837346</v>
      </c>
      <c r="W38">
        <v>3575079</v>
      </c>
    </row>
    <row r="39" spans="6:23" x14ac:dyDescent="0.25">
      <c r="M39" s="54"/>
      <c r="N39" s="55"/>
      <c r="O39" s="56"/>
      <c r="U39" s="12">
        <v>0.3</v>
      </c>
      <c r="V39">
        <v>7518614</v>
      </c>
      <c r="W39">
        <v>5507116</v>
      </c>
    </row>
    <row r="40" spans="6:23" x14ac:dyDescent="0.25">
      <c r="M40" s="54"/>
      <c r="N40" s="55"/>
      <c r="O40" s="56"/>
      <c r="U40" s="12">
        <v>0.4</v>
      </c>
      <c r="V40">
        <v>5552561.5</v>
      </c>
      <c r="W40">
        <v>3966626.5</v>
      </c>
    </row>
    <row r="41" spans="6:23" x14ac:dyDescent="0.25">
      <c r="M41" s="57"/>
      <c r="N41" s="58"/>
      <c r="O41" s="59"/>
      <c r="U41" s="12">
        <v>0.5</v>
      </c>
      <c r="V41">
        <v>4145567</v>
      </c>
      <c r="W41">
        <v>2682225</v>
      </c>
    </row>
    <row r="42" spans="6:23" x14ac:dyDescent="0.25">
      <c r="U42" s="12">
        <v>0.6</v>
      </c>
      <c r="V42">
        <v>813874</v>
      </c>
      <c r="W42">
        <v>468779</v>
      </c>
    </row>
    <row r="43" spans="6:23" x14ac:dyDescent="0.25">
      <c r="U43" s="12">
        <v>0.7</v>
      </c>
      <c r="V43">
        <v>153980</v>
      </c>
      <c r="W43">
        <v>73998</v>
      </c>
    </row>
    <row r="44" spans="6:23" x14ac:dyDescent="0.25">
      <c r="T44" t="s">
        <v>33</v>
      </c>
      <c r="V44">
        <v>28059961.5</v>
      </c>
      <c r="W44">
        <v>19953434.5</v>
      </c>
    </row>
    <row r="45" spans="6:23" x14ac:dyDescent="0.25">
      <c r="J45" s="2" t="s">
        <v>7</v>
      </c>
      <c r="K45" t="s">
        <v>34</v>
      </c>
      <c r="T45" t="s">
        <v>23</v>
      </c>
      <c r="V45">
        <v>57825822</v>
      </c>
      <c r="W45">
        <v>41326517</v>
      </c>
    </row>
    <row r="46" spans="6:23" x14ac:dyDescent="0.25">
      <c r="J46" s="3" t="s">
        <v>151</v>
      </c>
      <c r="K46" s="37">
        <v>330489</v>
      </c>
      <c r="L46" t="str">
        <f>J46</f>
        <v>Haier</v>
      </c>
      <c r="M46" s="38">
        <f>K46</f>
        <v>330489</v>
      </c>
    </row>
    <row r="47" spans="6:23" x14ac:dyDescent="0.25">
      <c r="J47" s="3" t="s">
        <v>16</v>
      </c>
      <c r="K47" s="37">
        <v>869365</v>
      </c>
      <c r="L47" t="str">
        <f t="shared" ref="L47:L55" si="2">J47</f>
        <v>Iffalcon By Tcl</v>
      </c>
      <c r="M47" s="38">
        <f t="shared" ref="M47:M55" si="3">K47</f>
        <v>869365</v>
      </c>
    </row>
    <row r="48" spans="6:23" x14ac:dyDescent="0.25">
      <c r="J48" s="3" t="s">
        <v>10</v>
      </c>
      <c r="K48" s="37">
        <v>4694988</v>
      </c>
      <c r="L48" t="str">
        <f t="shared" si="2"/>
        <v>Lg</v>
      </c>
      <c r="M48" s="38">
        <f t="shared" si="3"/>
        <v>4694988</v>
      </c>
    </row>
    <row r="49" spans="5:13" x14ac:dyDescent="0.25">
      <c r="J49" s="3" t="s">
        <v>20</v>
      </c>
      <c r="K49" s="37">
        <v>408984</v>
      </c>
      <c r="L49" t="str">
        <f t="shared" si="2"/>
        <v>Lloyd</v>
      </c>
      <c r="M49" s="38">
        <f t="shared" si="3"/>
        <v>408984</v>
      </c>
    </row>
    <row r="50" spans="5:13" x14ac:dyDescent="0.25">
      <c r="J50" s="3" t="s">
        <v>13</v>
      </c>
      <c r="K50" s="37">
        <v>654011</v>
      </c>
      <c r="L50" t="str">
        <f t="shared" si="2"/>
        <v>Panasonic</v>
      </c>
      <c r="M50" s="38">
        <f t="shared" si="3"/>
        <v>654011</v>
      </c>
    </row>
    <row r="51" spans="5:13" x14ac:dyDescent="0.25">
      <c r="J51" s="3" t="s">
        <v>22</v>
      </c>
      <c r="K51" s="37">
        <v>507905</v>
      </c>
      <c r="L51" t="str">
        <f t="shared" si="2"/>
        <v>Philips</v>
      </c>
      <c r="M51" s="38">
        <f t="shared" si="3"/>
        <v>507905</v>
      </c>
    </row>
    <row r="52" spans="5:13" x14ac:dyDescent="0.25">
      <c r="J52" s="3" t="s">
        <v>9</v>
      </c>
      <c r="K52" s="37">
        <v>3591973</v>
      </c>
      <c r="L52" t="str">
        <f t="shared" si="2"/>
        <v>Samsung</v>
      </c>
      <c r="M52" s="38">
        <f t="shared" si="3"/>
        <v>3591973</v>
      </c>
    </row>
    <row r="53" spans="5:13" x14ac:dyDescent="0.25">
      <c r="J53" s="3" t="s">
        <v>11</v>
      </c>
      <c r="K53" s="37">
        <v>2545139</v>
      </c>
      <c r="L53" t="str">
        <f t="shared" si="2"/>
        <v>Sony</v>
      </c>
      <c r="M53" s="38">
        <f t="shared" si="3"/>
        <v>2545139</v>
      </c>
    </row>
    <row r="54" spans="5:13" x14ac:dyDescent="0.25">
      <c r="J54" s="3" t="s">
        <v>12</v>
      </c>
      <c r="K54" s="37">
        <v>1916728</v>
      </c>
      <c r="L54" t="str">
        <f t="shared" si="2"/>
        <v>Tcl</v>
      </c>
      <c r="M54" s="38">
        <f t="shared" si="3"/>
        <v>1916728</v>
      </c>
    </row>
    <row r="55" spans="5:13" x14ac:dyDescent="0.25">
      <c r="J55" s="3" t="s">
        <v>15</v>
      </c>
      <c r="K55" s="37">
        <v>448537</v>
      </c>
      <c r="L55" t="str">
        <f t="shared" si="2"/>
        <v>Vu</v>
      </c>
      <c r="M55" s="38">
        <f t="shared" si="3"/>
        <v>448537</v>
      </c>
    </row>
    <row r="56" spans="5:13" x14ac:dyDescent="0.25">
      <c r="J56" s="3" t="s">
        <v>23</v>
      </c>
      <c r="K56" s="12">
        <v>15968119</v>
      </c>
    </row>
    <row r="64" spans="5:13" x14ac:dyDescent="0.25">
      <c r="E64" s="2" t="s">
        <v>30</v>
      </c>
    </row>
    <row r="65" spans="5:8" x14ac:dyDescent="0.25">
      <c r="E65" t="s">
        <v>155</v>
      </c>
      <c r="F65" t="s">
        <v>156</v>
      </c>
      <c r="G65" t="s">
        <v>157</v>
      </c>
      <c r="H65" t="s">
        <v>152</v>
      </c>
    </row>
    <row r="66" spans="5:8" ht="16.8" x14ac:dyDescent="0.25">
      <c r="E66" s="39" t="str">
        <f>IF(_xlfn.TEXTJOIN(",",TRUE,31:31)="Bad Ratings","Bad Ratings",IF(_xlfn.TEXTJOIN(",",TRUE,31:31)="Good Ratings","Good Ratings",IF(_xlfn.TEXTJOIN(",",TRUE,31:31)="Medium Ratings","Medium Ratings",IF(_xlfn.TEXTJOIN(",",TRUE,31:31)="Ratings Not Given","Ratings Not Given","Total Brand"))))</f>
        <v>Total Brand</v>
      </c>
    </row>
    <row r="68" spans="5:8" x14ac:dyDescent="0.25">
      <c r="E68" t="str">
        <f>IF(_xlfn.TEXTJOIN(",",TRUE,65:65)="Bad Ratings", "Bad Ratings",IF(_xlfn.TEXTJOIN(",",TRUE,65:65)="Good Ratings", "Good Ratings",IF(_xlfn.TEXTJOIN(",",TRUE,65:65)="Medium Ratings", "Medium Ratings",IF(_xlfn.TEXTJOIN(",",TRUE,65:65)="Ratings Not Given", "Ratings Not Given", "Total Brand"))))</f>
        <v>Total Brand</v>
      </c>
    </row>
    <row r="70" spans="5:8" x14ac:dyDescent="0.25">
      <c r="E70" t="str">
        <f>"Total Selling &amp; Original Prices For : " &amp; $E$68</f>
        <v>Total Selling &amp; Original Prices For : Total Brand</v>
      </c>
    </row>
  </sheetData>
  <pageMargins left="0.7" right="0.7" top="0.75" bottom="0.75" header="0.3" footer="0.3"/>
  <drawing r:id="rId8"/>
  <extLst>
    <ext xmlns:x14="http://schemas.microsoft.com/office/spreadsheetml/2009/9/main" uri="{A8765BA9-456A-4dab-B4F3-ACF838C121DE}">
      <x14:slicerList>
        <x14:slicer r:id="rId9"/>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2A708-997D-40C3-9E95-D73EAC9F80F8}">
  <dimension ref="A3:O62"/>
  <sheetViews>
    <sheetView topLeftCell="E43" zoomScale="117" zoomScaleNormal="60" workbookViewId="0">
      <selection activeCell="N54" sqref="N54"/>
    </sheetView>
  </sheetViews>
  <sheetFormatPr defaultRowHeight="13.8" x14ac:dyDescent="0.25"/>
  <cols>
    <col min="1" max="1" width="13.19921875" bestFit="1" customWidth="1"/>
    <col min="2" max="2" width="22.5" bestFit="1" customWidth="1"/>
    <col min="3" max="3" width="21.3984375" bestFit="1" customWidth="1"/>
    <col min="4" max="4" width="15.19921875" bestFit="1" customWidth="1"/>
    <col min="5" max="5" width="13.59765625" customWidth="1"/>
    <col min="7" max="7" width="24.19921875" bestFit="1" customWidth="1"/>
    <col min="8" max="8" width="17.59765625" bestFit="1" customWidth="1"/>
    <col min="9" max="9" width="14.3984375" bestFit="1" customWidth="1"/>
    <col min="10" max="10" width="8" bestFit="1" customWidth="1"/>
    <col min="11" max="11" width="9.296875" bestFit="1" customWidth="1"/>
    <col min="12" max="12" width="11.8984375" bestFit="1" customWidth="1"/>
    <col min="13" max="13" width="10.59765625" bestFit="1" customWidth="1"/>
    <col min="14" max="14" width="9.59765625" bestFit="1" customWidth="1"/>
    <col min="15" max="15" width="8.3984375" bestFit="1" customWidth="1"/>
    <col min="16" max="16" width="10.09765625" bestFit="1" customWidth="1"/>
  </cols>
  <sheetData>
    <row r="3" spans="1:15" x14ac:dyDescent="0.25">
      <c r="A3" s="2" t="s">
        <v>7</v>
      </c>
      <c r="B3" s="35" t="s">
        <v>5</v>
      </c>
      <c r="C3" t="s">
        <v>6</v>
      </c>
    </row>
    <row r="4" spans="1:15" x14ac:dyDescent="0.25">
      <c r="A4" s="3" t="s">
        <v>35</v>
      </c>
      <c r="B4" s="35">
        <v>314910</v>
      </c>
      <c r="C4" s="35">
        <v>314910</v>
      </c>
      <c r="D4" s="35">
        <v>314910</v>
      </c>
      <c r="E4" s="35">
        <v>314910</v>
      </c>
      <c r="G4" s="2" t="s">
        <v>1</v>
      </c>
      <c r="H4" s="2" t="s">
        <v>30</v>
      </c>
    </row>
    <row r="5" spans="1:15" x14ac:dyDescent="0.25">
      <c r="A5" s="3" t="s">
        <v>36</v>
      </c>
      <c r="B5" s="35">
        <v>153993</v>
      </c>
      <c r="C5" s="35">
        <v>95893</v>
      </c>
      <c r="D5" s="35">
        <v>153993</v>
      </c>
      <c r="E5" s="35">
        <v>95893</v>
      </c>
      <c r="G5" s="2" t="s">
        <v>7</v>
      </c>
      <c r="H5" s="12">
        <v>0</v>
      </c>
      <c r="I5" s="12">
        <v>0.1</v>
      </c>
      <c r="J5" s="12">
        <v>0.2</v>
      </c>
      <c r="K5" s="12">
        <v>0.3</v>
      </c>
      <c r="L5" s="12">
        <v>0.4</v>
      </c>
      <c r="M5" s="12">
        <v>0.5</v>
      </c>
      <c r="N5" s="12">
        <v>0.6</v>
      </c>
      <c r="O5" s="12">
        <v>0.7</v>
      </c>
    </row>
    <row r="6" spans="1:15" x14ac:dyDescent="0.25">
      <c r="A6" s="3" t="s">
        <v>37</v>
      </c>
      <c r="B6" s="35">
        <v>267400</v>
      </c>
      <c r="C6" s="35">
        <v>207760</v>
      </c>
      <c r="D6" s="35">
        <v>267400</v>
      </c>
      <c r="E6" s="35">
        <v>207760</v>
      </c>
      <c r="G6" s="3" t="s">
        <v>8</v>
      </c>
      <c r="H6">
        <v>7182990</v>
      </c>
      <c r="I6">
        <v>948599</v>
      </c>
      <c r="J6">
        <v>1390376</v>
      </c>
      <c r="K6">
        <v>1232486</v>
      </c>
      <c r="L6">
        <v>1482054</v>
      </c>
      <c r="M6">
        <v>972646</v>
      </c>
      <c r="N6">
        <v>503940</v>
      </c>
      <c r="O6">
        <v>47990</v>
      </c>
    </row>
    <row r="7" spans="1:15" x14ac:dyDescent="0.25">
      <c r="A7" s="3" t="s">
        <v>38</v>
      </c>
      <c r="B7" s="35">
        <v>479940</v>
      </c>
      <c r="C7" s="35">
        <v>306876</v>
      </c>
      <c r="D7" s="35">
        <v>479940</v>
      </c>
      <c r="E7" s="35">
        <v>306876</v>
      </c>
      <c r="G7" s="3" t="s">
        <v>19</v>
      </c>
      <c r="H7">
        <v>565016</v>
      </c>
      <c r="I7">
        <v>637155</v>
      </c>
      <c r="J7">
        <v>785389</v>
      </c>
      <c r="K7">
        <v>1111290</v>
      </c>
      <c r="L7">
        <v>846158</v>
      </c>
      <c r="M7">
        <v>736967</v>
      </c>
      <c r="N7">
        <v>203158</v>
      </c>
      <c r="O7">
        <v>86970</v>
      </c>
    </row>
    <row r="8" spans="1:15" x14ac:dyDescent="0.25">
      <c r="A8" s="3" t="s">
        <v>39</v>
      </c>
      <c r="B8" s="35">
        <v>600000</v>
      </c>
      <c r="C8" s="35">
        <v>329985</v>
      </c>
      <c r="D8" s="35">
        <v>600000</v>
      </c>
      <c r="E8" s="35">
        <v>329985</v>
      </c>
      <c r="G8" s="3" t="s">
        <v>25</v>
      </c>
      <c r="H8">
        <v>228980</v>
      </c>
    </row>
    <row r="9" spans="1:15" x14ac:dyDescent="0.25">
      <c r="A9" s="3" t="s">
        <v>40</v>
      </c>
      <c r="B9" s="35">
        <v>191998</v>
      </c>
      <c r="C9" s="35">
        <v>142960</v>
      </c>
      <c r="D9" s="35">
        <v>191998</v>
      </c>
      <c r="E9" s="35">
        <v>142960</v>
      </c>
      <c r="G9" s="3" t="s">
        <v>29</v>
      </c>
      <c r="H9">
        <v>1777679</v>
      </c>
      <c r="I9">
        <v>626679</v>
      </c>
      <c r="J9">
        <v>1696289</v>
      </c>
      <c r="K9">
        <v>2142359</v>
      </c>
      <c r="L9">
        <v>2257969</v>
      </c>
      <c r="M9">
        <v>899680</v>
      </c>
      <c r="N9">
        <v>1226940</v>
      </c>
      <c r="O9">
        <v>189990</v>
      </c>
    </row>
    <row r="10" spans="1:15" x14ac:dyDescent="0.25">
      <c r="A10" s="3" t="s">
        <v>41</v>
      </c>
      <c r="B10" s="35">
        <v>316080</v>
      </c>
      <c r="C10" s="35">
        <v>163788</v>
      </c>
      <c r="D10" s="35">
        <v>316080</v>
      </c>
      <c r="E10" s="35">
        <v>163788</v>
      </c>
      <c r="G10" s="3" t="s">
        <v>32</v>
      </c>
      <c r="H10">
        <v>6296997</v>
      </c>
      <c r="I10">
        <v>1832412</v>
      </c>
      <c r="J10">
        <v>5762579</v>
      </c>
      <c r="K10">
        <v>11356921</v>
      </c>
      <c r="L10">
        <v>10669947</v>
      </c>
      <c r="M10">
        <v>7302410</v>
      </c>
      <c r="N10">
        <v>1496400</v>
      </c>
      <c r="O10">
        <v>263980</v>
      </c>
    </row>
    <row r="11" spans="1:15" x14ac:dyDescent="0.25">
      <c r="A11" s="3" t="s">
        <v>42</v>
      </c>
      <c r="B11" s="35">
        <v>296910</v>
      </c>
      <c r="C11" s="35">
        <v>197991</v>
      </c>
      <c r="D11" s="35">
        <v>296910</v>
      </c>
      <c r="E11" s="35">
        <v>197991</v>
      </c>
      <c r="G11" s="3" t="s">
        <v>23</v>
      </c>
      <c r="H11">
        <v>16051662</v>
      </c>
      <c r="I11">
        <v>4044845</v>
      </c>
      <c r="J11">
        <v>9634633</v>
      </c>
      <c r="K11">
        <v>15843056</v>
      </c>
      <c r="L11">
        <v>15256128</v>
      </c>
      <c r="M11">
        <v>9911703</v>
      </c>
      <c r="N11">
        <v>3430438</v>
      </c>
      <c r="O11">
        <v>588930</v>
      </c>
    </row>
    <row r="12" spans="1:15" x14ac:dyDescent="0.25">
      <c r="A12" s="3" t="s">
        <v>43</v>
      </c>
      <c r="B12" s="35">
        <v>199995</v>
      </c>
      <c r="C12" s="35">
        <v>164995</v>
      </c>
      <c r="D12" s="35">
        <v>199995</v>
      </c>
      <c r="E12" s="35">
        <v>164995</v>
      </c>
      <c r="G12" s="3" t="s">
        <v>3</v>
      </c>
      <c r="H12" s="12">
        <f>H5</f>
        <v>0</v>
      </c>
      <c r="I12" s="12">
        <f t="shared" ref="I12:O12" si="0">I5</f>
        <v>0.1</v>
      </c>
      <c r="J12" s="12">
        <f t="shared" si="0"/>
        <v>0.2</v>
      </c>
      <c r="K12" s="12">
        <f t="shared" si="0"/>
        <v>0.3</v>
      </c>
      <c r="L12" s="12">
        <f t="shared" si="0"/>
        <v>0.4</v>
      </c>
      <c r="M12" s="12">
        <f t="shared" si="0"/>
        <v>0.5</v>
      </c>
      <c r="N12" s="12">
        <f t="shared" si="0"/>
        <v>0.6</v>
      </c>
      <c r="O12" s="12">
        <f t="shared" si="0"/>
        <v>0.7</v>
      </c>
    </row>
    <row r="13" spans="1:15" x14ac:dyDescent="0.25">
      <c r="A13" s="3" t="s">
        <v>44</v>
      </c>
      <c r="B13" s="35">
        <v>494910</v>
      </c>
      <c r="C13" s="35">
        <v>233991</v>
      </c>
      <c r="D13" s="35">
        <v>494910</v>
      </c>
      <c r="E13" s="35">
        <v>233991</v>
      </c>
      <c r="G13" t="str">
        <f>G6</f>
        <v>Full HD LED</v>
      </c>
      <c r="H13">
        <f t="shared" ref="H13:O13" si="1">H6</f>
        <v>7182990</v>
      </c>
      <c r="I13">
        <f t="shared" si="1"/>
        <v>948599</v>
      </c>
      <c r="J13">
        <f t="shared" si="1"/>
        <v>1390376</v>
      </c>
      <c r="K13">
        <f t="shared" si="1"/>
        <v>1232486</v>
      </c>
      <c r="L13">
        <f t="shared" si="1"/>
        <v>1482054</v>
      </c>
      <c r="M13">
        <f t="shared" si="1"/>
        <v>972646</v>
      </c>
      <c r="N13">
        <f t="shared" si="1"/>
        <v>503940</v>
      </c>
      <c r="O13">
        <f t="shared" si="1"/>
        <v>47990</v>
      </c>
    </row>
    <row r="14" spans="1:15" x14ac:dyDescent="0.25">
      <c r="A14" s="3" t="s">
        <v>45</v>
      </c>
      <c r="B14" s="35">
        <v>300000</v>
      </c>
      <c r="C14" s="35">
        <v>212880</v>
      </c>
      <c r="D14" s="35">
        <v>300000</v>
      </c>
      <c r="E14" s="35">
        <v>212880</v>
      </c>
      <c r="G14" t="str">
        <f t="shared" ref="G14:O14" si="2">G7</f>
        <v>HD LED</v>
      </c>
      <c r="H14">
        <f t="shared" si="2"/>
        <v>565016</v>
      </c>
      <c r="I14">
        <f t="shared" si="2"/>
        <v>637155</v>
      </c>
      <c r="J14">
        <f t="shared" si="2"/>
        <v>785389</v>
      </c>
      <c r="K14">
        <f t="shared" si="2"/>
        <v>1111290</v>
      </c>
      <c r="L14">
        <f t="shared" si="2"/>
        <v>846158</v>
      </c>
      <c r="M14">
        <f t="shared" si="2"/>
        <v>736967</v>
      </c>
      <c r="N14">
        <f t="shared" si="2"/>
        <v>203158</v>
      </c>
      <c r="O14">
        <f t="shared" si="2"/>
        <v>86970</v>
      </c>
    </row>
    <row r="15" spans="1:15" x14ac:dyDescent="0.25">
      <c r="A15" s="3" t="s">
        <v>46</v>
      </c>
      <c r="B15" s="35">
        <v>41996</v>
      </c>
      <c r="C15" s="35">
        <v>27996</v>
      </c>
      <c r="D15" s="35">
        <v>41996</v>
      </c>
      <c r="E15" s="35">
        <v>27996</v>
      </c>
      <c r="G15" t="str">
        <f t="shared" ref="G15:O15" si="3">G8</f>
        <v>HD Plasma</v>
      </c>
      <c r="H15">
        <f t="shared" si="3"/>
        <v>228980</v>
      </c>
      <c r="I15">
        <f t="shared" si="3"/>
        <v>0</v>
      </c>
      <c r="J15">
        <f t="shared" si="3"/>
        <v>0</v>
      </c>
      <c r="K15">
        <f t="shared" si="3"/>
        <v>0</v>
      </c>
      <c r="L15">
        <f t="shared" si="3"/>
        <v>0</v>
      </c>
      <c r="M15">
        <f t="shared" si="3"/>
        <v>0</v>
      </c>
      <c r="N15">
        <f t="shared" si="3"/>
        <v>0</v>
      </c>
      <c r="O15">
        <f t="shared" si="3"/>
        <v>0</v>
      </c>
    </row>
    <row r="16" spans="1:15" x14ac:dyDescent="0.25">
      <c r="A16" s="3" t="s">
        <v>47</v>
      </c>
      <c r="B16" s="35">
        <v>71997</v>
      </c>
      <c r="C16" s="35">
        <v>33900</v>
      </c>
      <c r="D16" s="35">
        <v>71997</v>
      </c>
      <c r="E16" s="35">
        <v>33900</v>
      </c>
      <c r="G16" t="str">
        <f t="shared" ref="G16:O16" si="4">G9</f>
        <v>QLED Ultra HD</v>
      </c>
      <c r="H16">
        <f t="shared" si="4"/>
        <v>1777679</v>
      </c>
      <c r="I16">
        <f t="shared" si="4"/>
        <v>626679</v>
      </c>
      <c r="J16">
        <f t="shared" si="4"/>
        <v>1696289</v>
      </c>
      <c r="K16">
        <f t="shared" si="4"/>
        <v>2142359</v>
      </c>
      <c r="L16">
        <f t="shared" si="4"/>
        <v>2257969</v>
      </c>
      <c r="M16">
        <f t="shared" si="4"/>
        <v>899680</v>
      </c>
      <c r="N16">
        <f t="shared" si="4"/>
        <v>1226940</v>
      </c>
      <c r="O16">
        <f t="shared" si="4"/>
        <v>189990</v>
      </c>
    </row>
    <row r="17" spans="1:15" x14ac:dyDescent="0.25">
      <c r="A17" s="3" t="s">
        <v>48</v>
      </c>
      <c r="B17" s="35">
        <v>128994</v>
      </c>
      <c r="C17" s="35">
        <v>83994</v>
      </c>
      <c r="D17" s="35">
        <v>128994</v>
      </c>
      <c r="E17" s="35">
        <v>83994</v>
      </c>
      <c r="G17" t="str">
        <f t="shared" ref="G17:O17" si="5">G10</f>
        <v>Ultra HD LED</v>
      </c>
      <c r="H17">
        <f t="shared" si="5"/>
        <v>6296997</v>
      </c>
      <c r="I17">
        <f t="shared" si="5"/>
        <v>1832412</v>
      </c>
      <c r="J17">
        <f t="shared" si="5"/>
        <v>5762579</v>
      </c>
      <c r="K17">
        <f t="shared" si="5"/>
        <v>11356921</v>
      </c>
      <c r="L17">
        <f t="shared" si="5"/>
        <v>10669947</v>
      </c>
      <c r="M17">
        <f t="shared" si="5"/>
        <v>7302410</v>
      </c>
      <c r="N17">
        <f t="shared" si="5"/>
        <v>1496400</v>
      </c>
      <c r="O17">
        <f t="shared" si="5"/>
        <v>263980</v>
      </c>
    </row>
    <row r="18" spans="1:15" x14ac:dyDescent="0.25">
      <c r="A18" s="3" t="s">
        <v>49</v>
      </c>
      <c r="B18" s="35">
        <v>299520</v>
      </c>
      <c r="C18" s="35">
        <v>123920</v>
      </c>
      <c r="D18" s="35">
        <v>299520</v>
      </c>
      <c r="E18" s="35">
        <v>123920</v>
      </c>
      <c r="G18" t="str">
        <f t="shared" ref="G18:O18" si="6">G11</f>
        <v>Grand Total</v>
      </c>
      <c r="H18">
        <f t="shared" si="6"/>
        <v>16051662</v>
      </c>
      <c r="I18">
        <f t="shared" si="6"/>
        <v>4044845</v>
      </c>
      <c r="J18">
        <f t="shared" si="6"/>
        <v>9634633</v>
      </c>
      <c r="K18">
        <f t="shared" si="6"/>
        <v>15843056</v>
      </c>
      <c r="L18">
        <f t="shared" si="6"/>
        <v>15256128</v>
      </c>
      <c r="M18">
        <f t="shared" si="6"/>
        <v>9911703</v>
      </c>
      <c r="N18">
        <f t="shared" si="6"/>
        <v>3430438</v>
      </c>
      <c r="O18">
        <f t="shared" si="6"/>
        <v>588930</v>
      </c>
    </row>
    <row r="19" spans="1:15" x14ac:dyDescent="0.25">
      <c r="A19" s="3" t="s">
        <v>50</v>
      </c>
      <c r="B19" s="35">
        <v>791820</v>
      </c>
      <c r="C19" s="35">
        <v>557901</v>
      </c>
      <c r="D19" s="35">
        <v>791820</v>
      </c>
      <c r="E19" s="35">
        <v>557901</v>
      </c>
    </row>
    <row r="20" spans="1:15" x14ac:dyDescent="0.25">
      <c r="A20" s="3" t="s">
        <v>18</v>
      </c>
      <c r="B20" s="35">
        <v>504900</v>
      </c>
      <c r="C20" s="35">
        <v>394990</v>
      </c>
      <c r="D20" s="35">
        <v>504900</v>
      </c>
      <c r="E20" s="35">
        <v>394990</v>
      </c>
    </row>
    <row r="21" spans="1:15" x14ac:dyDescent="0.25">
      <c r="A21" s="3" t="s">
        <v>51</v>
      </c>
      <c r="B21" s="35">
        <v>139794</v>
      </c>
      <c r="C21" s="35">
        <v>83994</v>
      </c>
      <c r="D21" s="35">
        <v>139794</v>
      </c>
      <c r="E21" s="35">
        <v>83994</v>
      </c>
    </row>
    <row r="22" spans="1:15" x14ac:dyDescent="0.25">
      <c r="A22" s="3" t="s">
        <v>16</v>
      </c>
      <c r="B22" s="35">
        <v>1462810</v>
      </c>
      <c r="C22" s="35">
        <v>702981</v>
      </c>
      <c r="D22" s="35">
        <v>1462810</v>
      </c>
      <c r="E22" s="35">
        <v>702981</v>
      </c>
    </row>
    <row r="23" spans="1:15" x14ac:dyDescent="0.25">
      <c r="A23" s="3" t="s">
        <v>52</v>
      </c>
      <c r="B23" s="35">
        <v>416507</v>
      </c>
      <c r="C23" s="35">
        <v>372970</v>
      </c>
      <c r="D23" s="35">
        <v>416507</v>
      </c>
      <c r="E23" s="35">
        <v>372970</v>
      </c>
      <c r="I23" s="2" t="s">
        <v>7</v>
      </c>
      <c r="J23" t="s">
        <v>0</v>
      </c>
    </row>
    <row r="24" spans="1:15" x14ac:dyDescent="0.25">
      <c r="A24" s="3" t="s">
        <v>53</v>
      </c>
      <c r="B24" s="35">
        <v>74997</v>
      </c>
      <c r="C24" s="35">
        <v>56997</v>
      </c>
      <c r="D24" s="35">
        <v>74997</v>
      </c>
      <c r="E24" s="35">
        <v>56997</v>
      </c>
      <c r="I24" s="3" t="s">
        <v>54</v>
      </c>
      <c r="J24">
        <v>19282220</v>
      </c>
    </row>
    <row r="25" spans="1:15" x14ac:dyDescent="0.25">
      <c r="A25" s="3" t="s">
        <v>55</v>
      </c>
      <c r="B25" s="35">
        <v>251993</v>
      </c>
      <c r="C25" s="35">
        <v>165816</v>
      </c>
      <c r="D25" s="35">
        <v>251993</v>
      </c>
      <c r="E25" s="35">
        <v>165816</v>
      </c>
      <c r="I25" s="3" t="s">
        <v>56</v>
      </c>
      <c r="J25">
        <v>15581672</v>
      </c>
    </row>
    <row r="26" spans="1:15" x14ac:dyDescent="0.25">
      <c r="A26" s="3" t="s">
        <v>57</v>
      </c>
      <c r="B26" s="35">
        <v>335997</v>
      </c>
      <c r="C26" s="35">
        <v>194967</v>
      </c>
      <c r="D26" s="35">
        <v>335997</v>
      </c>
      <c r="E26" s="35">
        <v>194967</v>
      </c>
      <c r="I26" s="3" t="s">
        <v>58</v>
      </c>
      <c r="J26">
        <v>11591271</v>
      </c>
    </row>
    <row r="27" spans="1:15" x14ac:dyDescent="0.25">
      <c r="A27" s="3" t="s">
        <v>59</v>
      </c>
      <c r="B27" s="35">
        <v>479850</v>
      </c>
      <c r="C27" s="35">
        <v>337485</v>
      </c>
      <c r="D27" s="35">
        <v>479850</v>
      </c>
      <c r="E27" s="35">
        <v>337485</v>
      </c>
      <c r="I27" s="3" t="s">
        <v>60</v>
      </c>
      <c r="J27">
        <v>6395592</v>
      </c>
    </row>
    <row r="28" spans="1:15" x14ac:dyDescent="0.25">
      <c r="A28" s="3" t="s">
        <v>61</v>
      </c>
      <c r="B28" s="35">
        <v>23997</v>
      </c>
      <c r="C28" s="35">
        <v>16497</v>
      </c>
      <c r="D28" s="35">
        <v>23997</v>
      </c>
      <c r="E28" s="35">
        <v>16497</v>
      </c>
      <c r="I28" s="3" t="s">
        <v>62</v>
      </c>
      <c r="J28">
        <v>510485</v>
      </c>
    </row>
    <row r="29" spans="1:15" x14ac:dyDescent="0.25">
      <c r="A29" s="3" t="s">
        <v>63</v>
      </c>
      <c r="B29" s="35">
        <v>12076780</v>
      </c>
      <c r="C29" s="35">
        <v>9361914</v>
      </c>
      <c r="D29" s="35">
        <v>12076780</v>
      </c>
      <c r="E29" s="35">
        <v>9361914</v>
      </c>
      <c r="I29" s="3" t="s">
        <v>64</v>
      </c>
      <c r="J29">
        <v>505087</v>
      </c>
    </row>
    <row r="30" spans="1:15" x14ac:dyDescent="0.25">
      <c r="A30" s="3" t="s">
        <v>65</v>
      </c>
      <c r="B30" s="35">
        <v>978780</v>
      </c>
      <c r="C30" s="35">
        <v>566280</v>
      </c>
      <c r="D30" s="35">
        <v>978780</v>
      </c>
      <c r="E30" s="35">
        <v>566280</v>
      </c>
      <c r="I30" s="3" t="s">
        <v>66</v>
      </c>
      <c r="J30">
        <v>152450</v>
      </c>
    </row>
    <row r="31" spans="1:15" x14ac:dyDescent="0.25">
      <c r="A31" s="3" t="s">
        <v>67</v>
      </c>
      <c r="B31" s="35">
        <v>170670</v>
      </c>
      <c r="C31" s="35">
        <v>101940</v>
      </c>
      <c r="D31" s="35">
        <v>170670</v>
      </c>
      <c r="E31" s="35">
        <v>101940</v>
      </c>
      <c r="I31" s="3" t="s">
        <v>23</v>
      </c>
      <c r="J31">
        <v>54018777</v>
      </c>
    </row>
    <row r="32" spans="1:15" x14ac:dyDescent="0.25">
      <c r="A32" s="3" t="s">
        <v>68</v>
      </c>
      <c r="B32" s="35">
        <v>139992</v>
      </c>
      <c r="C32" s="35">
        <v>81992</v>
      </c>
      <c r="D32" s="35">
        <v>139992</v>
      </c>
      <c r="E32" s="35">
        <v>81992</v>
      </c>
    </row>
    <row r="33" spans="1:13" x14ac:dyDescent="0.25">
      <c r="A33" s="3" t="s">
        <v>69</v>
      </c>
      <c r="B33" s="35">
        <v>7999</v>
      </c>
      <c r="C33" s="35">
        <v>7499</v>
      </c>
      <c r="D33" s="35">
        <v>7999</v>
      </c>
      <c r="E33" s="35">
        <v>7499</v>
      </c>
    </row>
    <row r="34" spans="1:13" x14ac:dyDescent="0.25">
      <c r="A34" s="3" t="s">
        <v>70</v>
      </c>
      <c r="B34" s="35">
        <v>664981</v>
      </c>
      <c r="C34" s="35">
        <v>531981</v>
      </c>
      <c r="D34" s="35">
        <v>664981</v>
      </c>
      <c r="E34" s="35">
        <v>531981</v>
      </c>
    </row>
    <row r="35" spans="1:13" x14ac:dyDescent="0.25">
      <c r="A35" s="3" t="s">
        <v>21</v>
      </c>
      <c r="B35" s="35">
        <v>624750</v>
      </c>
      <c r="C35" s="35">
        <v>420625</v>
      </c>
      <c r="D35" s="35">
        <v>624750</v>
      </c>
      <c r="E35" s="35">
        <v>420625</v>
      </c>
      <c r="H35" s="2" t="s">
        <v>1</v>
      </c>
      <c r="I35" s="2" t="s">
        <v>30</v>
      </c>
    </row>
    <row r="36" spans="1:13" x14ac:dyDescent="0.25">
      <c r="A36" s="3" t="s">
        <v>71</v>
      </c>
      <c r="B36" s="35">
        <v>810750</v>
      </c>
      <c r="C36" s="35">
        <v>539985</v>
      </c>
      <c r="D36" s="35">
        <v>810750</v>
      </c>
      <c r="E36" s="35">
        <v>539985</v>
      </c>
      <c r="H36" s="2" t="s">
        <v>7</v>
      </c>
      <c r="I36" t="s">
        <v>8</v>
      </c>
      <c r="J36" t="s">
        <v>19</v>
      </c>
      <c r="K36" t="s">
        <v>25</v>
      </c>
      <c r="L36" t="s">
        <v>29</v>
      </c>
      <c r="M36" t="s">
        <v>32</v>
      </c>
    </row>
    <row r="37" spans="1:13" x14ac:dyDescent="0.25">
      <c r="A37" s="3" t="s">
        <v>72</v>
      </c>
      <c r="B37" s="35">
        <v>63978</v>
      </c>
      <c r="C37" s="35">
        <v>53960</v>
      </c>
      <c r="D37" s="35">
        <v>63978</v>
      </c>
      <c r="E37" s="35">
        <v>53960</v>
      </c>
      <c r="H37" s="63">
        <v>0</v>
      </c>
      <c r="I37">
        <v>7182990</v>
      </c>
      <c r="J37">
        <v>565016</v>
      </c>
      <c r="K37">
        <v>228980</v>
      </c>
      <c r="L37">
        <v>1777679</v>
      </c>
      <c r="M37">
        <v>6296997</v>
      </c>
    </row>
    <row r="38" spans="1:13" x14ac:dyDescent="0.25">
      <c r="A38" s="3" t="s">
        <v>73</v>
      </c>
      <c r="B38" s="35">
        <v>659989</v>
      </c>
      <c r="C38" s="35">
        <v>439989</v>
      </c>
      <c r="D38" s="35">
        <v>659989</v>
      </c>
      <c r="E38" s="35">
        <v>439989</v>
      </c>
      <c r="H38" s="63">
        <v>0.1</v>
      </c>
      <c r="I38">
        <v>948599</v>
      </c>
      <c r="J38">
        <v>637155</v>
      </c>
      <c r="L38">
        <v>626679</v>
      </c>
      <c r="M38">
        <v>1832412</v>
      </c>
    </row>
    <row r="39" spans="1:13" x14ac:dyDescent="0.25">
      <c r="A39" s="3" t="s">
        <v>74</v>
      </c>
      <c r="B39" s="35">
        <v>539991</v>
      </c>
      <c r="C39" s="35">
        <v>449991</v>
      </c>
      <c r="D39" s="35">
        <v>539991</v>
      </c>
      <c r="E39" s="35">
        <v>449991</v>
      </c>
      <c r="H39" s="63">
        <v>0.2</v>
      </c>
      <c r="I39">
        <v>1390376</v>
      </c>
      <c r="J39">
        <v>785389</v>
      </c>
      <c r="L39">
        <v>1696289</v>
      </c>
      <c r="M39">
        <v>5762579</v>
      </c>
    </row>
    <row r="40" spans="1:13" x14ac:dyDescent="0.25">
      <c r="A40" s="3" t="s">
        <v>75</v>
      </c>
      <c r="B40" s="35">
        <v>419880</v>
      </c>
      <c r="C40" s="35">
        <v>352794</v>
      </c>
      <c r="D40" s="35">
        <v>419880</v>
      </c>
      <c r="E40" s="35">
        <v>352794</v>
      </c>
      <c r="H40" s="63">
        <v>0.3</v>
      </c>
      <c r="I40">
        <v>1232486</v>
      </c>
      <c r="J40">
        <v>1111290</v>
      </c>
      <c r="L40">
        <v>2142359</v>
      </c>
      <c r="M40">
        <v>11356921</v>
      </c>
    </row>
    <row r="41" spans="1:13" x14ac:dyDescent="0.25">
      <c r="A41" s="3" t="s">
        <v>76</v>
      </c>
      <c r="B41" s="35">
        <v>299120</v>
      </c>
      <c r="C41" s="35">
        <v>263920</v>
      </c>
      <c r="D41" s="35">
        <v>299120</v>
      </c>
      <c r="E41" s="35">
        <v>263920</v>
      </c>
      <c r="H41" s="63">
        <v>0.4</v>
      </c>
      <c r="I41">
        <v>1482054</v>
      </c>
      <c r="J41">
        <v>846158</v>
      </c>
      <c r="L41">
        <v>2257969</v>
      </c>
      <c r="M41">
        <v>10669947</v>
      </c>
    </row>
    <row r="42" spans="1:13" x14ac:dyDescent="0.25">
      <c r="A42" s="3" t="s">
        <v>77</v>
      </c>
      <c r="B42" s="35">
        <v>158970</v>
      </c>
      <c r="C42" s="35">
        <v>107970</v>
      </c>
      <c r="D42" s="35">
        <v>158970</v>
      </c>
      <c r="E42" s="35">
        <v>107970</v>
      </c>
      <c r="H42" s="63">
        <v>0.5</v>
      </c>
      <c r="I42">
        <v>972646</v>
      </c>
      <c r="J42">
        <v>736967</v>
      </c>
      <c r="L42">
        <v>899680</v>
      </c>
      <c r="M42">
        <v>7302410</v>
      </c>
    </row>
    <row r="43" spans="1:13" x14ac:dyDescent="0.25">
      <c r="A43" s="3" t="s">
        <v>13</v>
      </c>
      <c r="B43" s="35">
        <v>1925850</v>
      </c>
      <c r="C43" s="35">
        <v>1293870</v>
      </c>
      <c r="D43" s="35">
        <v>1925850</v>
      </c>
      <c r="E43" s="35">
        <v>1293870</v>
      </c>
      <c r="H43" s="63">
        <v>0.6</v>
      </c>
      <c r="I43">
        <v>503940</v>
      </c>
      <c r="J43">
        <v>203158</v>
      </c>
      <c r="L43">
        <v>1226940</v>
      </c>
      <c r="M43">
        <v>1496400</v>
      </c>
    </row>
    <row r="44" spans="1:13" x14ac:dyDescent="0.25">
      <c r="A44" s="3" t="s">
        <v>22</v>
      </c>
      <c r="B44" s="35">
        <v>764830</v>
      </c>
      <c r="C44" s="35">
        <v>568803</v>
      </c>
      <c r="D44" s="35">
        <v>764830</v>
      </c>
      <c r="E44" s="35">
        <v>568803</v>
      </c>
      <c r="H44" s="63">
        <v>0.7</v>
      </c>
      <c r="I44">
        <v>47990</v>
      </c>
      <c r="J44">
        <v>86970</v>
      </c>
      <c r="L44">
        <v>189990</v>
      </c>
      <c r="M44">
        <v>263980</v>
      </c>
    </row>
    <row r="45" spans="1:13" x14ac:dyDescent="0.25">
      <c r="A45" s="3" t="s">
        <v>78</v>
      </c>
      <c r="B45" s="35">
        <v>318890</v>
      </c>
      <c r="C45" s="35">
        <v>172150</v>
      </c>
      <c r="D45" s="35">
        <v>318890</v>
      </c>
      <c r="E45" s="35">
        <v>172150</v>
      </c>
      <c r="H45" s="63" t="s">
        <v>23</v>
      </c>
      <c r="I45">
        <v>13761081</v>
      </c>
      <c r="J45">
        <v>4972103</v>
      </c>
      <c r="K45">
        <v>228980</v>
      </c>
      <c r="L45">
        <v>10817585</v>
      </c>
      <c r="M45">
        <v>44981646</v>
      </c>
    </row>
    <row r="46" spans="1:13" x14ac:dyDescent="0.25">
      <c r="A46" s="3" t="s">
        <v>79</v>
      </c>
      <c r="B46" s="35">
        <v>167993</v>
      </c>
      <c r="C46" s="35">
        <v>125993</v>
      </c>
      <c r="D46" s="35">
        <v>167993</v>
      </c>
      <c r="E46" s="35">
        <v>125993</v>
      </c>
    </row>
    <row r="47" spans="1:13" x14ac:dyDescent="0.25">
      <c r="A47" s="3" t="s">
        <v>80</v>
      </c>
      <c r="B47" s="35">
        <v>108000</v>
      </c>
      <c r="C47" s="35">
        <v>49410</v>
      </c>
      <c r="D47" s="35">
        <v>108000</v>
      </c>
      <c r="E47" s="35">
        <v>49410</v>
      </c>
    </row>
    <row r="48" spans="1:13" x14ac:dyDescent="0.25">
      <c r="A48" s="3" t="s">
        <v>9</v>
      </c>
      <c r="B48" s="35">
        <v>14737970</v>
      </c>
      <c r="C48" s="35">
        <v>10875540</v>
      </c>
      <c r="D48" s="35">
        <v>14737970</v>
      </c>
      <c r="E48" s="35">
        <v>10875540</v>
      </c>
    </row>
    <row r="49" spans="1:5" x14ac:dyDescent="0.25">
      <c r="A49" s="3" t="s">
        <v>81</v>
      </c>
      <c r="B49" s="35">
        <v>633141</v>
      </c>
      <c r="C49" s="35">
        <v>539820</v>
      </c>
      <c r="D49" s="35">
        <v>633141</v>
      </c>
      <c r="E49" s="35">
        <v>539820</v>
      </c>
    </row>
    <row r="50" spans="1:5" x14ac:dyDescent="0.25">
      <c r="A50" s="3" t="s">
        <v>82</v>
      </c>
      <c r="B50" s="35">
        <v>141980</v>
      </c>
      <c r="C50" s="35">
        <v>90998</v>
      </c>
      <c r="D50" s="35">
        <v>141980</v>
      </c>
      <c r="E50" s="35">
        <v>90998</v>
      </c>
    </row>
    <row r="51" spans="1:5" x14ac:dyDescent="0.25">
      <c r="A51" s="3" t="s">
        <v>83</v>
      </c>
      <c r="B51" s="35">
        <v>1023920</v>
      </c>
      <c r="C51" s="35">
        <v>1023920</v>
      </c>
      <c r="D51" s="35">
        <v>1023920</v>
      </c>
      <c r="E51" s="35">
        <v>1023920</v>
      </c>
    </row>
    <row r="52" spans="1:5" x14ac:dyDescent="0.25">
      <c r="A52" s="3" t="s">
        <v>84</v>
      </c>
      <c r="B52" s="35">
        <v>12490</v>
      </c>
      <c r="C52" s="35">
        <v>8659</v>
      </c>
      <c r="D52" s="35">
        <v>12490</v>
      </c>
      <c r="E52" s="35">
        <v>8659</v>
      </c>
    </row>
    <row r="53" spans="1:5" x14ac:dyDescent="0.25">
      <c r="A53" s="3" t="s">
        <v>85</v>
      </c>
      <c r="B53" s="35">
        <v>5418800</v>
      </c>
      <c r="C53" s="35">
        <v>3986259</v>
      </c>
      <c r="D53" s="35">
        <v>5418800</v>
      </c>
      <c r="E53" s="35">
        <v>3986259</v>
      </c>
    </row>
    <row r="54" spans="1:5" x14ac:dyDescent="0.25">
      <c r="A54" s="3" t="s">
        <v>86</v>
      </c>
      <c r="B54" s="35">
        <v>49998</v>
      </c>
      <c r="C54" s="35">
        <v>24999</v>
      </c>
      <c r="D54" s="35">
        <v>49998</v>
      </c>
      <c r="E54" s="35">
        <v>24999</v>
      </c>
    </row>
    <row r="55" spans="1:5" x14ac:dyDescent="0.25">
      <c r="A55" s="3" t="s">
        <v>87</v>
      </c>
      <c r="B55" s="35">
        <v>3431560</v>
      </c>
      <c r="C55" s="35">
        <v>1803956</v>
      </c>
      <c r="D55" s="35">
        <v>3431560</v>
      </c>
      <c r="E55" s="35">
        <v>1803956</v>
      </c>
    </row>
    <row r="56" spans="1:5" x14ac:dyDescent="0.25">
      <c r="A56" s="3" t="s">
        <v>88</v>
      </c>
      <c r="B56" s="35">
        <v>521982</v>
      </c>
      <c r="C56" s="35">
        <v>391482</v>
      </c>
      <c r="D56" s="35">
        <v>521982</v>
      </c>
      <c r="E56" s="35">
        <v>391482</v>
      </c>
    </row>
    <row r="57" spans="1:5" x14ac:dyDescent="0.25">
      <c r="A57" s="3" t="s">
        <v>89</v>
      </c>
      <c r="B57" s="35">
        <v>610870</v>
      </c>
      <c r="C57" s="35">
        <v>389987</v>
      </c>
      <c r="D57" s="35">
        <v>610870</v>
      </c>
      <c r="E57" s="35">
        <v>389987</v>
      </c>
    </row>
    <row r="58" spans="1:5" x14ac:dyDescent="0.25">
      <c r="A58" s="3" t="s">
        <v>90</v>
      </c>
      <c r="B58" s="35">
        <v>230890</v>
      </c>
      <c r="C58" s="35">
        <v>181489</v>
      </c>
      <c r="D58" s="35">
        <v>230890</v>
      </c>
      <c r="E58" s="35">
        <v>181489</v>
      </c>
    </row>
    <row r="59" spans="1:5" x14ac:dyDescent="0.25">
      <c r="A59" s="3" t="s">
        <v>91</v>
      </c>
      <c r="B59" s="35">
        <v>114000</v>
      </c>
      <c r="C59" s="35">
        <v>73978</v>
      </c>
      <c r="D59" s="35">
        <v>114000</v>
      </c>
      <c r="E59" s="35">
        <v>73978</v>
      </c>
    </row>
    <row r="60" spans="1:5" x14ac:dyDescent="0.25">
      <c r="A60" s="3" t="s">
        <v>15</v>
      </c>
      <c r="B60" s="35">
        <v>1149770</v>
      </c>
      <c r="C60" s="35">
        <v>712977</v>
      </c>
      <c r="D60" s="35">
        <v>1149770</v>
      </c>
      <c r="E60" s="35">
        <v>712977</v>
      </c>
    </row>
    <row r="61" spans="1:5" x14ac:dyDescent="0.25">
      <c r="A61" s="3" t="s">
        <v>92</v>
      </c>
      <c r="B61" s="35">
        <v>204950</v>
      </c>
      <c r="C61" s="35">
        <v>204950</v>
      </c>
      <c r="D61" s="35">
        <v>204950</v>
      </c>
      <c r="E61" s="35">
        <v>204950</v>
      </c>
    </row>
    <row r="62" spans="1:5" x14ac:dyDescent="0.25">
      <c r="A62" s="3" t="s">
        <v>23</v>
      </c>
      <c r="B62" s="35">
        <v>57825822</v>
      </c>
      <c r="C62" s="35">
        <v>41326517</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5C360-BA1A-4195-89DC-EDE7B4E0A940}">
  <dimension ref="A3:F27"/>
  <sheetViews>
    <sheetView zoomScale="52" workbookViewId="0">
      <selection activeCell="I20" sqref="I20"/>
    </sheetView>
  </sheetViews>
  <sheetFormatPr defaultRowHeight="13.8" x14ac:dyDescent="0.25"/>
  <cols>
    <col min="1" max="1" width="12.5" customWidth="1"/>
    <col min="2" max="2" width="27.69921875" customWidth="1"/>
    <col min="3" max="3" width="28" customWidth="1"/>
    <col min="4" max="4" width="22.69921875" customWidth="1"/>
    <col min="5" max="5" width="29.19921875" customWidth="1"/>
    <col min="6" max="6" width="32.59765625" customWidth="1"/>
  </cols>
  <sheetData>
    <row r="3" spans="1:6" x14ac:dyDescent="0.25">
      <c r="A3" s="2" t="s">
        <v>7</v>
      </c>
      <c r="B3" t="s">
        <v>93</v>
      </c>
      <c r="C3" t="s">
        <v>94</v>
      </c>
      <c r="D3" t="s">
        <v>95</v>
      </c>
      <c r="E3" t="s">
        <v>96</v>
      </c>
      <c r="F3" t="s">
        <v>97</v>
      </c>
    </row>
    <row r="4" spans="1:6" x14ac:dyDescent="0.25">
      <c r="A4" s="3" t="s">
        <v>63</v>
      </c>
      <c r="B4">
        <v>9311841</v>
      </c>
      <c r="C4">
        <v>0</v>
      </c>
      <c r="D4">
        <v>264715</v>
      </c>
      <c r="E4">
        <v>2131021</v>
      </c>
      <c r="F4">
        <v>115980</v>
      </c>
    </row>
    <row r="5" spans="1:6" x14ac:dyDescent="0.25">
      <c r="A5" s="3" t="s">
        <v>9</v>
      </c>
      <c r="B5">
        <v>6159657</v>
      </c>
      <c r="C5">
        <v>5194394</v>
      </c>
      <c r="D5">
        <v>372366</v>
      </c>
      <c r="E5">
        <v>3787655</v>
      </c>
      <c r="F5">
        <v>113000</v>
      </c>
    </row>
    <row r="6" spans="1:6" x14ac:dyDescent="0.25">
      <c r="A6" s="3" t="s">
        <v>85</v>
      </c>
      <c r="B6">
        <v>4655442</v>
      </c>
      <c r="C6">
        <v>0</v>
      </c>
      <c r="D6">
        <v>195504</v>
      </c>
      <c r="E6">
        <v>688310</v>
      </c>
      <c r="F6">
        <v>0</v>
      </c>
    </row>
    <row r="7" spans="1:6" x14ac:dyDescent="0.25">
      <c r="A7" s="3" t="s">
        <v>87</v>
      </c>
      <c r="B7">
        <v>1542574</v>
      </c>
      <c r="C7">
        <v>446976</v>
      </c>
      <c r="D7">
        <v>106120</v>
      </c>
      <c r="E7">
        <v>359456</v>
      </c>
      <c r="F7">
        <v>0</v>
      </c>
    </row>
    <row r="8" spans="1:6" x14ac:dyDescent="0.25">
      <c r="A8" s="3" t="s">
        <v>13</v>
      </c>
      <c r="B8">
        <v>1080943</v>
      </c>
      <c r="C8">
        <v>0</v>
      </c>
      <c r="D8">
        <v>130874</v>
      </c>
      <c r="E8">
        <v>393002</v>
      </c>
      <c r="F8">
        <v>0</v>
      </c>
    </row>
    <row r="9" spans="1:6" x14ac:dyDescent="0.25">
      <c r="A9" s="3" t="s">
        <v>15</v>
      </c>
      <c r="B9">
        <v>716454</v>
      </c>
      <c r="C9">
        <v>259999</v>
      </c>
      <c r="D9">
        <v>39997</v>
      </c>
      <c r="E9">
        <v>56497</v>
      </c>
      <c r="F9">
        <v>0</v>
      </c>
    </row>
    <row r="10" spans="1:6" x14ac:dyDescent="0.25">
      <c r="A10" s="3" t="s">
        <v>16</v>
      </c>
      <c r="B10">
        <v>687478</v>
      </c>
      <c r="C10">
        <v>286988</v>
      </c>
      <c r="D10">
        <v>13990</v>
      </c>
      <c r="E10">
        <v>41998</v>
      </c>
      <c r="F10">
        <v>0</v>
      </c>
    </row>
    <row r="11" spans="1:6" x14ac:dyDescent="0.25">
      <c r="A11" s="3" t="s">
        <v>81</v>
      </c>
      <c r="B11">
        <v>470147</v>
      </c>
      <c r="C11">
        <v>49900</v>
      </c>
      <c r="D11">
        <v>79569</v>
      </c>
      <c r="E11">
        <v>78479</v>
      </c>
      <c r="F11">
        <v>0</v>
      </c>
    </row>
    <row r="12" spans="1:6" x14ac:dyDescent="0.25">
      <c r="A12" s="3" t="s">
        <v>89</v>
      </c>
      <c r="B12">
        <v>397592</v>
      </c>
      <c r="C12">
        <v>0</v>
      </c>
      <c r="D12">
        <v>29998</v>
      </c>
      <c r="E12">
        <v>77497</v>
      </c>
      <c r="F12">
        <v>0</v>
      </c>
    </row>
    <row r="13" spans="1:6" x14ac:dyDescent="0.25">
      <c r="A13" s="3" t="s">
        <v>50</v>
      </c>
      <c r="B13">
        <v>387576</v>
      </c>
      <c r="C13">
        <v>0</v>
      </c>
      <c r="D13">
        <v>82208</v>
      </c>
      <c r="E13">
        <v>189308</v>
      </c>
      <c r="F13">
        <v>0</v>
      </c>
    </row>
    <row r="14" spans="1:6" x14ac:dyDescent="0.25">
      <c r="A14" s="3" t="s">
        <v>23</v>
      </c>
      <c r="B14">
        <v>2540970.4</v>
      </c>
      <c r="C14">
        <v>623825.69999999995</v>
      </c>
      <c r="D14">
        <v>1315341</v>
      </c>
      <c r="E14">
        <v>780322.3</v>
      </c>
      <c r="F14">
        <v>22898</v>
      </c>
    </row>
    <row r="16" spans="1:6" x14ac:dyDescent="0.25">
      <c r="A16" s="3"/>
    </row>
    <row r="17" spans="1:6" x14ac:dyDescent="0.25">
      <c r="A17" s="3" t="str">
        <f t="shared" ref="A17:A27" si="0">A4</f>
        <v xml:space="preserve">Lg </v>
      </c>
      <c r="B17">
        <f>GETPIVOTDATA("Average of Selling price of Ultra",$A$3,"Brand","Lg ")</f>
        <v>9311841</v>
      </c>
      <c r="C17">
        <f>GETPIVOTDATA("Average of Selling price of QLED",$A$3,"Brand","Lg ")</f>
        <v>0</v>
      </c>
      <c r="D17">
        <f>GETPIVOTDATA("Sum of Selling price of HD",$A$3,"Brand","Lg ")</f>
        <v>264715</v>
      </c>
      <c r="E17">
        <f>GETPIVOTDATA("Average of Selling price of Full Hd",$A$3,"Brand","Lg ")</f>
        <v>2131021</v>
      </c>
      <c r="F17">
        <f>GETPIVOTDATA("Average of Selling price of HD plasma",$A$3,"Brand","Lg ")</f>
        <v>115980</v>
      </c>
    </row>
    <row r="18" spans="1:6" x14ac:dyDescent="0.25">
      <c r="A18" s="3" t="str">
        <f t="shared" si="0"/>
        <v>Samsung</v>
      </c>
      <c r="B18">
        <f>GETPIVOTDATA("Average of Selling price of Ultra",$A$3,"Brand","Samsung")</f>
        <v>6159657</v>
      </c>
      <c r="C18">
        <f>GETPIVOTDATA("Average of Selling price of QLED",$A$3,"Brand","Samsung")</f>
        <v>5194394</v>
      </c>
      <c r="D18">
        <f>GETPIVOTDATA("Sum of Selling price of HD",$A$3,"Brand","Samsung")</f>
        <v>372366</v>
      </c>
      <c r="E18">
        <f>GETPIVOTDATA("Average of Selling price of Full Hd",$A$3,"Brand","Samsung")</f>
        <v>3787655</v>
      </c>
      <c r="F18">
        <f>GETPIVOTDATA("Average of Selling price of HD plasma",$A$3,"Brand","Samsung")</f>
        <v>113000</v>
      </c>
    </row>
    <row r="19" spans="1:6" x14ac:dyDescent="0.25">
      <c r="A19" s="3" t="str">
        <f t="shared" si="0"/>
        <v xml:space="preserve">Sony </v>
      </c>
      <c r="B19">
        <f>GETPIVOTDATA("Average of Selling price of Ultra",$A$3,"Brand","Sony ")</f>
        <v>4655442</v>
      </c>
      <c r="C19">
        <f>GETPIVOTDATA("Average of Selling price of QLED",$A$3,"Brand","Sony ")</f>
        <v>0</v>
      </c>
      <c r="D19">
        <f>GETPIVOTDATA("Sum of Selling price of HD",$A$3,"Brand","Sony ")</f>
        <v>195504</v>
      </c>
      <c r="E19">
        <f>GETPIVOTDATA("Average of Selling price of Full Hd",$A$3,"Brand","Sony ")</f>
        <v>688310</v>
      </c>
      <c r="F19">
        <f>GETPIVOTDATA("Average of Selling price of HD plasma",$A$3,"Brand","Sony ")</f>
        <v>0</v>
      </c>
    </row>
    <row r="20" spans="1:6" x14ac:dyDescent="0.25">
      <c r="A20" s="3" t="str">
        <f t="shared" si="0"/>
        <v xml:space="preserve">Tcl </v>
      </c>
      <c r="B20">
        <f>GETPIVOTDATA("Average of Selling price of Ultra",$A$3,"Brand","Tcl ")</f>
        <v>1542574</v>
      </c>
      <c r="C20">
        <f>GETPIVOTDATA("Average of Selling price of QLED",$A$3,"Brand","Tcl ")</f>
        <v>446976</v>
      </c>
      <c r="D20">
        <f>GETPIVOTDATA("Sum of Selling price of HD",$A$3,"Brand","Tcl ")</f>
        <v>106120</v>
      </c>
      <c r="E20">
        <f>GETPIVOTDATA("Average of Selling price of Full Hd",$A$3,"Brand","Tcl ")</f>
        <v>359456</v>
      </c>
      <c r="F20">
        <f>GETPIVOTDATA("Average of Selling price of HD plasma",$A$3,"Brand","Tcl ")</f>
        <v>0</v>
      </c>
    </row>
    <row r="21" spans="1:6" x14ac:dyDescent="0.25">
      <c r="A21" s="3" t="str">
        <f t="shared" si="0"/>
        <v>Panasonic</v>
      </c>
      <c r="B21">
        <f>GETPIVOTDATA("Average of Selling price of Ultra",$A$3,"Brand","Panasonic")</f>
        <v>1080943</v>
      </c>
      <c r="C21">
        <f>GETPIVOTDATA("Average of Selling price of QLED",$A$3,"Brand","Panasonic")</f>
        <v>0</v>
      </c>
      <c r="D21">
        <f>GETPIVOTDATA("Sum of Selling price of HD",$A$3,"Brand","Panasonic")</f>
        <v>130874</v>
      </c>
      <c r="E21">
        <f>GETPIVOTDATA("Average of Selling price of Full Hd",$A$3,"Brand","Panasonic")</f>
        <v>393002</v>
      </c>
      <c r="F21">
        <f>GETPIVOTDATA("Average of Selling price of HD plasma",$A$3,"Brand","Panasonic")</f>
        <v>0</v>
      </c>
    </row>
    <row r="22" spans="1:6" x14ac:dyDescent="0.25">
      <c r="A22" s="3" t="str">
        <f t="shared" si="0"/>
        <v>Vu</v>
      </c>
      <c r="B22">
        <f>GETPIVOTDATA("Average of Selling price of Ultra",$A$3,"Brand","Vu")</f>
        <v>716454</v>
      </c>
      <c r="C22">
        <f>GETPIVOTDATA("Average of Selling price of QLED",$A$3,"Brand","Vu")</f>
        <v>259999</v>
      </c>
      <c r="D22">
        <f>GETPIVOTDATA("Sum of Selling price of HD",$A$3,"Brand","Vu")</f>
        <v>39997</v>
      </c>
      <c r="E22">
        <f>GETPIVOTDATA("Average of Selling price of Full Hd",$A$3,"Brand","Vu")</f>
        <v>56497</v>
      </c>
      <c r="F22">
        <f>GETPIVOTDATA("Average of Selling price of HD plasma",$A$3,"Brand","Vu")</f>
        <v>0</v>
      </c>
    </row>
    <row r="23" spans="1:6" x14ac:dyDescent="0.25">
      <c r="A23" s="3" t="str">
        <f t="shared" si="0"/>
        <v>Iffalcon By Tcl</v>
      </c>
      <c r="B23">
        <f>GETPIVOTDATA("Average of Selling price of Ultra",$A$3,"Brand","Iffalcon By Tcl")</f>
        <v>687478</v>
      </c>
      <c r="C23">
        <f>GETPIVOTDATA("Average of Selling price of QLED",$A$3,"Brand","Iffalcon By Tcl")</f>
        <v>286988</v>
      </c>
      <c r="D23">
        <f>GETPIVOTDATA("Sum of Selling price of HD",$A$3,"Brand","Iffalcon By Tcl")</f>
        <v>13990</v>
      </c>
      <c r="E23">
        <f>GETPIVOTDATA("Average of Selling price of Full Hd",$A$3,"Brand","Iffalcon By Tcl")</f>
        <v>41998</v>
      </c>
      <c r="F23">
        <f>GETPIVOTDATA("Average of Selling price of HD plasma",$A$3,"Brand","Iffalcon By Tcl")</f>
        <v>0</v>
      </c>
    </row>
    <row r="24" spans="1:6" x14ac:dyDescent="0.25">
      <c r="A24" s="3" t="str">
        <f t="shared" si="0"/>
        <v xml:space="preserve">Sansui </v>
      </c>
      <c r="B24">
        <f>GETPIVOTDATA("Average of Selling price of Ultra",$A$3,"Brand","Sansui ")</f>
        <v>470147</v>
      </c>
      <c r="C24">
        <f>GETPIVOTDATA("Average of Selling price of QLED",$A$3,"Brand","Sansui ")</f>
        <v>49900</v>
      </c>
      <c r="D24">
        <f>GETPIVOTDATA("Sum of Selling price of HD",$A$3,"Brand","Sansui ")</f>
        <v>79569</v>
      </c>
      <c r="E24">
        <f>GETPIVOTDATA("Average of Selling price of Full Hd",$A$3,"Brand","Sansui ")</f>
        <v>78479</v>
      </c>
      <c r="F24">
        <f>GETPIVOTDATA("Average of Selling price of HD plasma",$A$3,"Brand","Sansui ")</f>
        <v>0</v>
      </c>
    </row>
    <row r="25" spans="1:6" x14ac:dyDescent="0.25">
      <c r="A25" s="3" t="str">
        <f t="shared" si="0"/>
        <v>Toshiba</v>
      </c>
      <c r="B25">
        <f>GETPIVOTDATA("Average of Selling price of Ultra",$A$3,"Brand","Toshiba")</f>
        <v>397592</v>
      </c>
      <c r="C25">
        <f>GETPIVOTDATA("Average of Selling price of QLED",$A$3,"Brand","Toshiba")</f>
        <v>0</v>
      </c>
      <c r="D25">
        <f>GETPIVOTDATA("Sum of Selling price of HD",$A$3,"Brand","Toshiba")</f>
        <v>29998</v>
      </c>
      <c r="E25">
        <f>GETPIVOTDATA("Average of Selling price of Full Hd",$A$3,"Brand","Toshiba")</f>
        <v>77497</v>
      </c>
      <c r="F25">
        <f>GETPIVOTDATA("Average of Selling price of HD plasma",$A$3,"Brand","Toshiba")</f>
        <v>0</v>
      </c>
    </row>
    <row r="26" spans="1:6" x14ac:dyDescent="0.25">
      <c r="A26" s="3" t="str">
        <f t="shared" si="0"/>
        <v xml:space="preserve">Haier </v>
      </c>
      <c r="B26">
        <f>GETPIVOTDATA("Average of Selling price of Ultra",$A$3,"Brand","Haier ")</f>
        <v>387576</v>
      </c>
      <c r="C26">
        <f>GETPIVOTDATA("Average of Selling price of QLED",$A$3,"Brand","Haier ")</f>
        <v>0</v>
      </c>
      <c r="D26">
        <f>GETPIVOTDATA("Sum of Selling price of HD",$A$3,"Brand","Haier ")</f>
        <v>82208</v>
      </c>
      <c r="E26">
        <f>GETPIVOTDATA("Average of Selling price of Full Hd",$A$3,"Brand","Haier ")</f>
        <v>189308</v>
      </c>
      <c r="F26">
        <f>GETPIVOTDATA("Average of Selling price of HD plasma",$A$3,"Brand","Haier ")</f>
        <v>0</v>
      </c>
    </row>
    <row r="27" spans="1:6" x14ac:dyDescent="0.25">
      <c r="A27" s="3" t="str">
        <f t="shared" si="0"/>
        <v>Grand Total</v>
      </c>
      <c r="B27">
        <f>GETPIVOTDATA("Average of Selling price of Ultra",$A$3)</f>
        <v>2540970.4</v>
      </c>
      <c r="C27">
        <f>GETPIVOTDATA("Average of Selling price of QLED",$A$3)</f>
        <v>623825.69999999995</v>
      </c>
      <c r="D27">
        <f>GETPIVOTDATA("Sum of Selling price of HD",$A$3)</f>
        <v>1315341</v>
      </c>
      <c r="E27">
        <f>GETPIVOTDATA("Average of Selling price of Full Hd",$A$3)</f>
        <v>780322.3</v>
      </c>
      <c r="F27">
        <f>GETPIVOTDATA("Average of Selling price of HD plasma",$A$3)</f>
        <v>22898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0E6F6-965E-428B-BFFC-0D38B3898DE8}">
  <dimension ref="D3:T64"/>
  <sheetViews>
    <sheetView zoomScale="63" workbookViewId="0">
      <selection activeCell="R7" sqref="R7"/>
    </sheetView>
  </sheetViews>
  <sheetFormatPr defaultRowHeight="13.8" x14ac:dyDescent="0.25"/>
  <cols>
    <col min="9" max="9" width="8.69921875" customWidth="1"/>
    <col min="10" max="10" width="15.59765625" customWidth="1"/>
    <col min="11" max="11" width="15.3984375" customWidth="1"/>
    <col min="12" max="12" width="14.5" customWidth="1"/>
    <col min="14" max="14" width="11.19921875" customWidth="1"/>
  </cols>
  <sheetData>
    <row r="3" spans="4:20" ht="14.4" customHeight="1" thickBot="1" x14ac:dyDescent="0.3">
      <c r="D3" s="80" t="s">
        <v>98</v>
      </c>
      <c r="E3" s="81"/>
      <c r="F3" s="81"/>
      <c r="G3" s="82"/>
    </row>
    <row r="4" spans="4:20" x14ac:dyDescent="0.25">
      <c r="E4" t="str">
        <f t="array" ref="E4:E8">_xlfn.TAKE(_xlfn.SORTBY(Table4[Brand-Renamed],Table4[Selling Price],-1),5)</f>
        <v>Hisense</v>
      </c>
      <c r="F4">
        <f t="array" ref="F4:F8">_xlfn.TAKE(_xlfn._xlws.SORT(Table4[Selling Price],,-1),5)</f>
        <v>499990</v>
      </c>
    </row>
    <row r="5" spans="4:20" x14ac:dyDescent="0.25">
      <c r="E5" t="str">
        <v>Samsung</v>
      </c>
      <c r="F5">
        <v>470900</v>
      </c>
    </row>
    <row r="6" spans="4:20" x14ac:dyDescent="0.25">
      <c r="E6" t="str">
        <v xml:space="preserve">Sony </v>
      </c>
      <c r="F6">
        <v>469999</v>
      </c>
      <c r="J6" t="s">
        <v>99</v>
      </c>
      <c r="K6" t="s">
        <v>32</v>
      </c>
      <c r="L6" t="s">
        <v>29</v>
      </c>
      <c r="M6" t="s">
        <v>19</v>
      </c>
      <c r="N6" t="s">
        <v>8</v>
      </c>
      <c r="O6" t="s">
        <v>25</v>
      </c>
      <c r="P6" t="s">
        <v>100</v>
      </c>
      <c r="Q6" t="s">
        <v>101</v>
      </c>
      <c r="R6" t="s">
        <v>102</v>
      </c>
      <c r="S6" t="s">
        <v>103</v>
      </c>
      <c r="T6" t="s">
        <v>104</v>
      </c>
    </row>
    <row r="7" spans="4:20" x14ac:dyDescent="0.25">
      <c r="E7" t="str">
        <v xml:space="preserve">Sharp </v>
      </c>
      <c r="F7">
        <v>449900</v>
      </c>
      <c r="J7" t="str">
        <f t="array" ref="J7:J64">_xlfn.UNIQUE(Table4[Brand-Renamed])</f>
        <v>Toshiba</v>
      </c>
      <c r="K7">
        <f>COUNTIFS(Table4[Brand-Renamed],J7,Table4[Resolution],$K$6)</f>
        <v>8</v>
      </c>
      <c r="L7">
        <f>COUNTIFS(Table4[Brand-Renamed],J7,Table4[Resolution],$L$6)</f>
        <v>0</v>
      </c>
      <c r="M7">
        <f>COUNTIFS(Table4[Brand-Renamed],J7,Table4[Resolution],$M$6)</f>
        <v>2</v>
      </c>
      <c r="N7">
        <f>COUNTIFS(Table4[Brand-Renamed],J7,Table4[Resolution],$N$6)</f>
        <v>3</v>
      </c>
      <c r="O7">
        <f>COUNTIFS(Table4[Brand-Renamed],J7,Table4[Resolution],$O$6)</f>
        <v>0</v>
      </c>
      <c r="P7">
        <f>SUMIFS(Table4[Selling Price],Table4[Resolution],$K$6,Table4[Brand-Renamed],J7)</f>
        <v>397592</v>
      </c>
      <c r="Q7">
        <f>SUMIFS(Table4[Selling Price],Table4[Resolution],$L$6,Table4[Brand-Renamed],J7)</f>
        <v>0</v>
      </c>
      <c r="R7">
        <f>SUMIFS(Table4[Selling Price],Table4[Resolution],$M$6,Table4[Brand-Renamed],J7)</f>
        <v>29998</v>
      </c>
      <c r="S7">
        <f>SUMIFS(Table4[Selling Price],Table4[Resolution],$N$6,Table4[Brand-Renamed],J7)</f>
        <v>77497</v>
      </c>
      <c r="T7">
        <f>SUMIFS(Table4[Selling Price],Table4[Resolution],$O$6,Table4[Brand-Renamed],J7)</f>
        <v>0</v>
      </c>
    </row>
    <row r="8" spans="4:20" x14ac:dyDescent="0.25">
      <c r="E8" t="str">
        <v>Samsung</v>
      </c>
      <c r="F8">
        <v>419900</v>
      </c>
      <c r="J8" t="str">
        <v xml:space="preserve">Tcl </v>
      </c>
      <c r="K8">
        <f>COUNTIFS(Table4[Brand-Renamed],J8,Table4[Resolution],$K$6)</f>
        <v>22</v>
      </c>
      <c r="L8">
        <f>COUNTIFS(Table4[Brand-Renamed],J8,Table4[Resolution],$L$6)</f>
        <v>6</v>
      </c>
      <c r="M8">
        <f>COUNTIFS(Table4[Brand-Renamed],J8,Table4[Resolution],$M$6)</f>
        <v>9</v>
      </c>
      <c r="N8">
        <f>COUNTIFS(Table4[Brand-Renamed],J8,Table4[Resolution],$N$6)</f>
        <v>7</v>
      </c>
      <c r="O8">
        <f>COUNTIFS(Table4[Brand-Renamed],J8,Table4[Resolution],$O$6)</f>
        <v>0</v>
      </c>
      <c r="P8">
        <f>SUMIFS(Table4[Selling Price],Table4[Resolution],$K$6,Table4[Brand-Renamed],J8)</f>
        <v>1542574</v>
      </c>
      <c r="Q8">
        <f>SUMIFS(Table4[Selling Price],Table4[Resolution],$L$6,Table4[Brand-Renamed],J8)</f>
        <v>446976</v>
      </c>
      <c r="R8">
        <f>SUMIFS(Table4[Selling Price],Table4[Resolution],$M$6,Table4[Brand-Renamed],J8)</f>
        <v>106120</v>
      </c>
      <c r="S8">
        <f>SUMIFS(Table4[Selling Price],Table4[Resolution],$N$6,Table4[Brand-Renamed],J8)</f>
        <v>359456</v>
      </c>
      <c r="T8">
        <f>SUMIFS(Table4[Selling Price],Table4[Resolution],$O$6,Table4[Brand-Renamed],J8)</f>
        <v>0</v>
      </c>
    </row>
    <row r="9" spans="4:20" ht="14.4" thickBot="1" x14ac:dyDescent="0.3">
      <c r="J9" t="str">
        <v xml:space="preserve">Realme </v>
      </c>
      <c r="K9">
        <f>COUNTIFS(Table4[Brand-Renamed],J9,Table4[Resolution],$K$6)</f>
        <v>3</v>
      </c>
      <c r="L9">
        <f>COUNTIFS(Table4[Brand-Renamed],J9,Table4[Resolution],$L$6)</f>
        <v>0</v>
      </c>
      <c r="M9">
        <f>COUNTIFS(Table4[Brand-Renamed],J9,Table4[Resolution],$M$6)</f>
        <v>3</v>
      </c>
      <c r="N9">
        <f>COUNTIFS(Table4[Brand-Renamed],J9,Table4[Resolution],$N$6)</f>
        <v>1</v>
      </c>
      <c r="O9">
        <f>COUNTIFS(Table4[Brand-Renamed],J9,Table4[Resolution],$O$6)</f>
        <v>0</v>
      </c>
      <c r="P9">
        <f>SUMIFS(Table4[Selling Price],Table4[Resolution],$K$6,Table4[Brand-Renamed],J9)</f>
        <v>113997</v>
      </c>
      <c r="Q9">
        <f>SUMIFS(Table4[Selling Price],Table4[Resolution],$L$6,Table4[Brand-Renamed],J9)</f>
        <v>0</v>
      </c>
      <c r="R9">
        <f>SUMIFS(Table4[Selling Price],Table4[Resolution],$M$6,Table4[Brand-Renamed],J9)</f>
        <v>38997</v>
      </c>
      <c r="S9">
        <f>SUMIFS(Table4[Selling Price],Table4[Resolution],$N$6,Table4[Brand-Renamed],J9)</f>
        <v>17999</v>
      </c>
      <c r="T9">
        <f>SUMIFS(Table4[Selling Price],Table4[Resolution],$O$6,Table4[Brand-Renamed],J9)</f>
        <v>0</v>
      </c>
    </row>
    <row r="10" spans="4:20" ht="14.4" thickBot="1" x14ac:dyDescent="0.3">
      <c r="D10" s="80" t="s">
        <v>105</v>
      </c>
      <c r="E10" s="81"/>
      <c r="F10" s="81"/>
      <c r="G10" s="82"/>
      <c r="J10" t="str">
        <v xml:space="preserve">Mi </v>
      </c>
      <c r="K10">
        <f>COUNTIFS(Table4[Brand-Renamed],J10,Table4[Resolution],$K$6)</f>
        <v>8</v>
      </c>
      <c r="L10">
        <f>COUNTIFS(Table4[Brand-Renamed],J10,Table4[Resolution],$L$6)</f>
        <v>1</v>
      </c>
      <c r="M10">
        <f>COUNTIFS(Table4[Brand-Renamed],J10,Table4[Resolution],$M$6)</f>
        <v>5</v>
      </c>
      <c r="N10">
        <f>COUNTIFS(Table4[Brand-Renamed],J10,Table4[Resolution],$N$6)</f>
        <v>5</v>
      </c>
      <c r="O10">
        <f>COUNTIFS(Table4[Brand-Renamed],J10,Table4[Resolution],$O$6)</f>
        <v>0</v>
      </c>
      <c r="P10">
        <f>SUMIFS(Table4[Selling Price],Table4[Resolution],$K$6,Table4[Brand-Renamed],J10)</f>
        <v>318470</v>
      </c>
      <c r="Q10">
        <f>SUMIFS(Table4[Selling Price],Table4[Resolution],$L$6,Table4[Brand-Renamed],J10)</f>
        <v>58999</v>
      </c>
      <c r="R10">
        <f>SUMIFS(Table4[Selling Price],Table4[Resolution],$M$6,Table4[Brand-Renamed],J10)</f>
        <v>76495</v>
      </c>
      <c r="S10">
        <f>SUMIFS(Table4[Selling Price],Table4[Resolution],$N$6,Table4[Brand-Renamed],J10)</f>
        <v>130990</v>
      </c>
      <c r="T10">
        <f>SUMIFS(Table4[Selling Price],Table4[Resolution],$O$6,Table4[Brand-Renamed],J10)</f>
        <v>0</v>
      </c>
    </row>
    <row r="11" spans="4:20" x14ac:dyDescent="0.25">
      <c r="E11" t="str">
        <f t="array" ref="E11:E15">_xlfn.TAKE(_xlfn.SORTBY(Table4[Brand-Renamed],Table4[Original Price],-1),5)</f>
        <v xml:space="preserve">Lg </v>
      </c>
      <c r="F11">
        <f t="array" ref="F11:F15">_xlfn.TAKE(_xlfn._xlws.SORT(Table4[Original Price],,-1),5)</f>
        <v>549990</v>
      </c>
      <c r="J11" t="str">
        <v>Oneplus</v>
      </c>
      <c r="K11">
        <f>COUNTIFS(Table4[Brand-Renamed],J11,Table4[Resolution],$K$6)</f>
        <v>4</v>
      </c>
      <c r="L11">
        <f>COUNTIFS(Table4[Brand-Renamed],J11,Table4[Resolution],$L$6)</f>
        <v>2</v>
      </c>
      <c r="M11">
        <f>COUNTIFS(Table4[Brand-Renamed],J11,Table4[Resolution],$M$6)</f>
        <v>1</v>
      </c>
      <c r="N11">
        <f>COUNTIFS(Table4[Brand-Renamed],J11,Table4[Resolution],$N$6)</f>
        <v>2</v>
      </c>
      <c r="O11">
        <f>COUNTIFS(Table4[Brand-Renamed],J11,Table4[Resolution],$O$6)</f>
        <v>0</v>
      </c>
      <c r="P11">
        <f>SUMIFS(Table4[Selling Price],Table4[Resolution],$K$6,Table4[Brand-Renamed],J11)</f>
        <v>213996</v>
      </c>
      <c r="Q11">
        <f>SUMIFS(Table4[Selling Price],Table4[Resolution],$L$6,Table4[Brand-Renamed],J11)</f>
        <v>147889</v>
      </c>
      <c r="R11">
        <f>SUMIFS(Table4[Selling Price],Table4[Resolution],$M$6,Table4[Brand-Renamed],J11)</f>
        <v>15999</v>
      </c>
      <c r="S11">
        <f>SUMIFS(Table4[Selling Price],Table4[Resolution],$N$6,Table4[Brand-Renamed],J11)</f>
        <v>48498</v>
      </c>
      <c r="T11">
        <f>SUMIFS(Table4[Selling Price],Table4[Resolution],$O$6,Table4[Brand-Renamed],J11)</f>
        <v>0</v>
      </c>
    </row>
    <row r="12" spans="4:20" x14ac:dyDescent="0.25">
      <c r="E12" t="str">
        <v xml:space="preserve">Sony </v>
      </c>
      <c r="F12">
        <v>529900</v>
      </c>
      <c r="J12" t="str">
        <v>Hisense</v>
      </c>
      <c r="K12">
        <f>COUNTIFS(Table4[Brand-Renamed],J12,Table4[Resolution],$K$6)</f>
        <v>6</v>
      </c>
      <c r="L12">
        <f>COUNTIFS(Table4[Brand-Renamed],J12,Table4[Resolution],$L$6)</f>
        <v>2</v>
      </c>
      <c r="M12">
        <f>COUNTIFS(Table4[Brand-Renamed],J12,Table4[Resolution],$M$6)</f>
        <v>2</v>
      </c>
      <c r="N12">
        <f>COUNTIFS(Table4[Brand-Renamed],J12,Table4[Resolution],$N$6)</f>
        <v>0</v>
      </c>
      <c r="O12">
        <f>COUNTIFS(Table4[Brand-Renamed],J12,Table4[Resolution],$O$6)</f>
        <v>0</v>
      </c>
      <c r="P12">
        <f>SUMIFS(Table4[Selling Price],Table4[Resolution],$K$6,Table4[Brand-Renamed],J12)</f>
        <v>276985</v>
      </c>
      <c r="Q12">
        <f>SUMIFS(Table4[Selling Price],Table4[Resolution],$L$6,Table4[Brand-Renamed],J12)</f>
        <v>584980</v>
      </c>
      <c r="R12">
        <f>SUMIFS(Table4[Selling Price],Table4[Resolution],$M$6,Table4[Brand-Renamed],J12)</f>
        <v>35989</v>
      </c>
      <c r="S12">
        <f>SUMIFS(Table4[Selling Price],Table4[Resolution],$N$6,Table4[Brand-Renamed],J12)</f>
        <v>0</v>
      </c>
      <c r="T12">
        <f>SUMIFS(Table4[Selling Price],Table4[Resolution],$O$6,Table4[Brand-Renamed],J12)</f>
        <v>0</v>
      </c>
    </row>
    <row r="13" spans="4:20" x14ac:dyDescent="0.25">
      <c r="E13" t="str">
        <v xml:space="preserve">Lg </v>
      </c>
      <c r="F13">
        <v>499990</v>
      </c>
      <c r="J13" t="str">
        <v xml:space="preserve">Lg </v>
      </c>
      <c r="K13">
        <f>COUNTIFS(Table4[Brand-Renamed],J13,Table4[Resolution],$K$6)</f>
        <v>79</v>
      </c>
      <c r="L13">
        <f>COUNTIFS(Table4[Brand-Renamed],J13,Table4[Resolution],$L$6)</f>
        <v>0</v>
      </c>
      <c r="M13">
        <f>COUNTIFS(Table4[Brand-Renamed],J13,Table4[Resolution],$M$6)</f>
        <v>14</v>
      </c>
      <c r="N13">
        <f>COUNTIFS(Table4[Brand-Renamed],J13,Table4[Resolution],$N$6)</f>
        <v>27</v>
      </c>
      <c r="O13">
        <f>COUNTIFS(Table4[Brand-Renamed],J13,Table4[Resolution],$O$6)</f>
        <v>2</v>
      </c>
      <c r="P13">
        <f>SUMIFS(Table4[Selling Price],Table4[Resolution],$K$6,Table4[Brand-Renamed],J13)</f>
        <v>9311841</v>
      </c>
      <c r="Q13">
        <f>SUMIFS(Table4[Selling Price],Table4[Resolution],$L$6,Table4[Brand-Renamed],J13)</f>
        <v>0</v>
      </c>
      <c r="R13">
        <f>SUMIFS(Table4[Selling Price],Table4[Resolution],$M$6,Table4[Brand-Renamed],J13)</f>
        <v>264715</v>
      </c>
      <c r="S13">
        <f>SUMIFS(Table4[Selling Price],Table4[Resolution],$N$6,Table4[Brand-Renamed],J13)</f>
        <v>2131021</v>
      </c>
      <c r="T13">
        <f>SUMIFS(Table4[Selling Price],Table4[Resolution],$O$6,Table4[Brand-Renamed],J13)</f>
        <v>115980</v>
      </c>
    </row>
    <row r="14" spans="4:20" x14ac:dyDescent="0.25">
      <c r="E14" t="str">
        <v>Hisense</v>
      </c>
      <c r="F14">
        <v>499990</v>
      </c>
      <c r="J14" t="str">
        <v>Marq By Flipkart</v>
      </c>
      <c r="K14">
        <f>COUNTIFS(Table4[Brand-Renamed],J14,Table4[Resolution],$K$6)</f>
        <v>1</v>
      </c>
      <c r="L14">
        <f>COUNTIFS(Table4[Brand-Renamed],J14,Table4[Resolution],$L$6)</f>
        <v>0</v>
      </c>
      <c r="M14">
        <f>COUNTIFS(Table4[Brand-Renamed],J14,Table4[Resolution],$M$6)</f>
        <v>4</v>
      </c>
      <c r="N14">
        <f>COUNTIFS(Table4[Brand-Renamed],J14,Table4[Resolution],$N$6)</f>
        <v>3</v>
      </c>
      <c r="O14">
        <f>COUNTIFS(Table4[Brand-Renamed],J14,Table4[Resolution],$O$6)</f>
        <v>0</v>
      </c>
      <c r="P14">
        <f>SUMIFS(Table4[Selling Price],Table4[Resolution],$K$6,Table4[Brand-Renamed],J14)</f>
        <v>64999</v>
      </c>
      <c r="Q14">
        <f>SUMIFS(Table4[Selling Price],Table4[Resolution],$L$6,Table4[Brand-Renamed],J14)</f>
        <v>0</v>
      </c>
      <c r="R14">
        <f>SUMIFS(Table4[Selling Price],Table4[Resolution],$M$6,Table4[Brand-Renamed],J14)</f>
        <v>41496</v>
      </c>
      <c r="S14">
        <f>SUMIFS(Table4[Selling Price],Table4[Resolution],$N$6,Table4[Brand-Renamed],J14)</f>
        <v>35497</v>
      </c>
      <c r="T14">
        <f>SUMIFS(Table4[Selling Price],Table4[Resolution],$O$6,Table4[Brand-Renamed],J14)</f>
        <v>0</v>
      </c>
    </row>
    <row r="15" spans="4:20" x14ac:dyDescent="0.25">
      <c r="E15" t="str">
        <v xml:space="preserve">Sony </v>
      </c>
      <c r="F15">
        <v>499900</v>
      </c>
      <c r="J15" t="str">
        <v>Iffalcon By Tcl</v>
      </c>
      <c r="K15">
        <f>COUNTIFS(Table4[Brand-Renamed],J15,Table4[Resolution],$K$6)</f>
        <v>13</v>
      </c>
      <c r="L15">
        <f>COUNTIFS(Table4[Brand-Renamed],J15,Table4[Resolution],$L$6)</f>
        <v>3</v>
      </c>
      <c r="M15">
        <f>COUNTIFS(Table4[Brand-Renamed],J15,Table4[Resolution],$M$6)</f>
        <v>1</v>
      </c>
      <c r="N15">
        <f>COUNTIFS(Table4[Brand-Renamed],J15,Table4[Resolution],$N$6)</f>
        <v>2</v>
      </c>
      <c r="O15">
        <f>COUNTIFS(Table4[Brand-Renamed],J15,Table4[Resolution],$O$6)</f>
        <v>0</v>
      </c>
      <c r="P15">
        <f>SUMIFS(Table4[Selling Price],Table4[Resolution],$K$6,Table4[Brand-Renamed],J15)</f>
        <v>687478</v>
      </c>
      <c r="Q15">
        <f>SUMIFS(Table4[Selling Price],Table4[Resolution],$L$6,Table4[Brand-Renamed],J15)</f>
        <v>286988</v>
      </c>
      <c r="R15">
        <f>SUMIFS(Table4[Selling Price],Table4[Resolution],$M$6,Table4[Brand-Renamed],J15)</f>
        <v>13990</v>
      </c>
      <c r="S15">
        <f>SUMIFS(Table4[Selling Price],Table4[Resolution],$N$6,Table4[Brand-Renamed],J15)</f>
        <v>41998</v>
      </c>
      <c r="T15">
        <f>SUMIFS(Table4[Selling Price],Table4[Resolution],$O$6,Table4[Brand-Renamed],J15)</f>
        <v>0</v>
      </c>
    </row>
    <row r="16" spans="4:20" x14ac:dyDescent="0.25">
      <c r="J16" t="str">
        <v xml:space="preserve">Coocaa </v>
      </c>
      <c r="K16">
        <f>COUNTIFS(Table4[Brand-Renamed],J16,Table4[Resolution],$K$6)</f>
        <v>6</v>
      </c>
      <c r="L16">
        <f>COUNTIFS(Table4[Brand-Renamed],J16,Table4[Resolution],$L$6)</f>
        <v>0</v>
      </c>
      <c r="M16">
        <f>COUNTIFS(Table4[Brand-Renamed],J16,Table4[Resolution],$M$6)</f>
        <v>2</v>
      </c>
      <c r="N16">
        <f>COUNTIFS(Table4[Brand-Renamed],J16,Table4[Resolution],$N$6)</f>
        <v>1</v>
      </c>
      <c r="O16">
        <f>COUNTIFS(Table4[Brand-Renamed],J16,Table4[Resolution],$O$6)</f>
        <v>0</v>
      </c>
      <c r="P16">
        <f>SUMIFS(Table4[Selling Price],Table4[Resolution],$K$6,Table4[Brand-Renamed],J16)</f>
        <v>177485</v>
      </c>
      <c r="Q16">
        <f>SUMIFS(Table4[Selling Price],Table4[Resolution],$L$6,Table4[Brand-Renamed],J16)</f>
        <v>0</v>
      </c>
      <c r="R16">
        <f>SUMIFS(Table4[Selling Price],Table4[Resolution],$M$6,Table4[Brand-Renamed],J16)</f>
        <v>23498</v>
      </c>
      <c r="S16">
        <f>SUMIFS(Table4[Selling Price],Table4[Resolution],$N$6,Table4[Brand-Renamed],J16)</f>
        <v>18999</v>
      </c>
      <c r="T16">
        <f>SUMIFS(Table4[Selling Price],Table4[Resolution],$O$6,Table4[Brand-Renamed],J16)</f>
        <v>0</v>
      </c>
    </row>
    <row r="17" spans="5:20" x14ac:dyDescent="0.25">
      <c r="J17" t="str">
        <v>Samsung</v>
      </c>
      <c r="K17">
        <f>COUNTIFS(Table4[Brand-Renamed],J17,Table4[Resolution],$K$6)</f>
        <v>55</v>
      </c>
      <c r="L17">
        <f>COUNTIFS(Table4[Brand-Renamed],J17,Table4[Resolution],$L$6)</f>
        <v>36</v>
      </c>
      <c r="M17">
        <f>COUNTIFS(Table4[Brand-Renamed],J17,Table4[Resolution],$M$6)</f>
        <v>16</v>
      </c>
      <c r="N17">
        <f>COUNTIFS(Table4[Brand-Renamed],J17,Table4[Resolution],$N$6)</f>
        <v>37</v>
      </c>
      <c r="O17">
        <f>COUNTIFS(Table4[Brand-Renamed],J17,Table4[Resolution],$O$6)</f>
        <v>2</v>
      </c>
      <c r="P17">
        <f>SUMIFS(Table4[Selling Price],Table4[Resolution],$K$6,Table4[Brand-Renamed],J17)</f>
        <v>6159657</v>
      </c>
      <c r="Q17">
        <f>SUMIFS(Table4[Selling Price],Table4[Resolution],$L$6,Table4[Brand-Renamed],J17)</f>
        <v>5194394</v>
      </c>
      <c r="R17">
        <f>SUMIFS(Table4[Selling Price],Table4[Resolution],$M$6,Table4[Brand-Renamed],J17)</f>
        <v>372366</v>
      </c>
      <c r="S17">
        <f>SUMIFS(Table4[Selling Price],Table4[Resolution],$N$6,Table4[Brand-Renamed],J17)</f>
        <v>3787655</v>
      </c>
      <c r="T17">
        <f>SUMIFS(Table4[Selling Price],Table4[Resolution],$O$6,Table4[Brand-Renamed],J17)</f>
        <v>113000</v>
      </c>
    </row>
    <row r="18" spans="5:20" x14ac:dyDescent="0.25">
      <c r="J18" t="str">
        <v>Infinix</v>
      </c>
      <c r="K18">
        <f>COUNTIFS(Table4[Brand-Renamed],J18,Table4[Resolution],$K$6)</f>
        <v>0</v>
      </c>
      <c r="L18">
        <f>COUNTIFS(Table4[Brand-Renamed],J18,Table4[Resolution],$L$6)</f>
        <v>0</v>
      </c>
      <c r="M18">
        <f>COUNTIFS(Table4[Brand-Renamed],J18,Table4[Resolution],$M$6)</f>
        <v>1</v>
      </c>
      <c r="N18">
        <f>COUNTIFS(Table4[Brand-Renamed],J18,Table4[Resolution],$N$6)</f>
        <v>2</v>
      </c>
      <c r="O18">
        <f>COUNTIFS(Table4[Brand-Renamed],J18,Table4[Resolution],$O$6)</f>
        <v>0</v>
      </c>
      <c r="P18">
        <f>SUMIFS(Table4[Selling Price],Table4[Resolution],$K$6,Table4[Brand-Renamed],J18)</f>
        <v>0</v>
      </c>
      <c r="Q18">
        <f>SUMIFS(Table4[Selling Price],Table4[Resolution],$L$6,Table4[Brand-Renamed],J18)</f>
        <v>0</v>
      </c>
      <c r="R18">
        <f>SUMIFS(Table4[Selling Price],Table4[Resolution],$M$6,Table4[Brand-Renamed],J18)</f>
        <v>11999</v>
      </c>
      <c r="S18">
        <f>SUMIFS(Table4[Selling Price],Table4[Resolution],$N$6,Table4[Brand-Renamed],J18)</f>
        <v>39498</v>
      </c>
      <c r="T18">
        <f>SUMIFS(Table4[Selling Price],Table4[Resolution],$O$6,Table4[Brand-Renamed],J18)</f>
        <v>0</v>
      </c>
    </row>
    <row r="19" spans="5:20" x14ac:dyDescent="0.25">
      <c r="J19" t="str">
        <v>Vu</v>
      </c>
      <c r="K19">
        <f>COUNTIFS(Table4[Brand-Renamed],J19,Table4[Resolution],$K$6)</f>
        <v>16</v>
      </c>
      <c r="L19">
        <f>COUNTIFS(Table4[Brand-Renamed],J19,Table4[Resolution],$L$6)</f>
        <v>1</v>
      </c>
      <c r="M19">
        <f>COUNTIFS(Table4[Brand-Renamed],J19,Table4[Resolution],$M$6)</f>
        <v>3</v>
      </c>
      <c r="N19">
        <f>COUNTIFS(Table4[Brand-Renamed],J19,Table4[Resolution],$N$6)</f>
        <v>3</v>
      </c>
      <c r="O19">
        <f>COUNTIFS(Table4[Brand-Renamed],J19,Table4[Resolution],$O$6)</f>
        <v>0</v>
      </c>
      <c r="P19">
        <f>SUMIFS(Table4[Selling Price],Table4[Resolution],$K$6,Table4[Brand-Renamed],J19)</f>
        <v>716454</v>
      </c>
      <c r="Q19">
        <f>SUMIFS(Table4[Selling Price],Table4[Resolution],$L$6,Table4[Brand-Renamed],J19)</f>
        <v>259999</v>
      </c>
      <c r="R19">
        <f>SUMIFS(Table4[Selling Price],Table4[Resolution],$M$6,Table4[Brand-Renamed],J19)</f>
        <v>39997</v>
      </c>
      <c r="S19">
        <f>SUMIFS(Table4[Selling Price],Table4[Resolution],$N$6,Table4[Brand-Renamed],J19)</f>
        <v>56497</v>
      </c>
      <c r="T19">
        <f>SUMIFS(Table4[Selling Price],Table4[Resolution],$O$6,Table4[Brand-Renamed],J19)</f>
        <v>0</v>
      </c>
    </row>
    <row r="20" spans="5:20" x14ac:dyDescent="0.25">
      <c r="J20" t="str">
        <v xml:space="preserve">Nokia </v>
      </c>
      <c r="K20">
        <f>COUNTIFS(Table4[Brand-Renamed],J20,Table4[Resolution],$K$6)</f>
        <v>8</v>
      </c>
      <c r="L20">
        <f>COUNTIFS(Table4[Brand-Renamed],J20,Table4[Resolution],$L$6)</f>
        <v>1</v>
      </c>
      <c r="M20">
        <f>COUNTIFS(Table4[Brand-Renamed],J20,Table4[Resolution],$M$6)</f>
        <v>1</v>
      </c>
      <c r="N20">
        <f>COUNTIFS(Table4[Brand-Renamed],J20,Table4[Resolution],$N$6)</f>
        <v>1</v>
      </c>
      <c r="O20">
        <f>COUNTIFS(Table4[Brand-Renamed],J20,Table4[Resolution],$O$6)</f>
        <v>0</v>
      </c>
      <c r="P20">
        <f>SUMIFS(Table4[Selling Price],Table4[Resolution],$K$6,Table4[Brand-Renamed],J20)</f>
        <v>328992</v>
      </c>
      <c r="Q20">
        <f>SUMIFS(Table4[Selling Price],Table4[Resolution],$L$6,Table4[Brand-Renamed],J20)</f>
        <v>54999</v>
      </c>
      <c r="R20">
        <f>SUMIFS(Table4[Selling Price],Table4[Resolution],$M$6,Table4[Brand-Renamed],J20)</f>
        <v>16499</v>
      </c>
      <c r="S20">
        <f>SUMIFS(Table4[Selling Price],Table4[Resolution],$N$6,Table4[Brand-Renamed],J20)</f>
        <v>26999</v>
      </c>
      <c r="T20">
        <f>SUMIFS(Table4[Selling Price],Table4[Resolution],$O$6,Table4[Brand-Renamed],J20)</f>
        <v>0</v>
      </c>
    </row>
    <row r="21" spans="5:20" x14ac:dyDescent="0.25">
      <c r="J21" t="str">
        <v>Thomson</v>
      </c>
      <c r="K21">
        <f>COUNTIFS(Table4[Brand-Renamed],J21,Table4[Resolution],$K$6)</f>
        <v>9</v>
      </c>
      <c r="L21">
        <f>COUNTIFS(Table4[Brand-Renamed],J21,Table4[Resolution],$L$6)</f>
        <v>0</v>
      </c>
      <c r="M21">
        <f>COUNTIFS(Table4[Brand-Renamed],J21,Table4[Resolution],$M$6)</f>
        <v>5</v>
      </c>
      <c r="N21">
        <f>COUNTIFS(Table4[Brand-Renamed],J21,Table4[Resolution],$N$6)</f>
        <v>4</v>
      </c>
      <c r="O21">
        <f>COUNTIFS(Table4[Brand-Renamed],J21,Table4[Resolution],$O$6)</f>
        <v>0</v>
      </c>
      <c r="P21">
        <f>SUMIFS(Table4[Selling Price],Table4[Resolution],$K$6,Table4[Brand-Renamed],J21)</f>
        <v>312991</v>
      </c>
      <c r="Q21">
        <f>SUMIFS(Table4[Selling Price],Table4[Resolution],$L$6,Table4[Brand-Renamed],J21)</f>
        <v>0</v>
      </c>
      <c r="R21">
        <f>SUMIFS(Table4[Selling Price],Table4[Resolution],$M$6,Table4[Brand-Renamed],J21)</f>
        <v>62995</v>
      </c>
      <c r="S21">
        <f>SUMIFS(Table4[Selling Price],Table4[Resolution],$N$6,Table4[Brand-Renamed],J21)</f>
        <v>78496</v>
      </c>
      <c r="T21">
        <f>SUMIFS(Table4[Selling Price],Table4[Resolution],$O$6,Table4[Brand-Renamed],J21)</f>
        <v>0</v>
      </c>
    </row>
    <row r="22" spans="5:20" x14ac:dyDescent="0.25">
      <c r="J22" t="str">
        <v xml:space="preserve">Sony </v>
      </c>
      <c r="K22">
        <f>COUNTIFS(Table4[Brand-Renamed],J22,Table4[Resolution],$K$6)</f>
        <v>38</v>
      </c>
      <c r="L22">
        <f>COUNTIFS(Table4[Brand-Renamed],J22,Table4[Resolution],$L$6)</f>
        <v>0</v>
      </c>
      <c r="M22">
        <f>COUNTIFS(Table4[Brand-Renamed],J22,Table4[Resolution],$M$6)</f>
        <v>8</v>
      </c>
      <c r="N22">
        <f>COUNTIFS(Table4[Brand-Renamed],J22,Table4[Resolution],$N$6)</f>
        <v>16</v>
      </c>
      <c r="O22">
        <f>COUNTIFS(Table4[Brand-Renamed],J22,Table4[Resolution],$O$6)</f>
        <v>0</v>
      </c>
      <c r="P22">
        <f>SUMIFS(Table4[Selling Price],Table4[Resolution],$K$6,Table4[Brand-Renamed],J22)</f>
        <v>4655442</v>
      </c>
      <c r="Q22">
        <f>SUMIFS(Table4[Selling Price],Table4[Resolution],$L$6,Table4[Brand-Renamed],J22)</f>
        <v>0</v>
      </c>
      <c r="R22">
        <f>SUMIFS(Table4[Selling Price],Table4[Resolution],$M$6,Table4[Brand-Renamed],J22)</f>
        <v>195504</v>
      </c>
      <c r="S22">
        <f>SUMIFS(Table4[Selling Price],Table4[Resolution],$N$6,Table4[Brand-Renamed],J22)</f>
        <v>688310</v>
      </c>
      <c r="T22">
        <f>SUMIFS(Table4[Selling Price],Table4[Resolution],$O$6,Table4[Brand-Renamed],J22)</f>
        <v>0</v>
      </c>
    </row>
    <row r="23" spans="5:20" x14ac:dyDescent="0.25">
      <c r="J23" t="str">
        <v xml:space="preserve">Kodak </v>
      </c>
      <c r="K23">
        <f>COUNTIFS(Table4[Brand-Renamed],J23,Table4[Resolution],$K$6)</f>
        <v>6</v>
      </c>
      <c r="L23">
        <f>COUNTIFS(Table4[Brand-Renamed],J23,Table4[Resolution],$L$6)</f>
        <v>0</v>
      </c>
      <c r="M23">
        <f>COUNTIFS(Table4[Brand-Renamed],J23,Table4[Resolution],$M$6)</f>
        <v>4</v>
      </c>
      <c r="N23">
        <f>COUNTIFS(Table4[Brand-Renamed],J23,Table4[Resolution],$N$6)</f>
        <v>5</v>
      </c>
      <c r="O23">
        <f>COUNTIFS(Table4[Brand-Renamed],J23,Table4[Resolution],$O$6)</f>
        <v>0</v>
      </c>
      <c r="P23">
        <f>SUMIFS(Table4[Selling Price],Table4[Resolution],$K$6,Table4[Brand-Renamed],J23)</f>
        <v>209485</v>
      </c>
      <c r="Q23">
        <f>SUMIFS(Table4[Selling Price],Table4[Resolution],$L$6,Table4[Brand-Renamed],J23)</f>
        <v>0</v>
      </c>
      <c r="R23">
        <f>SUMIFS(Table4[Selling Price],Table4[Resolution],$M$6,Table4[Brand-Renamed],J23)</f>
        <v>44496</v>
      </c>
      <c r="S23">
        <f>SUMIFS(Table4[Selling Price],Table4[Resolution],$N$6,Table4[Brand-Renamed],J23)</f>
        <v>100995</v>
      </c>
      <c r="T23">
        <f>SUMIFS(Table4[Selling Price],Table4[Resolution],$O$6,Table4[Brand-Renamed],J23)</f>
        <v>0</v>
      </c>
    </row>
    <row r="24" spans="5:20" x14ac:dyDescent="0.25">
      <c r="J24" t="str">
        <v>Motorola</v>
      </c>
      <c r="K24">
        <f>COUNTIFS(Table4[Brand-Renamed],J24,Table4[Resolution],$K$6)</f>
        <v>9</v>
      </c>
      <c r="L24">
        <f>COUNTIFS(Table4[Brand-Renamed],J24,Table4[Resolution],$L$6)</f>
        <v>2</v>
      </c>
      <c r="M24">
        <f>COUNTIFS(Table4[Brand-Renamed],J24,Table4[Resolution],$M$6)</f>
        <v>2</v>
      </c>
      <c r="N24">
        <f>COUNTIFS(Table4[Brand-Renamed],J24,Table4[Resolution],$N$6)</f>
        <v>2</v>
      </c>
      <c r="O24">
        <f>COUNTIFS(Table4[Brand-Renamed],J24,Table4[Resolution],$O$6)</f>
        <v>0</v>
      </c>
      <c r="P24">
        <f>SUMIFS(Table4[Selling Price],Table4[Resolution],$K$6,Table4[Brand-Renamed],J24)</f>
        <v>381991</v>
      </c>
      <c r="Q24">
        <f>SUMIFS(Table4[Selling Price],Table4[Resolution],$L$6,Table4[Brand-Renamed],J24)</f>
        <v>101998</v>
      </c>
      <c r="R24">
        <f>SUMIFS(Table4[Selling Price],Table4[Resolution],$M$6,Table4[Brand-Renamed],J24)</f>
        <v>38998</v>
      </c>
      <c r="S24">
        <f>SUMIFS(Table4[Selling Price],Table4[Resolution],$N$6,Table4[Brand-Renamed],J24)</f>
        <v>52998</v>
      </c>
      <c r="T24">
        <f>SUMIFS(Table4[Selling Price],Table4[Resolution],$O$6,Table4[Brand-Renamed],J24)</f>
        <v>0</v>
      </c>
    </row>
    <row r="25" spans="5:20" x14ac:dyDescent="0.25">
      <c r="J25" t="str">
        <v>Philips</v>
      </c>
      <c r="K25">
        <f>COUNTIFS(Table4[Brand-Renamed],J25,Table4[Resolution],$K$6)</f>
        <v>7</v>
      </c>
      <c r="L25">
        <f>COUNTIFS(Table4[Brand-Renamed],J25,Table4[Resolution],$L$6)</f>
        <v>0</v>
      </c>
      <c r="M25">
        <f>COUNTIFS(Table4[Brand-Renamed],J25,Table4[Resolution],$M$6)</f>
        <v>3</v>
      </c>
      <c r="N25">
        <f>COUNTIFS(Table4[Brand-Renamed],J25,Table4[Resolution],$N$6)</f>
        <v>7</v>
      </c>
      <c r="O25">
        <f>COUNTIFS(Table4[Brand-Renamed],J25,Table4[Resolution],$O$6)</f>
        <v>0</v>
      </c>
      <c r="P25">
        <f>SUMIFS(Table4[Selling Price],Table4[Resolution],$K$6,Table4[Brand-Renamed],J25)</f>
        <v>335993</v>
      </c>
      <c r="Q25">
        <f>SUMIFS(Table4[Selling Price],Table4[Resolution],$L$6,Table4[Brand-Renamed],J25)</f>
        <v>0</v>
      </c>
      <c r="R25">
        <f>SUMIFS(Table4[Selling Price],Table4[Resolution],$M$6,Table4[Brand-Renamed],J25)</f>
        <v>48838</v>
      </c>
      <c r="S25">
        <f>SUMIFS(Table4[Selling Price],Table4[Resolution],$N$6,Table4[Brand-Renamed],J25)</f>
        <v>195104</v>
      </c>
      <c r="T25">
        <f>SUMIFS(Table4[Selling Price],Table4[Resolution],$O$6,Table4[Brand-Renamed],J25)</f>
        <v>0</v>
      </c>
    </row>
    <row r="26" spans="5:20" x14ac:dyDescent="0.25">
      <c r="J26" t="str">
        <v>Acer</v>
      </c>
      <c r="K26">
        <f>COUNTIFS(Table4[Brand-Renamed],J26,Table4[Resolution],$K$6)</f>
        <v>5</v>
      </c>
      <c r="L26">
        <f>COUNTIFS(Table4[Brand-Renamed],J26,Table4[Resolution],$L$6)</f>
        <v>0</v>
      </c>
      <c r="M26">
        <f>COUNTIFS(Table4[Brand-Renamed],J26,Table4[Resolution],$M$6)</f>
        <v>3</v>
      </c>
      <c r="N26">
        <f>COUNTIFS(Table4[Brand-Renamed],J26,Table4[Resolution],$N$6)</f>
        <v>1</v>
      </c>
      <c r="O26">
        <f>COUNTIFS(Table4[Brand-Renamed],J26,Table4[Resolution],$O$6)</f>
        <v>0</v>
      </c>
      <c r="P26">
        <f>SUMIFS(Table4[Selling Price],Table4[Resolution],$K$6,Table4[Brand-Renamed],J26)</f>
        <v>218986</v>
      </c>
      <c r="Q26">
        <f>SUMIFS(Table4[Selling Price],Table4[Resolution],$L$6,Table4[Brand-Renamed],J26)</f>
        <v>0</v>
      </c>
      <c r="R26">
        <f>SUMIFS(Table4[Selling Price],Table4[Resolution],$M$6,Table4[Brand-Renamed],J26)</f>
        <v>43997</v>
      </c>
      <c r="S26">
        <f>SUMIFS(Table4[Selling Price],Table4[Resolution],$N$6,Table4[Brand-Renamed],J26)</f>
        <v>21999</v>
      </c>
      <c r="T26">
        <f>SUMIFS(Table4[Selling Price],Table4[Resolution],$O$6,Table4[Brand-Renamed],J26)</f>
        <v>0</v>
      </c>
    </row>
    <row r="27" spans="5:20" x14ac:dyDescent="0.25">
      <c r="J27" t="str">
        <v>Blaupunkt</v>
      </c>
      <c r="K27">
        <f>COUNTIFS(Table4[Brand-Renamed],J27,Table4[Resolution],$K$6)</f>
        <v>8</v>
      </c>
      <c r="L27">
        <f>COUNTIFS(Table4[Brand-Renamed],J27,Table4[Resolution],$L$6)</f>
        <v>0</v>
      </c>
      <c r="M27">
        <f>COUNTIFS(Table4[Brand-Renamed],J27,Table4[Resolution],$M$6)</f>
        <v>4</v>
      </c>
      <c r="N27">
        <f>COUNTIFS(Table4[Brand-Renamed],J27,Table4[Resolution],$N$6)</f>
        <v>3</v>
      </c>
      <c r="O27">
        <f>COUNTIFS(Table4[Brand-Renamed],J27,Table4[Resolution],$O$6)</f>
        <v>0</v>
      </c>
      <c r="P27">
        <f>SUMIFS(Table4[Selling Price],Table4[Resolution],$K$6,Table4[Brand-Renamed],J27)</f>
        <v>265692</v>
      </c>
      <c r="Q27">
        <f>SUMIFS(Table4[Selling Price],Table4[Resolution],$L$6,Table4[Brand-Renamed],J27)</f>
        <v>0</v>
      </c>
      <c r="R27">
        <f>SUMIFS(Table4[Selling Price],Table4[Resolution],$M$6,Table4[Brand-Renamed],J27)</f>
        <v>36996</v>
      </c>
      <c r="S27">
        <f>SUMIFS(Table4[Selling Price],Table4[Resolution],$N$6,Table4[Brand-Renamed],J27)</f>
        <v>52997</v>
      </c>
      <c r="T27">
        <f>SUMIFS(Table4[Selling Price],Table4[Resolution],$O$6,Table4[Brand-Renamed],J27)</f>
        <v>0</v>
      </c>
    </row>
    <row r="28" spans="5:20" x14ac:dyDescent="0.25">
      <c r="J28" t="str">
        <v>Adsun</v>
      </c>
      <c r="K28">
        <f>COUNTIFS(Table4[Brand-Renamed],J28,Table4[Resolution],$K$6)</f>
        <v>2</v>
      </c>
      <c r="L28">
        <f>COUNTIFS(Table4[Brand-Renamed],J28,Table4[Resolution],$L$6)</f>
        <v>0</v>
      </c>
      <c r="M28">
        <f>COUNTIFS(Table4[Brand-Renamed],J28,Table4[Resolution],$M$6)</f>
        <v>5</v>
      </c>
      <c r="N28">
        <f>COUNTIFS(Table4[Brand-Renamed],J28,Table4[Resolution],$N$6)</f>
        <v>0</v>
      </c>
      <c r="O28">
        <f>COUNTIFS(Table4[Brand-Renamed],J28,Table4[Resolution],$O$6)</f>
        <v>0</v>
      </c>
      <c r="P28">
        <f>SUMIFS(Table4[Selling Price],Table4[Resolution],$K$6,Table4[Brand-Renamed],J28)</f>
        <v>51848</v>
      </c>
      <c r="Q28">
        <f>SUMIFS(Table4[Selling Price],Table4[Resolution],$L$6,Table4[Brand-Renamed],J28)</f>
        <v>0</v>
      </c>
      <c r="R28">
        <f>SUMIFS(Table4[Selling Price],Table4[Resolution],$M$6,Table4[Brand-Renamed],J28)</f>
        <v>54695</v>
      </c>
      <c r="S28">
        <f>SUMIFS(Table4[Selling Price],Table4[Resolution],$N$6,Table4[Brand-Renamed],J28)</f>
        <v>0</v>
      </c>
      <c r="T28">
        <f>SUMIFS(Table4[Selling Price],Table4[Resolution],$O$6,Table4[Brand-Renamed],J28)</f>
        <v>0</v>
      </c>
    </row>
    <row r="29" spans="5:20" x14ac:dyDescent="0.25">
      <c r="J29" t="str">
        <v>T-Series</v>
      </c>
      <c r="K29">
        <f>COUNTIFS(Table4[Brand-Renamed],J29,Table4[Resolution],$K$6)</f>
        <v>0</v>
      </c>
      <c r="L29">
        <f>COUNTIFS(Table4[Brand-Renamed],J29,Table4[Resolution],$L$6)</f>
        <v>0</v>
      </c>
      <c r="M29">
        <f>COUNTIFS(Table4[Brand-Renamed],J29,Table4[Resolution],$M$6)</f>
        <v>9</v>
      </c>
      <c r="N29">
        <f>COUNTIFS(Table4[Brand-Renamed],J29,Table4[Resolution],$N$6)</f>
        <v>2</v>
      </c>
      <c r="O29">
        <f>COUNTIFS(Table4[Brand-Renamed],J29,Table4[Resolution],$O$6)</f>
        <v>0</v>
      </c>
      <c r="P29">
        <f>SUMIFS(Table4[Selling Price],Table4[Resolution],$K$6,Table4[Brand-Renamed],J29)</f>
        <v>0</v>
      </c>
      <c r="Q29">
        <f>SUMIFS(Table4[Selling Price],Table4[Resolution],$L$6,Table4[Brand-Renamed],J29)</f>
        <v>0</v>
      </c>
      <c r="R29">
        <f>SUMIFS(Table4[Selling Price],Table4[Resolution],$M$6,Table4[Brand-Renamed],J29)</f>
        <v>143473</v>
      </c>
      <c r="S29">
        <f>SUMIFS(Table4[Selling Price],Table4[Resolution],$N$6,Table4[Brand-Renamed],J29)</f>
        <v>45498</v>
      </c>
      <c r="T29">
        <f>SUMIFS(Table4[Selling Price],Table4[Resolution],$O$6,Table4[Brand-Renamed],J29)</f>
        <v>0</v>
      </c>
    </row>
    <row r="30" spans="5:20" x14ac:dyDescent="0.25">
      <c r="E30" s="14" t="str">
        <f>"Total Selling &amp; Original Prices for:" &amp;'Pivot 1 '!F34</f>
        <v>Total Selling &amp; Original Prices for:Total Brand</v>
      </c>
      <c r="J30" t="str">
        <v>Panasonic</v>
      </c>
      <c r="K30">
        <f>COUNTIFS(Table4[Brand-Renamed],J30,Table4[Resolution],$K$6)</f>
        <v>15</v>
      </c>
      <c r="L30">
        <f>COUNTIFS(Table4[Brand-Renamed],J30,Table4[Resolution],$L$6)</f>
        <v>0</v>
      </c>
      <c r="M30">
        <f>COUNTIFS(Table4[Brand-Renamed],J30,Table4[Resolution],$M$6)</f>
        <v>5</v>
      </c>
      <c r="N30">
        <f>COUNTIFS(Table4[Brand-Renamed],J30,Table4[Resolution],$N$6)</f>
        <v>10</v>
      </c>
      <c r="O30">
        <f>COUNTIFS(Table4[Brand-Renamed],J30,Table4[Resolution],$O$6)</f>
        <v>0</v>
      </c>
      <c r="P30">
        <f>SUMIFS(Table4[Selling Price],Table4[Resolution],$K$6,Table4[Brand-Renamed],J30)</f>
        <v>1080943</v>
      </c>
      <c r="Q30">
        <f>SUMIFS(Table4[Selling Price],Table4[Resolution],$L$6,Table4[Brand-Renamed],J30)</f>
        <v>0</v>
      </c>
      <c r="R30">
        <f>SUMIFS(Table4[Selling Price],Table4[Resolution],$M$6,Table4[Brand-Renamed],J30)</f>
        <v>130874</v>
      </c>
      <c r="S30">
        <f>SUMIFS(Table4[Selling Price],Table4[Resolution],$N$6,Table4[Brand-Renamed],J30)</f>
        <v>393002</v>
      </c>
      <c r="T30">
        <f>SUMIFS(Table4[Selling Price],Table4[Resolution],$O$6,Table4[Brand-Renamed],J30)</f>
        <v>0</v>
      </c>
    </row>
    <row r="31" spans="5:20" x14ac:dyDescent="0.25">
      <c r="J31" t="str">
        <v>Micromax</v>
      </c>
      <c r="K31">
        <f>COUNTIFS(Table4[Brand-Renamed],J31,Table4[Resolution],$K$6)</f>
        <v>3</v>
      </c>
      <c r="L31">
        <f>COUNTIFS(Table4[Brand-Renamed],J31,Table4[Resolution],$L$6)</f>
        <v>0</v>
      </c>
      <c r="M31">
        <f>COUNTIFS(Table4[Brand-Renamed],J31,Table4[Resolution],$M$6)</f>
        <v>14</v>
      </c>
      <c r="N31">
        <f>COUNTIFS(Table4[Brand-Renamed],J31,Table4[Resolution],$N$6)</f>
        <v>8</v>
      </c>
      <c r="O31">
        <f>COUNTIFS(Table4[Brand-Renamed],J31,Table4[Resolution],$O$6)</f>
        <v>0</v>
      </c>
      <c r="P31">
        <f>SUMIFS(Table4[Selling Price],Table4[Resolution],$K$6,Table4[Brand-Renamed],J31)</f>
        <v>184479</v>
      </c>
      <c r="Q31">
        <f>SUMIFS(Table4[Selling Price],Table4[Resolution],$L$6,Table4[Brand-Renamed],J31)</f>
        <v>0</v>
      </c>
      <c r="R31">
        <f>SUMIFS(Table4[Selling Price],Table4[Resolution],$M$6,Table4[Brand-Renamed],J31)</f>
        <v>180142</v>
      </c>
      <c r="S31">
        <f>SUMIFS(Table4[Selling Price],Table4[Resolution],$N$6,Table4[Brand-Renamed],J31)</f>
        <v>307118</v>
      </c>
      <c r="T31">
        <f>SUMIFS(Table4[Selling Price],Table4[Resolution],$O$6,Table4[Brand-Renamed],J31)</f>
        <v>0</v>
      </c>
    </row>
    <row r="32" spans="5:20" x14ac:dyDescent="0.25">
      <c r="J32" t="str">
        <v xml:space="preserve">Sansui </v>
      </c>
      <c r="K32">
        <f>COUNTIFS(Table4[Brand-Renamed],J32,Table4[Resolution],$K$6)</f>
        <v>9</v>
      </c>
      <c r="L32">
        <f>COUNTIFS(Table4[Brand-Renamed],J32,Table4[Resolution],$L$6)</f>
        <v>1</v>
      </c>
      <c r="M32">
        <f>COUNTIFS(Table4[Brand-Renamed],J32,Table4[Resolution],$M$6)</f>
        <v>5</v>
      </c>
      <c r="N32">
        <f>COUNTIFS(Table4[Brand-Renamed],J32,Table4[Resolution],$N$6)</f>
        <v>3</v>
      </c>
      <c r="O32">
        <f>COUNTIFS(Table4[Brand-Renamed],J32,Table4[Resolution],$O$6)</f>
        <v>0</v>
      </c>
      <c r="P32">
        <f>SUMIFS(Table4[Selling Price],Table4[Resolution],$K$6,Table4[Brand-Renamed],J32)</f>
        <v>470147</v>
      </c>
      <c r="Q32">
        <f>SUMIFS(Table4[Selling Price],Table4[Resolution],$L$6,Table4[Brand-Renamed],J32)</f>
        <v>49900</v>
      </c>
      <c r="R32">
        <f>SUMIFS(Table4[Selling Price],Table4[Resolution],$M$6,Table4[Brand-Renamed],J32)</f>
        <v>79569</v>
      </c>
      <c r="S32">
        <f>SUMIFS(Table4[Selling Price],Table4[Resolution],$N$6,Table4[Brand-Renamed],J32)</f>
        <v>78479</v>
      </c>
      <c r="T32">
        <f>SUMIFS(Table4[Selling Price],Table4[Resolution],$O$6,Table4[Brand-Renamed],J32)</f>
        <v>0</v>
      </c>
    </row>
    <row r="33" spans="10:20" x14ac:dyDescent="0.25">
      <c r="J33" t="str">
        <v xml:space="preserve">Croma </v>
      </c>
      <c r="K33">
        <f>COUNTIFS(Table4[Brand-Renamed],J33,Table4[Resolution],$K$6)</f>
        <v>2</v>
      </c>
      <c r="L33">
        <f>COUNTIFS(Table4[Brand-Renamed],J33,Table4[Resolution],$L$6)</f>
        <v>0</v>
      </c>
      <c r="M33">
        <f>COUNTIFS(Table4[Brand-Renamed],J33,Table4[Resolution],$M$6)</f>
        <v>8</v>
      </c>
      <c r="N33">
        <f>COUNTIFS(Table4[Brand-Renamed],J33,Table4[Resolution],$N$6)</f>
        <v>2</v>
      </c>
      <c r="O33">
        <f>COUNTIFS(Table4[Brand-Renamed],J33,Table4[Resolution],$O$6)</f>
        <v>0</v>
      </c>
      <c r="P33">
        <f>SUMIFS(Table4[Selling Price],Table4[Resolution],$K$6,Table4[Brand-Renamed],J33)</f>
        <v>86980</v>
      </c>
      <c r="Q33">
        <f>SUMIFS(Table4[Selling Price],Table4[Resolution],$L$6,Table4[Brand-Renamed],J33)</f>
        <v>0</v>
      </c>
      <c r="R33">
        <f>SUMIFS(Table4[Selling Price],Table4[Resolution],$M$6,Table4[Brand-Renamed],J33)</f>
        <v>118428</v>
      </c>
      <c r="S33">
        <f>SUMIFS(Table4[Selling Price],Table4[Resolution],$N$6,Table4[Brand-Renamed],J33)</f>
        <v>62980</v>
      </c>
      <c r="T33">
        <f>SUMIFS(Table4[Selling Price],Table4[Resolution],$O$6,Table4[Brand-Renamed],J33)</f>
        <v>0</v>
      </c>
    </row>
    <row r="34" spans="10:20" x14ac:dyDescent="0.25">
      <c r="J34" t="str">
        <v xml:space="preserve">Candes </v>
      </c>
      <c r="K34">
        <f>COUNTIFS(Table4[Brand-Renamed],J34,Table4[Resolution],$K$6)</f>
        <v>0</v>
      </c>
      <c r="L34">
        <f>COUNTIFS(Table4[Brand-Renamed],J34,Table4[Resolution],$L$6)</f>
        <v>0</v>
      </c>
      <c r="M34">
        <f>COUNTIFS(Table4[Brand-Renamed],J34,Table4[Resolution],$M$6)</f>
        <v>6</v>
      </c>
      <c r="N34">
        <f>COUNTIFS(Table4[Brand-Renamed],J34,Table4[Resolution],$N$6)</f>
        <v>6</v>
      </c>
      <c r="O34">
        <f>COUNTIFS(Table4[Brand-Renamed],J34,Table4[Resolution],$O$6)</f>
        <v>0</v>
      </c>
      <c r="P34">
        <f>SUMIFS(Table4[Selling Price],Table4[Resolution],$K$6,Table4[Brand-Renamed],J34)</f>
        <v>0</v>
      </c>
      <c r="Q34">
        <f>SUMIFS(Table4[Selling Price],Table4[Resolution],$L$6,Table4[Brand-Renamed],J34)</f>
        <v>0</v>
      </c>
      <c r="R34">
        <f>SUMIFS(Table4[Selling Price],Table4[Resolution],$M$6,Table4[Brand-Renamed],J34)</f>
        <v>59994</v>
      </c>
      <c r="S34">
        <f>SUMIFS(Table4[Selling Price],Table4[Resolution],$N$6,Table4[Brand-Renamed],J34)</f>
        <v>100994</v>
      </c>
      <c r="T34">
        <f>SUMIFS(Table4[Selling Price],Table4[Resolution],$O$6,Table4[Brand-Renamed],J34)</f>
        <v>0</v>
      </c>
    </row>
    <row r="35" spans="10:20" x14ac:dyDescent="0.25">
      <c r="J35" t="str">
        <v>Dyanora</v>
      </c>
      <c r="K35">
        <f>COUNTIFS(Table4[Brand-Renamed],J35,Table4[Resolution],$K$6)</f>
        <v>1</v>
      </c>
      <c r="L35">
        <f>COUNTIFS(Table4[Brand-Renamed],J35,Table4[Resolution],$L$6)</f>
        <v>0</v>
      </c>
      <c r="M35">
        <f>COUNTIFS(Table4[Brand-Renamed],J35,Table4[Resolution],$M$6)</f>
        <v>4</v>
      </c>
      <c r="N35">
        <f>COUNTIFS(Table4[Brand-Renamed],J35,Table4[Resolution],$N$6)</f>
        <v>1</v>
      </c>
      <c r="O35">
        <f>COUNTIFS(Table4[Brand-Renamed],J35,Table4[Resolution],$O$6)</f>
        <v>0</v>
      </c>
      <c r="P35">
        <f>SUMIFS(Table4[Selling Price],Table4[Resolution],$K$6,Table4[Brand-Renamed],J35)</f>
        <v>27599</v>
      </c>
      <c r="Q35">
        <f>SUMIFS(Table4[Selling Price],Table4[Resolution],$L$6,Table4[Brand-Renamed],J35)</f>
        <v>0</v>
      </c>
      <c r="R35">
        <f>SUMIFS(Table4[Selling Price],Table4[Resolution],$M$6,Table4[Brand-Renamed],J35)</f>
        <v>46996</v>
      </c>
      <c r="S35">
        <f>SUMIFS(Table4[Selling Price],Table4[Resolution],$N$6,Table4[Brand-Renamed],J35)</f>
        <v>18499</v>
      </c>
      <c r="T35">
        <f>SUMIFS(Table4[Selling Price],Table4[Resolution],$O$6,Table4[Brand-Renamed],J35)</f>
        <v>0</v>
      </c>
    </row>
    <row r="36" spans="10:20" x14ac:dyDescent="0.25">
      <c r="J36" t="str">
        <v xml:space="preserve">Haier </v>
      </c>
      <c r="K36">
        <f>COUNTIFS(Table4[Brand-Renamed],J36,Table4[Resolution],$K$6)</f>
        <v>7</v>
      </c>
      <c r="L36">
        <f>COUNTIFS(Table4[Brand-Renamed],J36,Table4[Resolution],$L$6)</f>
        <v>0</v>
      </c>
      <c r="M36">
        <f>COUNTIFS(Table4[Brand-Renamed],J36,Table4[Resolution],$M$6)</f>
        <v>5</v>
      </c>
      <c r="N36">
        <f>COUNTIFS(Table4[Brand-Renamed],J36,Table4[Resolution],$N$6)</f>
        <v>6</v>
      </c>
      <c r="O36">
        <f>COUNTIFS(Table4[Brand-Renamed],J36,Table4[Resolution],$O$6)</f>
        <v>0</v>
      </c>
      <c r="P36">
        <f>SUMIFS(Table4[Selling Price],Table4[Resolution],$K$6,Table4[Brand-Renamed],J36)</f>
        <v>387576</v>
      </c>
      <c r="Q36">
        <f>SUMIFS(Table4[Selling Price],Table4[Resolution],$L$6,Table4[Brand-Renamed],J36)</f>
        <v>0</v>
      </c>
      <c r="R36">
        <f>SUMIFS(Table4[Selling Price],Table4[Resolution],$M$6,Table4[Brand-Renamed],J36)</f>
        <v>82208</v>
      </c>
      <c r="S36">
        <f>SUMIFS(Table4[Selling Price],Table4[Resolution],$N$6,Table4[Brand-Renamed],J36)</f>
        <v>189308</v>
      </c>
      <c r="T36">
        <f>SUMIFS(Table4[Selling Price],Table4[Resolution],$O$6,Table4[Brand-Renamed],J36)</f>
        <v>0</v>
      </c>
    </row>
    <row r="37" spans="10:20" x14ac:dyDescent="0.25">
      <c r="J37" t="str">
        <v>Onida</v>
      </c>
      <c r="K37">
        <f>COUNTIFS(Table4[Brand-Renamed],J37,Table4[Resolution],$K$6)</f>
        <v>3</v>
      </c>
      <c r="L37">
        <f>COUNTIFS(Table4[Brand-Renamed],J37,Table4[Resolution],$L$6)</f>
        <v>0</v>
      </c>
      <c r="M37">
        <f>COUNTIFS(Table4[Brand-Renamed],J37,Table4[Resolution],$M$6)</f>
        <v>4</v>
      </c>
      <c r="N37">
        <f>COUNTIFS(Table4[Brand-Renamed],J37,Table4[Resolution],$N$6)</f>
        <v>5</v>
      </c>
      <c r="O37">
        <f>COUNTIFS(Table4[Brand-Renamed],J37,Table4[Resolution],$O$6)</f>
        <v>0</v>
      </c>
      <c r="P37">
        <f>SUMIFS(Table4[Selling Price],Table4[Resolution],$K$6,Table4[Brand-Renamed],J37)</f>
        <v>116189</v>
      </c>
      <c r="Q37">
        <f>SUMIFS(Table4[Selling Price],Table4[Resolution],$L$6,Table4[Brand-Renamed],J37)</f>
        <v>0</v>
      </c>
      <c r="R37">
        <f>SUMIFS(Table4[Selling Price],Table4[Resolution],$M$6,Table4[Brand-Renamed],J37)</f>
        <v>70329</v>
      </c>
      <c r="S37">
        <f>SUMIFS(Table4[Selling Price],Table4[Resolution],$N$6,Table4[Brand-Renamed],J37)</f>
        <v>169968</v>
      </c>
      <c r="T37">
        <f>SUMIFS(Table4[Selling Price],Table4[Resolution],$O$6,Table4[Brand-Renamed],J37)</f>
        <v>0</v>
      </c>
    </row>
    <row r="38" spans="10:20" x14ac:dyDescent="0.25">
      <c r="J38" t="str">
        <v xml:space="preserve">Rgl </v>
      </c>
      <c r="K38">
        <f>COUNTIFS(Table4[Brand-Renamed],J38,Table4[Resolution],$K$6)</f>
        <v>0</v>
      </c>
      <c r="L38">
        <f>COUNTIFS(Table4[Brand-Renamed],J38,Table4[Resolution],$L$6)</f>
        <v>0</v>
      </c>
      <c r="M38">
        <f>COUNTIFS(Table4[Brand-Renamed],J38,Table4[Resolution],$M$6)</f>
        <v>2</v>
      </c>
      <c r="N38">
        <f>COUNTIFS(Table4[Brand-Renamed],J38,Table4[Resolution],$N$6)</f>
        <v>7</v>
      </c>
      <c r="O38">
        <f>COUNTIFS(Table4[Brand-Renamed],J38,Table4[Resolution],$O$6)</f>
        <v>0</v>
      </c>
      <c r="P38">
        <f>SUMIFS(Table4[Selling Price],Table4[Resolution],$K$6,Table4[Brand-Renamed],J38)</f>
        <v>0</v>
      </c>
      <c r="Q38">
        <f>SUMIFS(Table4[Selling Price],Table4[Resolution],$L$6,Table4[Brand-Renamed],J38)</f>
        <v>0</v>
      </c>
      <c r="R38">
        <f>SUMIFS(Table4[Selling Price],Table4[Resolution],$M$6,Table4[Brand-Renamed],J38)</f>
        <v>21280</v>
      </c>
      <c r="S38">
        <f>SUMIFS(Table4[Selling Price],Table4[Resolution],$N$6,Table4[Brand-Renamed],J38)</f>
        <v>78678</v>
      </c>
      <c r="T38">
        <f>SUMIFS(Table4[Selling Price],Table4[Resolution],$O$6,Table4[Brand-Renamed],J38)</f>
        <v>0</v>
      </c>
    </row>
    <row r="39" spans="10:20" x14ac:dyDescent="0.25">
      <c r="J39" t="str">
        <v xml:space="preserve">Lloyd </v>
      </c>
      <c r="K39">
        <f>COUNTIFS(Table4[Brand-Renamed],J39,Table4[Resolution],$K$6)</f>
        <v>6</v>
      </c>
      <c r="L39">
        <f>COUNTIFS(Table4[Brand-Renamed],J39,Table4[Resolution],$L$6)</f>
        <v>0</v>
      </c>
      <c r="M39">
        <f>COUNTIFS(Table4[Brand-Renamed],J39,Table4[Resolution],$M$6)</f>
        <v>8</v>
      </c>
      <c r="N39">
        <f>COUNTIFS(Table4[Brand-Renamed],J39,Table4[Resolution],$N$6)</f>
        <v>8</v>
      </c>
      <c r="O39">
        <f>COUNTIFS(Table4[Brand-Renamed],J39,Table4[Resolution],$O$6)</f>
        <v>0</v>
      </c>
      <c r="P39">
        <f>SUMIFS(Table4[Selling Price],Table4[Resolution],$K$6,Table4[Brand-Renamed],J39)</f>
        <v>276985</v>
      </c>
      <c r="Q39">
        <f>SUMIFS(Table4[Selling Price],Table4[Resolution],$L$6,Table4[Brand-Renamed],J39)</f>
        <v>0</v>
      </c>
      <c r="R39">
        <f>SUMIFS(Table4[Selling Price],Table4[Resolution],$M$6,Table4[Brand-Renamed],J39)</f>
        <v>122146</v>
      </c>
      <c r="S39">
        <f>SUMIFS(Table4[Selling Price],Table4[Resolution],$N$6,Table4[Brand-Renamed],J39)</f>
        <v>352429</v>
      </c>
      <c r="T39">
        <f>SUMIFS(Table4[Selling Price],Table4[Resolution],$O$6,Table4[Brand-Renamed],J39)</f>
        <v>0</v>
      </c>
    </row>
    <row r="40" spans="10:20" x14ac:dyDescent="0.25">
      <c r="J40" t="str">
        <v xml:space="preserve">Lumx </v>
      </c>
      <c r="K40">
        <f>COUNTIFS(Table4[Brand-Renamed],J40,Table4[Resolution],$K$6)</f>
        <v>1</v>
      </c>
      <c r="L40">
        <f>COUNTIFS(Table4[Brand-Renamed],J40,Table4[Resolution],$L$6)</f>
        <v>0</v>
      </c>
      <c r="M40">
        <f>COUNTIFS(Table4[Brand-Renamed],J40,Table4[Resolution],$M$6)</f>
        <v>4</v>
      </c>
      <c r="N40">
        <f>COUNTIFS(Table4[Brand-Renamed],J40,Table4[Resolution],$N$6)</f>
        <v>1</v>
      </c>
      <c r="O40">
        <f>COUNTIFS(Table4[Brand-Renamed],J40,Table4[Resolution],$O$6)</f>
        <v>0</v>
      </c>
      <c r="P40">
        <f>SUMIFS(Table4[Selling Price],Table4[Resolution],$K$6,Table4[Brand-Renamed],J40)</f>
        <v>65900</v>
      </c>
      <c r="Q40">
        <f>SUMIFS(Table4[Selling Price],Table4[Resolution],$L$6,Table4[Brand-Renamed],J40)</f>
        <v>0</v>
      </c>
      <c r="R40">
        <f>SUMIFS(Table4[Selling Price],Table4[Resolution],$M$6,Table4[Brand-Renamed],J40)</f>
        <v>61260</v>
      </c>
      <c r="S40">
        <f>SUMIFS(Table4[Selling Price],Table4[Resolution],$N$6,Table4[Brand-Renamed],J40)</f>
        <v>21990</v>
      </c>
      <c r="T40">
        <f>SUMIFS(Table4[Selling Price],Table4[Resolution],$O$6,Table4[Brand-Renamed],J40)</f>
        <v>0</v>
      </c>
    </row>
    <row r="41" spans="10:20" x14ac:dyDescent="0.25">
      <c r="J41" t="str">
        <v xml:space="preserve">Onix </v>
      </c>
      <c r="K41">
        <f>COUNTIFS(Table4[Brand-Renamed],J41,Table4[Resolution],$K$6)</f>
        <v>2</v>
      </c>
      <c r="L41">
        <f>COUNTIFS(Table4[Brand-Renamed],J41,Table4[Resolution],$L$6)</f>
        <v>0</v>
      </c>
      <c r="M41">
        <f>COUNTIFS(Table4[Brand-Renamed],J41,Table4[Resolution],$M$6)</f>
        <v>3</v>
      </c>
      <c r="N41">
        <f>COUNTIFS(Table4[Brand-Renamed],J41,Table4[Resolution],$N$6)</f>
        <v>3</v>
      </c>
      <c r="O41">
        <f>COUNTIFS(Table4[Brand-Renamed],J41,Table4[Resolution],$O$6)</f>
        <v>0</v>
      </c>
      <c r="P41">
        <f>SUMIFS(Table4[Selling Price],Table4[Resolution],$K$6,Table4[Brand-Renamed],J41)</f>
        <v>117980</v>
      </c>
      <c r="Q41">
        <f>SUMIFS(Table4[Selling Price],Table4[Resolution],$L$6,Table4[Brand-Renamed],J41)</f>
        <v>0</v>
      </c>
      <c r="R41">
        <f>SUMIFS(Table4[Selling Price],Table4[Resolution],$M$6,Table4[Brand-Renamed],J41)</f>
        <v>50770</v>
      </c>
      <c r="S41">
        <f>SUMIFS(Table4[Selling Price],Table4[Resolution],$N$6,Table4[Brand-Renamed],J41)</f>
        <v>104980</v>
      </c>
      <c r="T41">
        <f>SUMIFS(Table4[Selling Price],Table4[Resolution],$O$6,Table4[Brand-Renamed],J41)</f>
        <v>0</v>
      </c>
    </row>
    <row r="42" spans="10:20" x14ac:dyDescent="0.25">
      <c r="J42" t="str">
        <v xml:space="preserve">Impex </v>
      </c>
      <c r="K42">
        <f>COUNTIFS(Table4[Brand-Renamed],J42,Table4[Resolution],$K$6)</f>
        <v>1</v>
      </c>
      <c r="L42">
        <f>COUNTIFS(Table4[Brand-Renamed],J42,Table4[Resolution],$L$6)</f>
        <v>0</v>
      </c>
      <c r="M42">
        <f>COUNTIFS(Table4[Brand-Renamed],J42,Table4[Resolution],$M$6)</f>
        <v>8</v>
      </c>
      <c r="N42">
        <f>COUNTIFS(Table4[Brand-Renamed],J42,Table4[Resolution],$N$6)</f>
        <v>4</v>
      </c>
      <c r="O42">
        <f>COUNTIFS(Table4[Brand-Renamed],J42,Table4[Resolution],$O$6)</f>
        <v>0</v>
      </c>
      <c r="P42">
        <f>SUMIFS(Table4[Selling Price],Table4[Resolution],$K$6,Table4[Brand-Renamed],J42)</f>
        <v>60859</v>
      </c>
      <c r="Q42">
        <f>SUMIFS(Table4[Selling Price],Table4[Resolution],$L$6,Table4[Brand-Renamed],J42)</f>
        <v>0</v>
      </c>
      <c r="R42">
        <f>SUMIFS(Table4[Selling Price],Table4[Resolution],$M$6,Table4[Brand-Renamed],J42)</f>
        <v>164385</v>
      </c>
      <c r="S42">
        <f>SUMIFS(Table4[Selling Price],Table4[Resolution],$N$6,Table4[Brand-Renamed],J42)</f>
        <v>149408</v>
      </c>
      <c r="T42">
        <f>SUMIFS(Table4[Selling Price],Table4[Resolution],$O$6,Table4[Brand-Renamed],J42)</f>
        <v>0</v>
      </c>
    </row>
    <row r="43" spans="10:20" x14ac:dyDescent="0.25">
      <c r="J43" t="str">
        <v xml:space="preserve">Bpl </v>
      </c>
      <c r="K43">
        <f>COUNTIFS(Table4[Brand-Renamed],J43,Table4[Resolution],$K$6)</f>
        <v>2</v>
      </c>
      <c r="L43">
        <f>COUNTIFS(Table4[Brand-Renamed],J43,Table4[Resolution],$L$6)</f>
        <v>0</v>
      </c>
      <c r="M43">
        <f>COUNTIFS(Table4[Brand-Renamed],J43,Table4[Resolution],$M$6)</f>
        <v>2</v>
      </c>
      <c r="N43">
        <f>COUNTIFS(Table4[Brand-Renamed],J43,Table4[Resolution],$N$6)</f>
        <v>0</v>
      </c>
      <c r="O43">
        <f>COUNTIFS(Table4[Brand-Renamed],J43,Table4[Resolution],$O$6)</f>
        <v>0</v>
      </c>
      <c r="P43">
        <f>SUMIFS(Table4[Selling Price],Table4[Resolution],$K$6,Table4[Brand-Renamed],J43)</f>
        <v>92980</v>
      </c>
      <c r="Q43">
        <f>SUMIFS(Table4[Selling Price],Table4[Resolution],$L$6,Table4[Brand-Renamed],J43)</f>
        <v>0</v>
      </c>
      <c r="R43">
        <f>SUMIFS(Table4[Selling Price],Table4[Resolution],$M$6,Table4[Brand-Renamed],J43)</f>
        <v>45489</v>
      </c>
      <c r="S43">
        <f>SUMIFS(Table4[Selling Price],Table4[Resolution],$N$6,Table4[Brand-Renamed],J43)</f>
        <v>0</v>
      </c>
      <c r="T43">
        <f>SUMIFS(Table4[Selling Price],Table4[Resolution],$O$6,Table4[Brand-Renamed],J43)</f>
        <v>0</v>
      </c>
    </row>
    <row r="44" spans="10:20" x14ac:dyDescent="0.25">
      <c r="J44" t="str">
        <v>Cloudwalker</v>
      </c>
      <c r="K44">
        <f>COUNTIFS(Table4[Brand-Renamed],J44,Table4[Resolution],$K$6)</f>
        <v>4</v>
      </c>
      <c r="L44">
        <f>COUNTIFS(Table4[Brand-Renamed],J44,Table4[Resolution],$L$6)</f>
        <v>0</v>
      </c>
      <c r="M44">
        <f>COUNTIFS(Table4[Brand-Renamed],J44,Table4[Resolution],$M$6)</f>
        <v>2</v>
      </c>
      <c r="N44">
        <f>COUNTIFS(Table4[Brand-Renamed],J44,Table4[Resolution],$N$6)</f>
        <v>3</v>
      </c>
      <c r="O44">
        <f>COUNTIFS(Table4[Brand-Renamed],J44,Table4[Resolution],$O$6)</f>
        <v>0</v>
      </c>
      <c r="P44">
        <f>SUMIFS(Table4[Selling Price],Table4[Resolution],$K$6,Table4[Brand-Renamed],J44)</f>
        <v>206497</v>
      </c>
      <c r="Q44">
        <f>SUMIFS(Table4[Selling Price],Table4[Resolution],$L$6,Table4[Brand-Renamed],J44)</f>
        <v>0</v>
      </c>
      <c r="R44">
        <f>SUMIFS(Table4[Selling Price],Table4[Resolution],$M$6,Table4[Brand-Renamed],J44)</f>
        <v>29988</v>
      </c>
      <c r="S44">
        <f>SUMIFS(Table4[Selling Price],Table4[Resolution],$N$6,Table4[Brand-Renamed],J44)</f>
        <v>54497</v>
      </c>
      <c r="T44">
        <f>SUMIFS(Table4[Selling Price],Table4[Resolution],$O$6,Table4[Brand-Renamed],J44)</f>
        <v>0</v>
      </c>
    </row>
    <row r="45" spans="10:20" x14ac:dyDescent="0.25">
      <c r="J45" t="str">
        <v xml:space="preserve">Oxygen </v>
      </c>
      <c r="K45">
        <f>COUNTIFS(Table4[Brand-Renamed],J45,Table4[Resolution],$K$6)</f>
        <v>3</v>
      </c>
      <c r="L45">
        <f>COUNTIFS(Table4[Brand-Renamed],J45,Table4[Resolution],$L$6)</f>
        <v>0</v>
      </c>
      <c r="M45">
        <f>COUNTIFS(Table4[Brand-Renamed],J45,Table4[Resolution],$M$6)</f>
        <v>0</v>
      </c>
      <c r="N45">
        <f>COUNTIFS(Table4[Brand-Renamed],J45,Table4[Resolution],$N$6)</f>
        <v>0</v>
      </c>
      <c r="O45">
        <f>COUNTIFS(Table4[Brand-Renamed],J45,Table4[Resolution],$O$6)</f>
        <v>0</v>
      </c>
      <c r="P45">
        <f>SUMIFS(Table4[Selling Price],Table4[Resolution],$K$6,Table4[Brand-Renamed],J45)</f>
        <v>120979</v>
      </c>
      <c r="Q45">
        <f>SUMIFS(Table4[Selling Price],Table4[Resolution],$L$6,Table4[Brand-Renamed],J45)</f>
        <v>0</v>
      </c>
      <c r="R45">
        <f>SUMIFS(Table4[Selling Price],Table4[Resolution],$M$6,Table4[Brand-Renamed],J45)</f>
        <v>0</v>
      </c>
      <c r="S45">
        <f>SUMIFS(Table4[Selling Price],Table4[Resolution],$N$6,Table4[Brand-Renamed],J45)</f>
        <v>0</v>
      </c>
      <c r="T45">
        <f>SUMIFS(Table4[Selling Price],Table4[Resolution],$O$6,Table4[Brand-Renamed],J45)</f>
        <v>0</v>
      </c>
    </row>
    <row r="46" spans="10:20" x14ac:dyDescent="0.25">
      <c r="J46" t="str">
        <v>Power Guard</v>
      </c>
      <c r="K46">
        <f>COUNTIFS(Table4[Brand-Renamed],J46,Table4[Resolution],$K$6)</f>
        <v>3</v>
      </c>
      <c r="L46">
        <f>COUNTIFS(Table4[Brand-Renamed],J46,Table4[Resolution],$L$6)</f>
        <v>2</v>
      </c>
      <c r="M46">
        <f>COUNTIFS(Table4[Brand-Renamed],J46,Table4[Resolution],$M$6)</f>
        <v>6</v>
      </c>
      <c r="N46">
        <f>COUNTIFS(Table4[Brand-Renamed],J46,Table4[Resolution],$N$6)</f>
        <v>0</v>
      </c>
      <c r="O46">
        <f>COUNTIFS(Table4[Brand-Renamed],J46,Table4[Resolution],$O$6)</f>
        <v>0</v>
      </c>
      <c r="P46">
        <f>SUMIFS(Table4[Selling Price],Table4[Resolution],$K$6,Table4[Brand-Renamed],J46)</f>
        <v>132889</v>
      </c>
      <c r="Q46">
        <f>SUMIFS(Table4[Selling Price],Table4[Resolution],$L$6,Table4[Brand-Renamed],J46)</f>
        <v>121980</v>
      </c>
      <c r="R46">
        <f>SUMIFS(Table4[Selling Price],Table4[Resolution],$M$6,Table4[Brand-Renamed],J46)</f>
        <v>80738</v>
      </c>
      <c r="S46">
        <f>SUMIFS(Table4[Selling Price],Table4[Resolution],$N$6,Table4[Brand-Renamed],J46)</f>
        <v>0</v>
      </c>
      <c r="T46">
        <f>SUMIFS(Table4[Selling Price],Table4[Resolution],$O$6,Table4[Brand-Renamed],J46)</f>
        <v>0</v>
      </c>
    </row>
    <row r="47" spans="10:20" x14ac:dyDescent="0.25">
      <c r="J47" t="str">
        <v xml:space="preserve">Akai </v>
      </c>
      <c r="K47">
        <f>COUNTIFS(Table4[Brand-Renamed],J47,Table4[Resolution],$K$6)</f>
        <v>4</v>
      </c>
      <c r="L47">
        <f>COUNTIFS(Table4[Brand-Renamed],J47,Table4[Resolution],$L$6)</f>
        <v>1</v>
      </c>
      <c r="M47">
        <f>COUNTIFS(Table4[Brand-Renamed],J47,Table4[Resolution],$M$6)</f>
        <v>1</v>
      </c>
      <c r="N47">
        <f>COUNTIFS(Table4[Brand-Renamed],J47,Table4[Resolution],$N$6)</f>
        <v>0</v>
      </c>
      <c r="O47">
        <f>COUNTIFS(Table4[Brand-Renamed],J47,Table4[Resolution],$O$6)</f>
        <v>0</v>
      </c>
      <c r="P47">
        <f>SUMIFS(Table4[Selling Price],Table4[Resolution],$K$6,Table4[Brand-Renamed],J47)</f>
        <v>238570</v>
      </c>
      <c r="Q47">
        <f>SUMIFS(Table4[Selling Price],Table4[Resolution],$L$6,Table4[Brand-Renamed],J47)</f>
        <v>55947</v>
      </c>
      <c r="R47">
        <f>SUMIFS(Table4[Selling Price],Table4[Resolution],$M$6,Table4[Brand-Renamed],J47)</f>
        <v>17500</v>
      </c>
      <c r="S47">
        <f>SUMIFS(Table4[Selling Price],Table4[Resolution],$N$6,Table4[Brand-Renamed],J47)</f>
        <v>0</v>
      </c>
      <c r="T47">
        <f>SUMIFS(Table4[Selling Price],Table4[Resolution],$O$6,Table4[Brand-Renamed],J47)</f>
        <v>0</v>
      </c>
    </row>
    <row r="48" spans="10:20" x14ac:dyDescent="0.25">
      <c r="J48" t="str">
        <v xml:space="preserve">Vg </v>
      </c>
      <c r="K48">
        <f>COUNTIFS(Table4[Brand-Renamed],J48,Table4[Resolution],$K$6)</f>
        <v>1</v>
      </c>
      <c r="L48">
        <f>COUNTIFS(Table4[Brand-Renamed],J48,Table4[Resolution],$L$6)</f>
        <v>0</v>
      </c>
      <c r="M48">
        <f>COUNTIFS(Table4[Brand-Renamed],J48,Table4[Resolution],$M$6)</f>
        <v>3</v>
      </c>
      <c r="N48">
        <f>COUNTIFS(Table4[Brand-Renamed],J48,Table4[Resolution],$N$6)</f>
        <v>0</v>
      </c>
      <c r="O48">
        <f>COUNTIFS(Table4[Brand-Renamed],J48,Table4[Resolution],$O$6)</f>
        <v>0</v>
      </c>
      <c r="P48">
        <f>SUMIFS(Table4[Selling Price],Table4[Resolution],$K$6,Table4[Brand-Renamed],J48)</f>
        <v>24990</v>
      </c>
      <c r="Q48">
        <f>SUMIFS(Table4[Selling Price],Table4[Resolution],$L$6,Table4[Brand-Renamed],J48)</f>
        <v>0</v>
      </c>
      <c r="R48">
        <f>SUMIFS(Table4[Selling Price],Table4[Resolution],$M$6,Table4[Brand-Renamed],J48)</f>
        <v>52979</v>
      </c>
      <c r="S48">
        <f>SUMIFS(Table4[Selling Price],Table4[Resolution],$N$6,Table4[Brand-Renamed],J48)</f>
        <v>0</v>
      </c>
      <c r="T48">
        <f>SUMIFS(Table4[Selling Price],Table4[Resolution],$O$6,Table4[Brand-Renamed],J48)</f>
        <v>0</v>
      </c>
    </row>
    <row r="49" spans="10:20" x14ac:dyDescent="0.25">
      <c r="J49" t="str">
        <v>Sun King</v>
      </c>
      <c r="K49">
        <f>COUNTIFS(Table4[Brand-Renamed],J49,Table4[Resolution],$K$6)</f>
        <v>0</v>
      </c>
      <c r="L49">
        <f>COUNTIFS(Table4[Brand-Renamed],J49,Table4[Resolution],$L$6)</f>
        <v>0</v>
      </c>
      <c r="M49">
        <f>COUNTIFS(Table4[Brand-Renamed],J49,Table4[Resolution],$M$6)</f>
        <v>1</v>
      </c>
      <c r="N49">
        <f>COUNTIFS(Table4[Brand-Renamed],J49,Table4[Resolution],$N$6)</f>
        <v>0</v>
      </c>
      <c r="O49">
        <f>COUNTIFS(Table4[Brand-Renamed],J49,Table4[Resolution],$O$6)</f>
        <v>0</v>
      </c>
      <c r="P49">
        <f>SUMIFS(Table4[Selling Price],Table4[Resolution],$K$6,Table4[Brand-Renamed],J49)</f>
        <v>0</v>
      </c>
      <c r="Q49">
        <f>SUMIFS(Table4[Selling Price],Table4[Resolution],$L$6,Table4[Brand-Renamed],J49)</f>
        <v>0</v>
      </c>
      <c r="R49">
        <f>SUMIFS(Table4[Selling Price],Table4[Resolution],$M$6,Table4[Brand-Renamed],J49)</f>
        <v>24999</v>
      </c>
      <c r="S49">
        <f>SUMIFS(Table4[Selling Price],Table4[Resolution],$N$6,Table4[Brand-Renamed],J49)</f>
        <v>0</v>
      </c>
      <c r="T49">
        <f>SUMIFS(Table4[Selling Price],Table4[Resolution],$O$6,Table4[Brand-Renamed],J49)</f>
        <v>0</v>
      </c>
    </row>
    <row r="50" spans="10:20" x14ac:dyDescent="0.25">
      <c r="J50" t="str">
        <v xml:space="preserve">Compaq </v>
      </c>
      <c r="K50">
        <f>COUNTIFS(Table4[Brand-Renamed],J50,Table4[Resolution],$K$6)</f>
        <v>1</v>
      </c>
      <c r="L50">
        <f>COUNTIFS(Table4[Brand-Renamed],J50,Table4[Resolution],$L$6)</f>
        <v>2</v>
      </c>
      <c r="M50">
        <f>COUNTIFS(Table4[Brand-Renamed],J50,Table4[Resolution],$M$6)</f>
        <v>1</v>
      </c>
      <c r="N50">
        <f>COUNTIFS(Table4[Brand-Renamed],J50,Table4[Resolution],$N$6)</f>
        <v>1</v>
      </c>
      <c r="O50">
        <f>COUNTIFS(Table4[Brand-Renamed],J50,Table4[Resolution],$O$6)</f>
        <v>0</v>
      </c>
      <c r="P50">
        <f>SUMIFS(Table4[Selling Price],Table4[Resolution],$K$6,Table4[Brand-Renamed],J50)</f>
        <v>32999</v>
      </c>
      <c r="Q50">
        <f>SUMIFS(Table4[Selling Price],Table4[Resolution],$L$6,Table4[Brand-Renamed],J50)</f>
        <v>159998</v>
      </c>
      <c r="R50">
        <f>SUMIFS(Table4[Selling Price],Table4[Resolution],$M$6,Table4[Brand-Renamed],J50)</f>
        <v>13999</v>
      </c>
      <c r="S50">
        <f>SUMIFS(Table4[Selling Price],Table4[Resolution],$N$6,Table4[Brand-Renamed],J50)</f>
        <v>22999</v>
      </c>
      <c r="T50">
        <f>SUMIFS(Table4[Selling Price],Table4[Resolution],$O$6,Table4[Brand-Renamed],J50)</f>
        <v>0</v>
      </c>
    </row>
    <row r="51" spans="10:20" x14ac:dyDescent="0.25">
      <c r="J51" t="str">
        <v xml:space="preserve">Huidi </v>
      </c>
      <c r="K51">
        <f>COUNTIFS(Table4[Brand-Renamed],J51,Table4[Resolution],$K$6)</f>
        <v>2</v>
      </c>
      <c r="L51">
        <f>COUNTIFS(Table4[Brand-Renamed],J51,Table4[Resolution],$L$6)</f>
        <v>0</v>
      </c>
      <c r="M51">
        <f>COUNTIFS(Table4[Brand-Renamed],J51,Table4[Resolution],$M$6)</f>
        <v>4</v>
      </c>
      <c r="N51">
        <f>COUNTIFS(Table4[Brand-Renamed],J51,Table4[Resolution],$N$6)</f>
        <v>0</v>
      </c>
      <c r="O51">
        <f>COUNTIFS(Table4[Brand-Renamed],J51,Table4[Resolution],$O$6)</f>
        <v>0</v>
      </c>
      <c r="P51">
        <f>SUMIFS(Table4[Selling Price],Table4[Resolution],$K$6,Table4[Brand-Renamed],J51)</f>
        <v>63998</v>
      </c>
      <c r="Q51">
        <f>SUMIFS(Table4[Selling Price],Table4[Resolution],$L$6,Table4[Brand-Renamed],J51)</f>
        <v>0</v>
      </c>
      <c r="R51">
        <f>SUMIFS(Table4[Selling Price],Table4[Resolution],$M$6,Table4[Brand-Renamed],J51)</f>
        <v>44996</v>
      </c>
      <c r="S51">
        <f>SUMIFS(Table4[Selling Price],Table4[Resolution],$N$6,Table4[Brand-Renamed],J51)</f>
        <v>0</v>
      </c>
      <c r="T51">
        <f>SUMIFS(Table4[Selling Price],Table4[Resolution],$O$6,Table4[Brand-Renamed],J51)</f>
        <v>0</v>
      </c>
    </row>
    <row r="52" spans="10:20" x14ac:dyDescent="0.25">
      <c r="J52" t="str">
        <v xml:space="preserve">Intex </v>
      </c>
      <c r="K52">
        <f>COUNTIFS(Table4[Brand-Renamed],J52,Table4[Resolution],$K$6)</f>
        <v>0</v>
      </c>
      <c r="L52">
        <f>COUNTIFS(Table4[Brand-Renamed],J52,Table4[Resolution],$L$6)</f>
        <v>0</v>
      </c>
      <c r="M52">
        <f>COUNTIFS(Table4[Brand-Renamed],J52,Table4[Resolution],$M$6)</f>
        <v>3</v>
      </c>
      <c r="N52">
        <f>COUNTIFS(Table4[Brand-Renamed],J52,Table4[Resolution],$N$6)</f>
        <v>4</v>
      </c>
      <c r="O52">
        <f>COUNTIFS(Table4[Brand-Renamed],J52,Table4[Resolution],$O$6)</f>
        <v>0</v>
      </c>
      <c r="P52">
        <f>SUMIFS(Table4[Selling Price],Table4[Resolution],$K$6,Table4[Brand-Renamed],J52)</f>
        <v>0</v>
      </c>
      <c r="Q52">
        <f>SUMIFS(Table4[Selling Price],Table4[Resolution],$L$6,Table4[Brand-Renamed],J52)</f>
        <v>0</v>
      </c>
      <c r="R52">
        <f>SUMIFS(Table4[Selling Price],Table4[Resolution],$M$6,Table4[Brand-Renamed],J52)</f>
        <v>52299</v>
      </c>
      <c r="S52">
        <f>SUMIFS(Table4[Selling Price],Table4[Resolution],$N$6,Table4[Brand-Renamed],J52)</f>
        <v>139086</v>
      </c>
      <c r="T52">
        <f>SUMIFS(Table4[Selling Price],Table4[Resolution],$O$6,Table4[Brand-Renamed],J52)</f>
        <v>0</v>
      </c>
    </row>
    <row r="53" spans="10:20" x14ac:dyDescent="0.25">
      <c r="J53" t="str">
        <v xml:space="preserve">Detel </v>
      </c>
      <c r="K53">
        <f>COUNTIFS(Table4[Brand-Renamed],J53,Table4[Resolution],$K$6)</f>
        <v>1</v>
      </c>
      <c r="L53">
        <f>COUNTIFS(Table4[Brand-Renamed],J53,Table4[Resolution],$L$6)</f>
        <v>0</v>
      </c>
      <c r="M53">
        <f>COUNTIFS(Table4[Brand-Renamed],J53,Table4[Resolution],$M$6)</f>
        <v>2</v>
      </c>
      <c r="N53">
        <f>COUNTIFS(Table4[Brand-Renamed],J53,Table4[Resolution],$N$6)</f>
        <v>0</v>
      </c>
      <c r="O53">
        <f>COUNTIFS(Table4[Brand-Renamed],J53,Table4[Resolution],$O$6)</f>
        <v>0</v>
      </c>
      <c r="P53">
        <f>SUMIFS(Table4[Selling Price],Table4[Resolution],$K$6,Table4[Brand-Renamed],J53)</f>
        <v>35199</v>
      </c>
      <c r="Q53">
        <f>SUMIFS(Table4[Selling Price],Table4[Resolution],$L$6,Table4[Brand-Renamed],J53)</f>
        <v>0</v>
      </c>
      <c r="R53">
        <f>SUMIFS(Table4[Selling Price],Table4[Resolution],$M$6,Table4[Brand-Renamed],J53)</f>
        <v>19133</v>
      </c>
      <c r="S53">
        <f>SUMIFS(Table4[Selling Price],Table4[Resolution],$N$6,Table4[Brand-Renamed],J53)</f>
        <v>0</v>
      </c>
      <c r="T53">
        <f>SUMIFS(Table4[Selling Price],Table4[Resolution],$O$6,Table4[Brand-Renamed],J53)</f>
        <v>0</v>
      </c>
    </row>
    <row r="54" spans="10:20" x14ac:dyDescent="0.25">
      <c r="J54" t="str">
        <v>Jvc</v>
      </c>
      <c r="K54">
        <f>COUNTIFS(Table4[Brand-Renamed],J54,Table4[Resolution],$K$6)</f>
        <v>4</v>
      </c>
      <c r="L54">
        <f>COUNTIFS(Table4[Brand-Renamed],J54,Table4[Resolution],$L$6)</f>
        <v>0</v>
      </c>
      <c r="M54">
        <f>COUNTIFS(Table4[Brand-Renamed],J54,Table4[Resolution],$M$6)</f>
        <v>2</v>
      </c>
      <c r="N54">
        <f>COUNTIFS(Table4[Brand-Renamed],J54,Table4[Resolution],$N$6)</f>
        <v>0</v>
      </c>
      <c r="O54">
        <f>COUNTIFS(Table4[Brand-Renamed],J54,Table4[Resolution],$O$6)</f>
        <v>0</v>
      </c>
      <c r="P54">
        <f>SUMIFS(Table4[Selling Price],Table4[Resolution],$K$6,Table4[Brand-Renamed],J54)</f>
        <v>164989</v>
      </c>
      <c r="Q54">
        <f>SUMIFS(Table4[Selling Price],Table4[Resolution],$L$6,Table4[Brand-Renamed],J54)</f>
        <v>0</v>
      </c>
      <c r="R54">
        <f>SUMIFS(Table4[Selling Price],Table4[Resolution],$M$6,Table4[Brand-Renamed],J54)</f>
        <v>29989</v>
      </c>
      <c r="S54">
        <f>SUMIFS(Table4[Selling Price],Table4[Resolution],$N$6,Table4[Brand-Renamed],J54)</f>
        <v>0</v>
      </c>
      <c r="T54">
        <f>SUMIFS(Table4[Selling Price],Table4[Resolution],$O$6,Table4[Brand-Renamed],J54)</f>
        <v>0</v>
      </c>
    </row>
    <row r="55" spans="10:20" x14ac:dyDescent="0.25">
      <c r="J55" t="str">
        <v xml:space="preserve">G-Ten </v>
      </c>
      <c r="K55">
        <f>COUNTIFS(Table4[Brand-Renamed],J55,Table4[Resolution],$K$6)</f>
        <v>2</v>
      </c>
      <c r="L55">
        <f>COUNTIFS(Table4[Brand-Renamed],J55,Table4[Resolution],$L$6)</f>
        <v>0</v>
      </c>
      <c r="M55">
        <f>COUNTIFS(Table4[Brand-Renamed],J55,Table4[Resolution],$M$6)</f>
        <v>4</v>
      </c>
      <c r="N55">
        <f>COUNTIFS(Table4[Brand-Renamed],J55,Table4[Resolution],$N$6)</f>
        <v>2</v>
      </c>
      <c r="O55">
        <f>COUNTIFS(Table4[Brand-Renamed],J55,Table4[Resolution],$O$6)</f>
        <v>0</v>
      </c>
      <c r="P55">
        <f>SUMIFS(Table4[Selling Price],Table4[Resolution],$K$6,Table4[Brand-Renamed],J55)</f>
        <v>51898</v>
      </c>
      <c r="Q55">
        <f>SUMIFS(Table4[Selling Price],Table4[Resolution],$L$6,Table4[Brand-Renamed],J55)</f>
        <v>0</v>
      </c>
      <c r="R55">
        <f>SUMIFS(Table4[Selling Price],Table4[Resolution],$M$6,Table4[Brand-Renamed],J55)</f>
        <v>51969</v>
      </c>
      <c r="S55">
        <f>SUMIFS(Table4[Selling Price],Table4[Resolution],$N$6,Table4[Brand-Renamed],J55)</f>
        <v>31480</v>
      </c>
      <c r="T55">
        <f>SUMIFS(Table4[Selling Price],Table4[Resolution],$O$6,Table4[Brand-Renamed],J55)</f>
        <v>0</v>
      </c>
    </row>
    <row r="56" spans="10:20" x14ac:dyDescent="0.25">
      <c r="J56" t="str">
        <v>Skyworth</v>
      </c>
      <c r="K56">
        <f>COUNTIFS(Table4[Brand-Renamed],J56,Table4[Resolution],$K$6)</f>
        <v>0</v>
      </c>
      <c r="L56">
        <f>COUNTIFS(Table4[Brand-Renamed],J56,Table4[Resolution],$L$6)</f>
        <v>0</v>
      </c>
      <c r="M56">
        <f>COUNTIFS(Table4[Brand-Renamed],J56,Table4[Resolution],$M$6)</f>
        <v>1</v>
      </c>
      <c r="N56">
        <f>COUNTIFS(Table4[Brand-Renamed],J56,Table4[Resolution],$N$6)</f>
        <v>0</v>
      </c>
      <c r="O56">
        <f>COUNTIFS(Table4[Brand-Renamed],J56,Table4[Resolution],$O$6)</f>
        <v>0</v>
      </c>
      <c r="P56">
        <f>SUMIFS(Table4[Selling Price],Table4[Resolution],$K$6,Table4[Brand-Renamed],J56)</f>
        <v>0</v>
      </c>
      <c r="Q56">
        <f>SUMIFS(Table4[Selling Price],Table4[Resolution],$L$6,Table4[Brand-Renamed],J56)</f>
        <v>0</v>
      </c>
      <c r="R56">
        <f>SUMIFS(Table4[Selling Price],Table4[Resolution],$M$6,Table4[Brand-Renamed],J56)</f>
        <v>8659</v>
      </c>
      <c r="S56">
        <f>SUMIFS(Table4[Selling Price],Table4[Resolution],$N$6,Table4[Brand-Renamed],J56)</f>
        <v>0</v>
      </c>
      <c r="T56">
        <f>SUMIFS(Table4[Selling Price],Table4[Resolution],$O$6,Table4[Brand-Renamed],J56)</f>
        <v>0</v>
      </c>
    </row>
    <row r="57" spans="10:20" x14ac:dyDescent="0.25">
      <c r="J57" t="str">
        <v xml:space="preserve">Maser </v>
      </c>
      <c r="K57">
        <f>COUNTIFS(Table4[Brand-Renamed],J57,Table4[Resolution],$K$6)</f>
        <v>0</v>
      </c>
      <c r="L57">
        <f>COUNTIFS(Table4[Brand-Renamed],J57,Table4[Resolution],$L$6)</f>
        <v>0</v>
      </c>
      <c r="M57">
        <f>COUNTIFS(Table4[Brand-Renamed],J57,Table4[Resolution],$M$6)</f>
        <v>1</v>
      </c>
      <c r="N57">
        <f>COUNTIFS(Table4[Brand-Renamed],J57,Table4[Resolution],$N$6)</f>
        <v>0</v>
      </c>
      <c r="O57">
        <f>COUNTIFS(Table4[Brand-Renamed],J57,Table4[Resolution],$O$6)</f>
        <v>0</v>
      </c>
      <c r="P57">
        <f>SUMIFS(Table4[Selling Price],Table4[Resolution],$K$6,Table4[Brand-Renamed],J57)</f>
        <v>0</v>
      </c>
      <c r="Q57">
        <f>SUMIFS(Table4[Selling Price],Table4[Resolution],$L$6,Table4[Brand-Renamed],J57)</f>
        <v>0</v>
      </c>
      <c r="R57">
        <f>SUMIFS(Table4[Selling Price],Table4[Resolution],$M$6,Table4[Brand-Renamed],J57)</f>
        <v>7499</v>
      </c>
      <c r="S57">
        <f>SUMIFS(Table4[Selling Price],Table4[Resolution],$N$6,Table4[Brand-Renamed],J57)</f>
        <v>0</v>
      </c>
      <c r="T57">
        <f>SUMIFS(Table4[Selling Price],Table4[Resolution],$O$6,Table4[Brand-Renamed],J57)</f>
        <v>0</v>
      </c>
    </row>
    <row r="58" spans="10:20" x14ac:dyDescent="0.25">
      <c r="J58" t="str">
        <v xml:space="preserve">Sanyo </v>
      </c>
      <c r="K58">
        <f>COUNTIFS(Table4[Brand-Renamed],J58,Table4[Resolution],$K$6)</f>
        <v>2</v>
      </c>
      <c r="L58">
        <f>COUNTIFS(Table4[Brand-Renamed],J58,Table4[Resolution],$L$6)</f>
        <v>0</v>
      </c>
      <c r="M58">
        <f>COUNTIFS(Table4[Brand-Renamed],J58,Table4[Resolution],$M$6)</f>
        <v>0</v>
      </c>
      <c r="N58">
        <f>COUNTIFS(Table4[Brand-Renamed],J58,Table4[Resolution],$N$6)</f>
        <v>0</v>
      </c>
      <c r="O58">
        <f>COUNTIFS(Table4[Brand-Renamed],J58,Table4[Resolution],$O$6)</f>
        <v>0</v>
      </c>
      <c r="P58">
        <f>SUMIFS(Table4[Selling Price],Table4[Resolution],$K$6,Table4[Brand-Renamed],J58)</f>
        <v>90998</v>
      </c>
      <c r="Q58">
        <f>SUMIFS(Table4[Selling Price],Table4[Resolution],$L$6,Table4[Brand-Renamed],J58)</f>
        <v>0</v>
      </c>
      <c r="R58">
        <f>SUMIFS(Table4[Selling Price],Table4[Resolution],$M$6,Table4[Brand-Renamed],J58)</f>
        <v>0</v>
      </c>
      <c r="S58">
        <f>SUMIFS(Table4[Selling Price],Table4[Resolution],$N$6,Table4[Brand-Renamed],J58)</f>
        <v>0</v>
      </c>
      <c r="T58">
        <f>SUMIFS(Table4[Selling Price],Table4[Resolution],$O$6,Table4[Brand-Renamed],J58)</f>
        <v>0</v>
      </c>
    </row>
    <row r="59" spans="10:20" x14ac:dyDescent="0.25">
      <c r="J59" t="str">
        <v xml:space="preserve">Murphy </v>
      </c>
      <c r="K59">
        <f>COUNTIFS(Table4[Brand-Renamed],J59,Table4[Resolution],$K$6)</f>
        <v>0</v>
      </c>
      <c r="L59">
        <f>COUNTIFS(Table4[Brand-Renamed],J59,Table4[Resolution],$L$6)</f>
        <v>0</v>
      </c>
      <c r="M59">
        <f>COUNTIFS(Table4[Brand-Renamed],J59,Table4[Resolution],$M$6)</f>
        <v>1</v>
      </c>
      <c r="N59">
        <f>COUNTIFS(Table4[Brand-Renamed],J59,Table4[Resolution],$N$6)</f>
        <v>3</v>
      </c>
      <c r="O59">
        <f>COUNTIFS(Table4[Brand-Renamed],J59,Table4[Resolution],$O$6)</f>
        <v>0</v>
      </c>
      <c r="P59">
        <f>SUMIFS(Table4[Selling Price],Table4[Resolution],$K$6,Table4[Brand-Renamed],J59)</f>
        <v>0</v>
      </c>
      <c r="Q59">
        <f>SUMIFS(Table4[Selling Price],Table4[Resolution],$L$6,Table4[Brand-Renamed],J59)</f>
        <v>0</v>
      </c>
      <c r="R59">
        <f>SUMIFS(Table4[Selling Price],Table4[Resolution],$M$6,Table4[Brand-Renamed],J59)</f>
        <v>7490</v>
      </c>
      <c r="S59">
        <f>SUMIFS(Table4[Selling Price],Table4[Resolution],$N$6,Table4[Brand-Renamed],J59)</f>
        <v>43779</v>
      </c>
      <c r="T59">
        <f>SUMIFS(Table4[Selling Price],Table4[Resolution],$O$6,Table4[Brand-Renamed],J59)</f>
        <v>0</v>
      </c>
    </row>
    <row r="60" spans="10:20" x14ac:dyDescent="0.25">
      <c r="J60" t="str">
        <v>Dektron</v>
      </c>
      <c r="K60">
        <f>COUNTIFS(Table4[Brand-Renamed],J60,Table4[Resolution],$K$6)</f>
        <v>0</v>
      </c>
      <c r="L60">
        <f>COUNTIFS(Table4[Brand-Renamed],J60,Table4[Resolution],$L$6)</f>
        <v>0</v>
      </c>
      <c r="M60">
        <f>COUNTIFS(Table4[Brand-Renamed],J60,Table4[Resolution],$M$6)</f>
        <v>4</v>
      </c>
      <c r="N60">
        <f>COUNTIFS(Table4[Brand-Renamed],J60,Table4[Resolution],$N$6)</f>
        <v>0</v>
      </c>
      <c r="O60">
        <f>COUNTIFS(Table4[Brand-Renamed],J60,Table4[Resolution],$O$6)</f>
        <v>0</v>
      </c>
      <c r="P60">
        <f>SUMIFS(Table4[Selling Price],Table4[Resolution],$K$6,Table4[Brand-Renamed],J60)</f>
        <v>0</v>
      </c>
      <c r="Q60">
        <f>SUMIFS(Table4[Selling Price],Table4[Resolution],$L$6,Table4[Brand-Renamed],J60)</f>
        <v>0</v>
      </c>
      <c r="R60">
        <f>SUMIFS(Table4[Selling Price],Table4[Resolution],$M$6,Table4[Brand-Renamed],J60)</f>
        <v>26896</v>
      </c>
      <c r="S60">
        <f>SUMIFS(Table4[Selling Price],Table4[Resolution],$N$6,Table4[Brand-Renamed],J60)</f>
        <v>0</v>
      </c>
      <c r="T60">
        <f>SUMIFS(Table4[Selling Price],Table4[Resolution],$O$6,Table4[Brand-Renamed],J60)</f>
        <v>0</v>
      </c>
    </row>
    <row r="61" spans="10:20" x14ac:dyDescent="0.25">
      <c r="J61" t="str">
        <v xml:space="preserve">Sharp </v>
      </c>
      <c r="K61">
        <f>COUNTIFS(Table4[Brand-Renamed],J61,Table4[Resolution],$K$6)</f>
        <v>1</v>
      </c>
      <c r="L61">
        <f>COUNTIFS(Table4[Brand-Renamed],J61,Table4[Resolution],$L$6)</f>
        <v>0</v>
      </c>
      <c r="M61">
        <f>COUNTIFS(Table4[Brand-Renamed],J61,Table4[Resolution],$M$6)</f>
        <v>2</v>
      </c>
      <c r="N61">
        <f>COUNTIFS(Table4[Brand-Renamed],J61,Table4[Resolution],$N$6)</f>
        <v>5</v>
      </c>
      <c r="O61">
        <f>COUNTIFS(Table4[Brand-Renamed],J61,Table4[Resolution],$O$6)</f>
        <v>0</v>
      </c>
      <c r="P61">
        <f>SUMIFS(Table4[Selling Price],Table4[Resolution],$K$6,Table4[Brand-Renamed],J61)</f>
        <v>37396</v>
      </c>
      <c r="Q61">
        <f>SUMIFS(Table4[Selling Price],Table4[Resolution],$L$6,Table4[Brand-Renamed],J61)</f>
        <v>0</v>
      </c>
      <c r="R61">
        <f>SUMIFS(Table4[Selling Price],Table4[Resolution],$M$6,Table4[Brand-Renamed],J61)</f>
        <v>24210</v>
      </c>
      <c r="S61">
        <f>SUMIFS(Table4[Selling Price],Table4[Resolution],$N$6,Table4[Brand-Renamed],J61)</f>
        <v>1135770</v>
      </c>
      <c r="T61">
        <f>SUMIFS(Table4[Selling Price],Table4[Resolution],$O$6,Table4[Brand-Renamed],J61)</f>
        <v>0</v>
      </c>
    </row>
    <row r="62" spans="10:20" x14ac:dyDescent="0.25">
      <c r="J62" t="str">
        <v>Krisons</v>
      </c>
      <c r="K62">
        <f>COUNTIFS(Table4[Brand-Renamed],J62,Table4[Resolution],$K$6)</f>
        <v>0</v>
      </c>
      <c r="L62">
        <f>COUNTIFS(Table4[Brand-Renamed],J62,Table4[Resolution],$L$6)</f>
        <v>0</v>
      </c>
      <c r="M62">
        <f>COUNTIFS(Table4[Brand-Renamed],J62,Table4[Resolution],$M$6)</f>
        <v>3</v>
      </c>
      <c r="N62">
        <f>COUNTIFS(Table4[Brand-Renamed],J62,Table4[Resolution],$N$6)</f>
        <v>0</v>
      </c>
      <c r="O62">
        <f>COUNTIFS(Table4[Brand-Renamed],J62,Table4[Resolution],$O$6)</f>
        <v>0</v>
      </c>
      <c r="P62">
        <f>SUMIFS(Table4[Selling Price],Table4[Resolution],$K$6,Table4[Brand-Renamed],J62)</f>
        <v>0</v>
      </c>
      <c r="Q62">
        <f>SUMIFS(Table4[Selling Price],Table4[Resolution],$L$6,Table4[Brand-Renamed],J62)</f>
        <v>0</v>
      </c>
      <c r="R62">
        <f>SUMIFS(Table4[Selling Price],Table4[Resolution],$M$6,Table4[Brand-Renamed],J62)</f>
        <v>17597</v>
      </c>
      <c r="S62">
        <f>SUMIFS(Table4[Selling Price],Table4[Resolution],$N$6,Table4[Brand-Renamed],J62)</f>
        <v>0</v>
      </c>
      <c r="T62">
        <f>SUMIFS(Table4[Selling Price],Table4[Resolution],$O$6,Table4[Brand-Renamed],J62)</f>
        <v>0</v>
      </c>
    </row>
    <row r="63" spans="10:20" x14ac:dyDescent="0.25">
      <c r="J63" t="str">
        <v xml:space="preserve">Weston </v>
      </c>
      <c r="K63">
        <f>COUNTIFS(Table4[Brand-Renamed],J63,Table4[Resolution],$K$6)</f>
        <v>2</v>
      </c>
      <c r="L63">
        <f>COUNTIFS(Table4[Brand-Renamed],J63,Table4[Resolution],$L$6)</f>
        <v>0</v>
      </c>
      <c r="M63">
        <f>COUNTIFS(Table4[Brand-Renamed],J63,Table4[Resolution],$M$6)</f>
        <v>0</v>
      </c>
      <c r="N63">
        <f>COUNTIFS(Table4[Brand-Renamed],J63,Table4[Resolution],$N$6)</f>
        <v>3</v>
      </c>
      <c r="O63">
        <f>COUNTIFS(Table4[Brand-Renamed],J63,Table4[Resolution],$O$6)</f>
        <v>0</v>
      </c>
      <c r="P63">
        <f>SUMIFS(Table4[Selling Price],Table4[Resolution],$K$6,Table4[Brand-Renamed],J63)</f>
        <v>100980</v>
      </c>
      <c r="Q63">
        <f>SUMIFS(Table4[Selling Price],Table4[Resolution],$L$6,Table4[Brand-Renamed],J63)</f>
        <v>0</v>
      </c>
      <c r="R63">
        <f>SUMIFS(Table4[Selling Price],Table4[Resolution],$M$6,Table4[Brand-Renamed],J63)</f>
        <v>0</v>
      </c>
      <c r="S63">
        <f>SUMIFS(Table4[Selling Price],Table4[Resolution],$N$6,Table4[Brand-Renamed],J63)</f>
        <v>115970</v>
      </c>
      <c r="T63">
        <f>SUMIFS(Table4[Selling Price],Table4[Resolution],$O$6,Table4[Brand-Renamed],J63)</f>
        <v>0</v>
      </c>
    </row>
    <row r="64" spans="10:20" x14ac:dyDescent="0.25">
      <c r="J64" t="str">
        <v xml:space="preserve">Aisen  </v>
      </c>
      <c r="K64">
        <f>COUNTIFS(Table4[Brand-Renamed],J64,Table4[Resolution],$K$6)</f>
        <v>4</v>
      </c>
      <c r="L64">
        <f>COUNTIFS(Table4[Brand-Renamed],J64,Table4[Resolution],$L$6)</f>
        <v>0</v>
      </c>
      <c r="M64">
        <f>COUNTIFS(Table4[Brand-Renamed],J64,Table4[Resolution],$M$6)</f>
        <v>3</v>
      </c>
      <c r="N64">
        <f>COUNTIFS(Table4[Brand-Renamed],J64,Table4[Resolution],$N$6)</f>
        <v>1</v>
      </c>
      <c r="O64">
        <f>COUNTIFS(Table4[Brand-Renamed],J64,Table4[Resolution],$O$6)</f>
        <v>0</v>
      </c>
      <c r="P64">
        <f>SUMIFS(Table4[Selling Price],Table4[Resolution],$K$6,Table4[Brand-Renamed],J64)</f>
        <v>225740</v>
      </c>
      <c r="Q64">
        <f>SUMIFS(Table4[Selling Price],Table4[Resolution],$L$6,Table4[Brand-Renamed],J64)</f>
        <v>0</v>
      </c>
      <c r="R64">
        <f>SUMIFS(Table4[Selling Price],Table4[Resolution],$M$6,Table4[Brand-Renamed],J64)</f>
        <v>39970</v>
      </c>
      <c r="S64">
        <f>SUMIFS(Table4[Selling Price],Table4[Resolution],$N$6,Table4[Brand-Renamed],J64)</f>
        <v>17990</v>
      </c>
      <c r="T64">
        <f>SUMIFS(Table4[Selling Price],Table4[Resolution],$O$6,Table4[Brand-Renamed],J64)</f>
        <v>0</v>
      </c>
    </row>
  </sheetData>
  <mergeCells count="2">
    <mergeCell ref="D3:G3"/>
    <mergeCell ref="D10:G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AA5B9-3B76-4F3D-915B-A766BFF8C6CB}">
  <dimension ref="A1:T1048557"/>
  <sheetViews>
    <sheetView topLeftCell="F1" zoomScale="98" zoomScaleNormal="98" workbookViewId="0">
      <selection activeCell="N2" sqref="N2"/>
    </sheetView>
  </sheetViews>
  <sheetFormatPr defaultRowHeight="14.25" customHeight="1" x14ac:dyDescent="0.25"/>
  <cols>
    <col min="1" max="1" width="12" customWidth="1"/>
    <col min="2" max="2" width="17.59765625" customWidth="1"/>
    <col min="3" max="3" width="14.59765625" customWidth="1"/>
    <col min="4" max="4" width="13" customWidth="1"/>
    <col min="5" max="5" width="12.69921875" customWidth="1"/>
    <col min="6" max="6" width="15.8984375" customWidth="1"/>
    <col min="7" max="7" width="17.59765625" customWidth="1"/>
    <col min="8" max="8" width="12" customWidth="1"/>
    <col min="9" max="9" width="10.19921875" customWidth="1"/>
    <col min="10" max="10" width="17.5" customWidth="1"/>
    <col min="11" max="11" width="11.59765625" customWidth="1"/>
    <col min="13" max="13" width="15.8984375" customWidth="1"/>
    <col min="14" max="14" width="16.59765625" customWidth="1"/>
    <col min="15" max="15" width="15.8984375" customWidth="1"/>
  </cols>
  <sheetData>
    <row r="1" spans="1:15" ht="13.8" x14ac:dyDescent="0.25">
      <c r="A1" s="9" t="s">
        <v>99</v>
      </c>
      <c r="B1" s="9" t="s">
        <v>106</v>
      </c>
      <c r="C1" s="9" t="s">
        <v>3</v>
      </c>
      <c r="D1" s="9" t="s">
        <v>107</v>
      </c>
      <c r="E1" s="9" t="s">
        <v>108</v>
      </c>
      <c r="F1" s="9" t="s">
        <v>109</v>
      </c>
      <c r="G1" s="9" t="s">
        <v>110</v>
      </c>
      <c r="H1" s="9" t="s">
        <v>111</v>
      </c>
      <c r="I1" s="9" t="s">
        <v>112</v>
      </c>
      <c r="J1" s="9" t="s">
        <v>4</v>
      </c>
      <c r="K1" s="9" t="s">
        <v>113</v>
      </c>
      <c r="L1" s="9" t="s">
        <v>114</v>
      </c>
      <c r="M1" s="9" t="s">
        <v>115</v>
      </c>
      <c r="N1" s="9" t="s">
        <v>116</v>
      </c>
      <c r="O1" s="9" t="s">
        <v>117</v>
      </c>
    </row>
    <row r="2" spans="1:15" ht="13.8" x14ac:dyDescent="0.25">
      <c r="A2" s="4" t="s">
        <v>118</v>
      </c>
      <c r="B2" s="4" t="str">
        <f t="shared" ref="B2:B65" si="0">PROPER(A2)</f>
        <v>Toshiba</v>
      </c>
      <c r="C2" s="4" t="s">
        <v>32</v>
      </c>
      <c r="D2" s="4">
        <v>55</v>
      </c>
      <c r="E2" s="4">
        <v>37999</v>
      </c>
      <c r="F2" s="4">
        <v>54990</v>
      </c>
      <c r="G2" s="4" t="s">
        <v>64</v>
      </c>
      <c r="H2" s="4">
        <v>4.3</v>
      </c>
      <c r="I2" s="4">
        <f t="shared" ref="I2:I65" si="1">F2-E2</f>
        <v>16991</v>
      </c>
      <c r="J2">
        <f t="shared" ref="J2:J65" si="2">IF((F2-E2)/F2 = 0, "Discount Not Applied", (F2-E2)/F2)</f>
        <v>0.30898345153664303</v>
      </c>
      <c r="K2" s="4">
        <f t="shared" ref="K2:K65" si="3">E2-F2</f>
        <v>-16991</v>
      </c>
      <c r="L2" s="5">
        <f t="shared" ref="L2:L65" si="4">(E2-F2)/E2</f>
        <v>-0.44714334587752308</v>
      </c>
      <c r="M2" s="4" t="str">
        <f t="shared" ref="M2:M65" si="5">IF(ISBLANK(H2),"Ratings Not Given",IF(H2&gt;=4.5,"Good Ratings",IF(H2&lt;=3.7,"Bad Ratings","Medium Ratings")))</f>
        <v>Medium Ratings</v>
      </c>
      <c r="N2" s="34">
        <f t="array" ref="N2">MEDIAN(_xlfn._xlws.FILTER(Table4[Original Price],Table4[Brand-Renamed] = Table4[[#This Row],[Brand]]))</f>
        <v>46990</v>
      </c>
      <c r="O2" s="35">
        <f t="array" ref="O2">MEDIAN(_xlfn._xlws.FILTER(Table4[Selling Price],Table4[Brand-Renamed] =Table4[[#This Row],[Brand-Renamed]]))</f>
        <v>29999</v>
      </c>
    </row>
    <row r="3" spans="1:15" ht="13.8" x14ac:dyDescent="0.25">
      <c r="A3" s="6" t="s">
        <v>119</v>
      </c>
      <c r="B3" s="4" t="str">
        <f t="shared" si="0"/>
        <v xml:space="preserve">Tcl </v>
      </c>
      <c r="C3" s="6" t="s">
        <v>29</v>
      </c>
      <c r="D3" s="6">
        <v>55</v>
      </c>
      <c r="E3" s="6">
        <v>52999</v>
      </c>
      <c r="F3" s="6">
        <v>129990</v>
      </c>
      <c r="G3" s="6" t="s">
        <v>54</v>
      </c>
      <c r="H3" s="6">
        <v>4.4000000000000004</v>
      </c>
      <c r="I3" s="6">
        <f t="shared" si="1"/>
        <v>76991</v>
      </c>
      <c r="J3">
        <f t="shared" si="2"/>
        <v>0.59228402184783446</v>
      </c>
      <c r="K3" s="6">
        <f t="shared" si="3"/>
        <v>-76991</v>
      </c>
      <c r="L3" s="7">
        <f t="shared" si="4"/>
        <v>-1.4526877865620107</v>
      </c>
      <c r="M3" s="6" t="str">
        <f t="shared" si="5"/>
        <v>Medium Ratings</v>
      </c>
      <c r="N3" s="34">
        <f t="array" ref="N3">MEDIAN(_xlfn._xlws.FILTER(Table4[Original Price],Table4[Brand-Renamed] = Table4[[#This Row],[Brand]]))</f>
        <v>77990</v>
      </c>
      <c r="O3" s="35">
        <f t="array" ref="O3">MEDIAN(_xlfn._xlws.FILTER(Table4[Selling Price],Table4[Brand-Renamed] =Table4[[#This Row],[Brand-Renamed]]))</f>
        <v>40999</v>
      </c>
    </row>
    <row r="4" spans="1:15" ht="13.8" x14ac:dyDescent="0.25">
      <c r="A4" s="4" t="s">
        <v>120</v>
      </c>
      <c r="B4" s="4" t="str">
        <f t="shared" si="0"/>
        <v xml:space="preserve">Realme </v>
      </c>
      <c r="C4" s="4" t="s">
        <v>19</v>
      </c>
      <c r="D4" s="4">
        <v>32</v>
      </c>
      <c r="E4" s="4">
        <v>13999</v>
      </c>
      <c r="F4" s="4">
        <v>17999</v>
      </c>
      <c r="G4" s="4" t="s">
        <v>54</v>
      </c>
      <c r="H4" s="4">
        <v>4.3</v>
      </c>
      <c r="I4" s="4">
        <f t="shared" si="1"/>
        <v>4000</v>
      </c>
      <c r="J4">
        <f t="shared" si="2"/>
        <v>0.22223456858714374</v>
      </c>
      <c r="K4" s="4">
        <f t="shared" si="3"/>
        <v>-4000</v>
      </c>
      <c r="L4" s="5">
        <f t="shared" si="4"/>
        <v>-0.28573469533538109</v>
      </c>
      <c r="M4" s="4" t="str">
        <f t="shared" si="5"/>
        <v>Medium Ratings</v>
      </c>
      <c r="N4" s="34">
        <f t="array" ref="N4">MEDIAN(_xlfn._xlws.FILTER(Table4[Original Price],Table4[Brand-Renamed] = Table4[[#This Row],[Brand]]))</f>
        <v>23999</v>
      </c>
      <c r="O4" s="35">
        <f t="array" ref="O4">MEDIAN(_xlfn._xlws.FILTER(Table4[Selling Price],Table4[Brand-Renamed] =Table4[[#This Row],[Brand-Renamed]]))</f>
        <v>17999</v>
      </c>
    </row>
    <row r="5" spans="1:15" ht="13.8" x14ac:dyDescent="0.25">
      <c r="A5" s="6" t="s">
        <v>70</v>
      </c>
      <c r="B5" s="4" t="str">
        <f t="shared" si="0"/>
        <v xml:space="preserve">Mi </v>
      </c>
      <c r="C5" s="6" t="s">
        <v>19</v>
      </c>
      <c r="D5" s="6">
        <v>32</v>
      </c>
      <c r="E5" s="6">
        <v>14999</v>
      </c>
      <c r="F5" s="6">
        <v>19999</v>
      </c>
      <c r="G5" s="6" t="s">
        <v>54</v>
      </c>
      <c r="H5" s="6">
        <v>4.4000000000000004</v>
      </c>
      <c r="I5" s="6">
        <f t="shared" si="1"/>
        <v>5000</v>
      </c>
      <c r="J5">
        <f t="shared" si="2"/>
        <v>0.25001250062503128</v>
      </c>
      <c r="K5" s="6">
        <f t="shared" si="3"/>
        <v>-5000</v>
      </c>
      <c r="L5" s="7">
        <f t="shared" si="4"/>
        <v>-0.33335555703713582</v>
      </c>
      <c r="M5" s="6" t="str">
        <f t="shared" si="5"/>
        <v>Medium Ratings</v>
      </c>
      <c r="N5" s="34">
        <f t="array" ref="N5">MEDIAN(_xlfn._xlws.FILTER(Table4[Original Price],Table4[Brand-Renamed] = Table4[[#This Row],[Brand]]))</f>
        <v>34999</v>
      </c>
      <c r="O5" s="35">
        <f t="array" ref="O5">MEDIAN(_xlfn._xlws.FILTER(Table4[Selling Price],Table4[Brand-Renamed] =Table4[[#This Row],[Brand-Renamed]]))</f>
        <v>27999</v>
      </c>
    </row>
    <row r="6" spans="1:15" ht="13.8" x14ac:dyDescent="0.25">
      <c r="A6" s="4" t="s">
        <v>120</v>
      </c>
      <c r="B6" s="4" t="str">
        <f t="shared" si="0"/>
        <v xml:space="preserve">Realme </v>
      </c>
      <c r="C6" s="4" t="s">
        <v>19</v>
      </c>
      <c r="D6" s="4">
        <v>32</v>
      </c>
      <c r="E6" s="4">
        <v>12999</v>
      </c>
      <c r="F6" s="4">
        <v>21999</v>
      </c>
      <c r="G6" s="4" t="s">
        <v>54</v>
      </c>
      <c r="H6" s="4">
        <v>4.3</v>
      </c>
      <c r="I6" s="4">
        <f t="shared" si="1"/>
        <v>9000</v>
      </c>
      <c r="J6">
        <f t="shared" si="2"/>
        <v>0.40910950497749898</v>
      </c>
      <c r="K6" s="4">
        <f t="shared" si="3"/>
        <v>-9000</v>
      </c>
      <c r="L6" s="5">
        <f t="shared" si="4"/>
        <v>-0.69236095084237248</v>
      </c>
      <c r="M6" s="4" t="str">
        <f t="shared" si="5"/>
        <v>Medium Ratings</v>
      </c>
      <c r="N6" s="34">
        <f t="array" ref="N6">MEDIAN(_xlfn._xlws.FILTER(Table4[Original Price],Table4[Brand-Renamed] = Table4[[#This Row],[Brand]]))</f>
        <v>23999</v>
      </c>
      <c r="O6" s="35">
        <f t="array" ref="O6">MEDIAN(_xlfn._xlws.FILTER(Table4[Selling Price],Table4[Brand-Renamed] =Table4[[#This Row],[Brand-Renamed]]))</f>
        <v>17999</v>
      </c>
    </row>
    <row r="7" spans="1:15" ht="13.8" x14ac:dyDescent="0.25">
      <c r="A7" s="6" t="s">
        <v>121</v>
      </c>
      <c r="B7" s="4" t="str">
        <f t="shared" si="0"/>
        <v>Oneplus</v>
      </c>
      <c r="C7" s="6" t="s">
        <v>19</v>
      </c>
      <c r="D7" s="6">
        <v>32</v>
      </c>
      <c r="E7" s="6">
        <v>15999</v>
      </c>
      <c r="F7" s="6">
        <v>19999</v>
      </c>
      <c r="G7" s="6" t="s">
        <v>54</v>
      </c>
      <c r="H7" s="6">
        <v>4.3</v>
      </c>
      <c r="I7" s="6">
        <f t="shared" si="1"/>
        <v>4000</v>
      </c>
      <c r="J7">
        <f t="shared" si="2"/>
        <v>0.20001000050002501</v>
      </c>
      <c r="K7" s="6">
        <f t="shared" si="3"/>
        <v>-4000</v>
      </c>
      <c r="L7" s="7">
        <f t="shared" si="4"/>
        <v>-0.25001562597662352</v>
      </c>
      <c r="M7" s="6" t="str">
        <f t="shared" si="5"/>
        <v>Medium Ratings</v>
      </c>
      <c r="N7" s="34">
        <f t="array" ref="N7">MEDIAN(_xlfn._xlws.FILTER(Table4[Original Price],Table4[Brand-Renamed] = Table4[[#This Row],[Brand]]))</f>
        <v>59999</v>
      </c>
      <c r="O7" s="35">
        <f t="array" ref="O7">MEDIAN(_xlfn._xlws.FILTER(Table4[Selling Price],Table4[Brand-Renamed] =Table4[[#This Row],[Brand-Renamed]]))</f>
        <v>49999</v>
      </c>
    </row>
    <row r="8" spans="1:15" ht="13.8" x14ac:dyDescent="0.25">
      <c r="A8" s="4" t="s">
        <v>121</v>
      </c>
      <c r="B8" s="4" t="str">
        <f t="shared" si="0"/>
        <v>Oneplus</v>
      </c>
      <c r="C8" s="4" t="s">
        <v>8</v>
      </c>
      <c r="D8" s="4">
        <v>43</v>
      </c>
      <c r="E8" s="4">
        <v>25999</v>
      </c>
      <c r="F8" s="4">
        <v>29999</v>
      </c>
      <c r="G8" s="4" t="s">
        <v>54</v>
      </c>
      <c r="H8" s="4">
        <v>4.3</v>
      </c>
      <c r="I8" s="4">
        <f t="shared" si="1"/>
        <v>4000</v>
      </c>
      <c r="J8">
        <f t="shared" si="2"/>
        <v>0.13333777792593088</v>
      </c>
      <c r="K8" s="4">
        <f t="shared" si="3"/>
        <v>-4000</v>
      </c>
      <c r="L8" s="5">
        <f t="shared" si="4"/>
        <v>-0.15385207123350897</v>
      </c>
      <c r="M8" s="4" t="str">
        <f t="shared" si="5"/>
        <v>Medium Ratings</v>
      </c>
      <c r="N8" s="34">
        <f t="array" ref="N8">MEDIAN(_xlfn._xlws.FILTER(Table4[Original Price],Table4[Brand-Renamed] = Table4[[#This Row],[Brand]]))</f>
        <v>59999</v>
      </c>
      <c r="O8" s="35">
        <f t="array" ref="O8">MEDIAN(_xlfn._xlws.FILTER(Table4[Selling Price],Table4[Brand-Renamed] =Table4[[#This Row],[Brand-Renamed]]))</f>
        <v>49999</v>
      </c>
    </row>
    <row r="9" spans="1:15" ht="13.8" x14ac:dyDescent="0.25">
      <c r="A9" s="6" t="s">
        <v>119</v>
      </c>
      <c r="B9" s="4" t="str">
        <f t="shared" si="0"/>
        <v xml:space="preserve">Tcl </v>
      </c>
      <c r="C9" s="6" t="s">
        <v>32</v>
      </c>
      <c r="D9" s="6">
        <v>65</v>
      </c>
      <c r="E9" s="6">
        <v>57999</v>
      </c>
      <c r="F9" s="6">
        <v>119990</v>
      </c>
      <c r="G9" s="6" t="s">
        <v>54</v>
      </c>
      <c r="H9" s="6">
        <v>4.2</v>
      </c>
      <c r="I9" s="6">
        <f t="shared" si="1"/>
        <v>61991</v>
      </c>
      <c r="J9">
        <f t="shared" si="2"/>
        <v>0.51663471955996332</v>
      </c>
      <c r="K9" s="6">
        <f t="shared" si="3"/>
        <v>-61991</v>
      </c>
      <c r="L9" s="7">
        <f t="shared" si="4"/>
        <v>-1.0688287729098778</v>
      </c>
      <c r="M9" s="6" t="str">
        <f t="shared" si="5"/>
        <v>Medium Ratings</v>
      </c>
      <c r="N9" s="34">
        <f t="array" ref="N9">MEDIAN(_xlfn._xlws.FILTER(Table4[Original Price],Table4[Brand-Renamed] = Table4[[#This Row],[Brand]]))</f>
        <v>77990</v>
      </c>
      <c r="O9" s="35">
        <f t="array" ref="O9">MEDIAN(_xlfn._xlws.FILTER(Table4[Selling Price],Table4[Brand-Renamed] =Table4[[#This Row],[Brand-Renamed]]))</f>
        <v>40999</v>
      </c>
    </row>
    <row r="10" spans="1:15" ht="13.8" x14ac:dyDescent="0.25">
      <c r="A10" s="4" t="s">
        <v>70</v>
      </c>
      <c r="B10" s="4" t="str">
        <f t="shared" si="0"/>
        <v xml:space="preserve">Mi </v>
      </c>
      <c r="C10" s="4" t="s">
        <v>8</v>
      </c>
      <c r="D10" s="4">
        <v>40</v>
      </c>
      <c r="E10" s="4">
        <v>21999</v>
      </c>
      <c r="F10" s="4">
        <v>29999</v>
      </c>
      <c r="G10" s="4" t="s">
        <v>54</v>
      </c>
      <c r="H10" s="4">
        <v>4.3</v>
      </c>
      <c r="I10" s="4">
        <f t="shared" si="1"/>
        <v>8000</v>
      </c>
      <c r="J10">
        <f t="shared" si="2"/>
        <v>0.26667555585186176</v>
      </c>
      <c r="K10" s="4">
        <f t="shared" si="3"/>
        <v>-8000</v>
      </c>
      <c r="L10" s="5">
        <f t="shared" si="4"/>
        <v>-0.36365289331333245</v>
      </c>
      <c r="M10" s="4" t="str">
        <f t="shared" si="5"/>
        <v>Medium Ratings</v>
      </c>
      <c r="N10" s="34">
        <f t="array" ref="N10">MEDIAN(_xlfn._xlws.FILTER(Table4[Original Price],Table4[Brand-Renamed] = Table4[[#This Row],[Brand]]))</f>
        <v>34999</v>
      </c>
      <c r="O10" s="35">
        <f t="array" ref="O10">MEDIAN(_xlfn._xlws.FILTER(Table4[Selling Price],Table4[Brand-Renamed] =Table4[[#This Row],[Brand-Renamed]]))</f>
        <v>27999</v>
      </c>
    </row>
    <row r="11" spans="1:15" ht="13.8" x14ac:dyDescent="0.25">
      <c r="A11" s="6" t="s">
        <v>120</v>
      </c>
      <c r="B11" s="4" t="str">
        <f t="shared" si="0"/>
        <v xml:space="preserve">Realme </v>
      </c>
      <c r="C11" s="6" t="s">
        <v>32</v>
      </c>
      <c r="D11" s="6">
        <v>43</v>
      </c>
      <c r="E11" s="6">
        <v>26999</v>
      </c>
      <c r="F11" s="6">
        <v>32999</v>
      </c>
      <c r="G11" s="6" t="s">
        <v>54</v>
      </c>
      <c r="H11" s="6">
        <v>4.3</v>
      </c>
      <c r="I11" s="6">
        <f t="shared" si="1"/>
        <v>6000</v>
      </c>
      <c r="J11">
        <f t="shared" si="2"/>
        <v>0.181823691627019</v>
      </c>
      <c r="K11" s="6">
        <f t="shared" si="3"/>
        <v>-6000</v>
      </c>
      <c r="L11" s="7">
        <f t="shared" si="4"/>
        <v>-0.22223045297973998</v>
      </c>
      <c r="M11" s="6" t="str">
        <f t="shared" si="5"/>
        <v>Medium Ratings</v>
      </c>
      <c r="N11" s="34">
        <f t="array" ref="N11">MEDIAN(_xlfn._xlws.FILTER(Table4[Original Price],Table4[Brand-Renamed] = Table4[[#This Row],[Brand]]))</f>
        <v>23999</v>
      </c>
      <c r="O11" s="35">
        <f t="array" ref="O11">MEDIAN(_xlfn._xlws.FILTER(Table4[Selling Price],Table4[Brand-Renamed] =Table4[[#This Row],[Brand-Renamed]]))</f>
        <v>17999</v>
      </c>
    </row>
    <row r="12" spans="1:15" ht="13.8" x14ac:dyDescent="0.25">
      <c r="A12" s="4" t="s">
        <v>70</v>
      </c>
      <c r="B12" s="4" t="str">
        <f t="shared" si="0"/>
        <v xml:space="preserve">Mi </v>
      </c>
      <c r="C12" s="4" t="s">
        <v>32</v>
      </c>
      <c r="D12" s="4">
        <v>43</v>
      </c>
      <c r="E12" s="4">
        <v>27999</v>
      </c>
      <c r="F12" s="4">
        <v>34999</v>
      </c>
      <c r="G12" s="4" t="s">
        <v>54</v>
      </c>
      <c r="H12" s="4">
        <v>4.3</v>
      </c>
      <c r="I12" s="4">
        <f t="shared" si="1"/>
        <v>7000</v>
      </c>
      <c r="J12">
        <f t="shared" si="2"/>
        <v>0.20000571444898427</v>
      </c>
      <c r="K12" s="4">
        <f t="shared" si="3"/>
        <v>-7000</v>
      </c>
      <c r="L12" s="5">
        <f t="shared" si="4"/>
        <v>-0.25000892889031751</v>
      </c>
      <c r="M12" s="4" t="str">
        <f t="shared" si="5"/>
        <v>Medium Ratings</v>
      </c>
      <c r="N12" s="34">
        <f t="array" ref="N12">MEDIAN(_xlfn._xlws.FILTER(Table4[Original Price],Table4[Brand-Renamed] = Table4[[#This Row],[Brand]]))</f>
        <v>34999</v>
      </c>
      <c r="O12" s="35">
        <f t="array" ref="O12">MEDIAN(_xlfn._xlws.FILTER(Table4[Selling Price],Table4[Brand-Renamed] =Table4[[#This Row],[Brand-Renamed]]))</f>
        <v>27999</v>
      </c>
    </row>
    <row r="13" spans="1:15" ht="13.8" x14ac:dyDescent="0.25">
      <c r="A13" s="6" t="s">
        <v>18</v>
      </c>
      <c r="B13" s="4" t="str">
        <f t="shared" si="0"/>
        <v>Hisense</v>
      </c>
      <c r="C13" s="6" t="s">
        <v>32</v>
      </c>
      <c r="D13" s="6">
        <v>55</v>
      </c>
      <c r="E13" s="6">
        <v>36999</v>
      </c>
      <c r="F13" s="6">
        <v>49990</v>
      </c>
      <c r="G13" s="6" t="s">
        <v>54</v>
      </c>
      <c r="H13" s="6">
        <v>4.4000000000000004</v>
      </c>
      <c r="I13" s="6">
        <f t="shared" si="1"/>
        <v>12991</v>
      </c>
      <c r="J13">
        <f t="shared" si="2"/>
        <v>0.25987197439487897</v>
      </c>
      <c r="K13" s="6">
        <f t="shared" si="3"/>
        <v>-12991</v>
      </c>
      <c r="L13" s="7">
        <f t="shared" si="4"/>
        <v>-0.35111759777291279</v>
      </c>
      <c r="M13" s="6" t="str">
        <f t="shared" si="5"/>
        <v>Medium Ratings</v>
      </c>
      <c r="N13" s="34">
        <f t="array" ref="N13">MEDIAN(_xlfn._xlws.FILTER(Table4[Original Price],Table4[Brand-Renamed] = Table4[[#This Row],[Brand]]))</f>
        <v>50490</v>
      </c>
      <c r="O13" s="35">
        <f t="array" ref="O13">MEDIAN(_xlfn._xlws.FILTER(Table4[Selling Price],Table4[Brand-Renamed] =Table4[[#This Row],[Brand-Renamed]]))</f>
        <v>39499</v>
      </c>
    </row>
    <row r="14" spans="1:15" ht="13.8" x14ac:dyDescent="0.25">
      <c r="A14" s="4" t="s">
        <v>70</v>
      </c>
      <c r="B14" s="4" t="str">
        <f t="shared" si="0"/>
        <v xml:space="preserve">Mi </v>
      </c>
      <c r="C14" s="4" t="s">
        <v>32</v>
      </c>
      <c r="D14" s="4">
        <v>50</v>
      </c>
      <c r="E14" s="4">
        <v>35999</v>
      </c>
      <c r="F14" s="4">
        <v>41999</v>
      </c>
      <c r="G14" s="4" t="s">
        <v>54</v>
      </c>
      <c r="H14" s="4">
        <v>4.3</v>
      </c>
      <c r="I14" s="4">
        <f t="shared" si="1"/>
        <v>6000</v>
      </c>
      <c r="J14">
        <f t="shared" si="2"/>
        <v>0.14286054429867379</v>
      </c>
      <c r="K14" s="4">
        <f t="shared" si="3"/>
        <v>-6000</v>
      </c>
      <c r="L14" s="5">
        <f t="shared" si="4"/>
        <v>-0.16667129642490069</v>
      </c>
      <c r="M14" s="4" t="str">
        <f t="shared" si="5"/>
        <v>Medium Ratings</v>
      </c>
      <c r="N14" s="34">
        <f t="array" ref="N14">MEDIAN(_xlfn._xlws.FILTER(Table4[Original Price],Table4[Brand-Renamed] = Table4[[#This Row],[Brand]]))</f>
        <v>34999</v>
      </c>
      <c r="O14" s="35">
        <f t="array" ref="O14">MEDIAN(_xlfn._xlws.FILTER(Table4[Selling Price],Table4[Brand-Renamed] =Table4[[#This Row],[Brand-Renamed]]))</f>
        <v>27999</v>
      </c>
    </row>
    <row r="15" spans="1:15" ht="13.8" x14ac:dyDescent="0.25">
      <c r="A15" s="6" t="s">
        <v>70</v>
      </c>
      <c r="B15" s="4" t="str">
        <f t="shared" si="0"/>
        <v xml:space="preserve">Mi </v>
      </c>
      <c r="C15" s="6" t="s">
        <v>19</v>
      </c>
      <c r="D15" s="6">
        <v>32</v>
      </c>
      <c r="E15" s="6">
        <v>15499</v>
      </c>
      <c r="F15" s="6">
        <v>19999</v>
      </c>
      <c r="G15" s="6" t="s">
        <v>54</v>
      </c>
      <c r="H15" s="6">
        <v>4.3</v>
      </c>
      <c r="I15" s="6">
        <f t="shared" si="1"/>
        <v>4500</v>
      </c>
      <c r="J15">
        <f t="shared" si="2"/>
        <v>0.22501125056252813</v>
      </c>
      <c r="K15" s="6">
        <f t="shared" si="3"/>
        <v>-4500</v>
      </c>
      <c r="L15" s="7">
        <f t="shared" si="4"/>
        <v>-0.29034131234273181</v>
      </c>
      <c r="M15" s="6" t="str">
        <f t="shared" si="5"/>
        <v>Medium Ratings</v>
      </c>
      <c r="N15" s="34">
        <f t="array" ref="N15">MEDIAN(_xlfn._xlws.FILTER(Table4[Original Price],Table4[Brand-Renamed] = Table4[[#This Row],[Brand]]))</f>
        <v>34999</v>
      </c>
      <c r="O15" s="35">
        <f t="array" ref="O15">MEDIAN(_xlfn._xlws.FILTER(Table4[Selling Price],Table4[Brand-Renamed] =Table4[[#This Row],[Brand-Renamed]]))</f>
        <v>27999</v>
      </c>
    </row>
    <row r="16" spans="1:15" ht="13.8" x14ac:dyDescent="0.25">
      <c r="A16" s="4" t="s">
        <v>70</v>
      </c>
      <c r="B16" s="4" t="str">
        <f t="shared" si="0"/>
        <v xml:space="preserve">Mi </v>
      </c>
      <c r="C16" s="4" t="s">
        <v>19</v>
      </c>
      <c r="D16" s="4">
        <v>32</v>
      </c>
      <c r="E16" s="4">
        <v>14999</v>
      </c>
      <c r="F16" s="4">
        <v>19999</v>
      </c>
      <c r="G16" s="4" t="s">
        <v>54</v>
      </c>
      <c r="H16" s="4">
        <v>4.3</v>
      </c>
      <c r="I16" s="4">
        <f t="shared" si="1"/>
        <v>5000</v>
      </c>
      <c r="J16">
        <f t="shared" si="2"/>
        <v>0.25001250062503128</v>
      </c>
      <c r="K16" s="4">
        <f t="shared" si="3"/>
        <v>-5000</v>
      </c>
      <c r="L16" s="5">
        <f t="shared" si="4"/>
        <v>-0.33335555703713582</v>
      </c>
      <c r="M16" s="4" t="str">
        <f t="shared" si="5"/>
        <v>Medium Ratings</v>
      </c>
      <c r="N16" s="34">
        <f t="array" ref="N16">MEDIAN(_xlfn._xlws.FILTER(Table4[Original Price],Table4[Brand-Renamed] = Table4[[#This Row],[Brand]]))</f>
        <v>34999</v>
      </c>
      <c r="O16" s="35">
        <f t="array" ref="O16">MEDIAN(_xlfn._xlws.FILTER(Table4[Selling Price],Table4[Brand-Renamed] =Table4[[#This Row],[Brand-Renamed]]))</f>
        <v>27999</v>
      </c>
    </row>
    <row r="17" spans="1:15" ht="13.8" x14ac:dyDescent="0.25">
      <c r="A17" s="6" t="s">
        <v>18</v>
      </c>
      <c r="B17" s="4" t="str">
        <f t="shared" si="0"/>
        <v>Hisense</v>
      </c>
      <c r="C17" s="6" t="s">
        <v>32</v>
      </c>
      <c r="D17" s="6">
        <v>70</v>
      </c>
      <c r="E17" s="6">
        <v>89999</v>
      </c>
      <c r="F17" s="6">
        <v>119990</v>
      </c>
      <c r="G17" s="6" t="s">
        <v>54</v>
      </c>
      <c r="H17" s="6">
        <v>4.4000000000000004</v>
      </c>
      <c r="I17" s="6">
        <f t="shared" si="1"/>
        <v>29991</v>
      </c>
      <c r="J17">
        <f t="shared" si="2"/>
        <v>0.24994582881906827</v>
      </c>
      <c r="K17" s="6">
        <f t="shared" si="3"/>
        <v>-29991</v>
      </c>
      <c r="L17" s="7">
        <f t="shared" si="4"/>
        <v>-0.33323703596706628</v>
      </c>
      <c r="M17" s="6" t="str">
        <f t="shared" si="5"/>
        <v>Medium Ratings</v>
      </c>
      <c r="N17" s="34">
        <f t="array" ref="N17">MEDIAN(_xlfn._xlws.FILTER(Table4[Original Price],Table4[Brand-Renamed] = Table4[[#This Row],[Brand]]))</f>
        <v>50490</v>
      </c>
      <c r="O17" s="35">
        <f t="array" ref="O17">MEDIAN(_xlfn._xlws.FILTER(Table4[Selling Price],Table4[Brand-Renamed] =Table4[[#This Row],[Brand-Renamed]]))</f>
        <v>39499</v>
      </c>
    </row>
    <row r="18" spans="1:15" ht="13.8" x14ac:dyDescent="0.25">
      <c r="A18" s="4" t="s">
        <v>122</v>
      </c>
      <c r="B18" s="4" t="str">
        <f t="shared" si="0"/>
        <v xml:space="preserve">Lg </v>
      </c>
      <c r="C18" s="4" t="s">
        <v>19</v>
      </c>
      <c r="D18" s="4">
        <v>32</v>
      </c>
      <c r="E18" s="4">
        <v>17499</v>
      </c>
      <c r="F18" s="4">
        <v>21990</v>
      </c>
      <c r="G18" s="4" t="s">
        <v>60</v>
      </c>
      <c r="H18" s="4">
        <v>4.4000000000000004</v>
      </c>
      <c r="I18" s="4">
        <f t="shared" si="1"/>
        <v>4491</v>
      </c>
      <c r="J18">
        <f t="shared" si="2"/>
        <v>0.20422919508867668</v>
      </c>
      <c r="K18" s="4">
        <f t="shared" si="3"/>
        <v>-4491</v>
      </c>
      <c r="L18" s="5">
        <f t="shared" si="4"/>
        <v>-0.25664323675638606</v>
      </c>
      <c r="M18" s="4" t="str">
        <f t="shared" si="5"/>
        <v>Medium Ratings</v>
      </c>
      <c r="N18" s="34">
        <f t="array" ref="N18">MEDIAN(_xlfn._xlws.FILTER(Table4[Original Price],Table4[Brand-Renamed] = Table4[[#This Row],[Brand]]))</f>
        <v>98990</v>
      </c>
      <c r="O18" s="35">
        <f t="array" ref="O18">MEDIAN(_xlfn._xlws.FILTER(Table4[Selling Price],Table4[Brand-Renamed] =Table4[[#This Row],[Brand-Renamed]]))</f>
        <v>76737</v>
      </c>
    </row>
    <row r="19" spans="1:15" ht="13.8" x14ac:dyDescent="0.25">
      <c r="A19" s="6" t="s">
        <v>70</v>
      </c>
      <c r="B19" s="4" t="str">
        <f t="shared" si="0"/>
        <v xml:space="preserve">Mi </v>
      </c>
      <c r="C19" s="6" t="s">
        <v>8</v>
      </c>
      <c r="D19" s="6">
        <v>43</v>
      </c>
      <c r="E19" s="6">
        <v>25999</v>
      </c>
      <c r="F19" s="6">
        <v>31999</v>
      </c>
      <c r="G19" s="6" t="s">
        <v>54</v>
      </c>
      <c r="H19" s="6">
        <v>4.3</v>
      </c>
      <c r="I19" s="6">
        <f t="shared" si="1"/>
        <v>6000</v>
      </c>
      <c r="J19">
        <f t="shared" si="2"/>
        <v>0.18750585955811119</v>
      </c>
      <c r="K19" s="6">
        <f t="shared" si="3"/>
        <v>-6000</v>
      </c>
      <c r="L19" s="7">
        <f t="shared" si="4"/>
        <v>-0.23077810685026348</v>
      </c>
      <c r="M19" s="6" t="str">
        <f t="shared" si="5"/>
        <v>Medium Ratings</v>
      </c>
      <c r="N19" s="34">
        <f t="array" ref="N19">MEDIAN(_xlfn._xlws.FILTER(Table4[Original Price],Table4[Brand-Renamed] = Table4[[#This Row],[Brand]]))</f>
        <v>34999</v>
      </c>
      <c r="O19" s="35">
        <f t="array" ref="O19">MEDIAN(_xlfn._xlws.FILTER(Table4[Selling Price],Table4[Brand-Renamed] =Table4[[#This Row],[Brand-Renamed]]))</f>
        <v>27999</v>
      </c>
    </row>
    <row r="20" spans="1:15" ht="13.8" x14ac:dyDescent="0.25">
      <c r="A20" s="4" t="s">
        <v>70</v>
      </c>
      <c r="B20" s="4" t="str">
        <f t="shared" si="0"/>
        <v xml:space="preserve">Mi </v>
      </c>
      <c r="C20" s="4" t="s">
        <v>32</v>
      </c>
      <c r="D20" s="4">
        <v>55</v>
      </c>
      <c r="E20" s="4">
        <v>45999</v>
      </c>
      <c r="F20" s="4">
        <v>69999</v>
      </c>
      <c r="G20" s="4" t="s">
        <v>54</v>
      </c>
      <c r="H20" s="4">
        <v>4.2</v>
      </c>
      <c r="I20" s="4">
        <f t="shared" si="1"/>
        <v>24000</v>
      </c>
      <c r="J20">
        <f t="shared" si="2"/>
        <v>0.3428620408862984</v>
      </c>
      <c r="K20" s="4">
        <f t="shared" si="3"/>
        <v>-24000</v>
      </c>
      <c r="L20" s="5">
        <f t="shared" si="4"/>
        <v>-0.521750472836366</v>
      </c>
      <c r="M20" s="4" t="str">
        <f t="shared" si="5"/>
        <v>Medium Ratings</v>
      </c>
      <c r="N20" s="34">
        <f t="array" ref="N20">MEDIAN(_xlfn._xlws.FILTER(Table4[Original Price],Table4[Brand-Renamed] = Table4[[#This Row],[Brand]]))</f>
        <v>34999</v>
      </c>
      <c r="O20" s="35">
        <f t="array" ref="O20">MEDIAN(_xlfn._xlws.FILTER(Table4[Selling Price],Table4[Brand-Renamed] =Table4[[#This Row],[Brand-Renamed]]))</f>
        <v>27999</v>
      </c>
    </row>
    <row r="21" spans="1:15" ht="13.8" x14ac:dyDescent="0.25">
      <c r="A21" s="6" t="s">
        <v>118</v>
      </c>
      <c r="B21" s="4" t="str">
        <f t="shared" si="0"/>
        <v>Toshiba</v>
      </c>
      <c r="C21" s="6" t="s">
        <v>32</v>
      </c>
      <c r="D21" s="6">
        <v>43</v>
      </c>
      <c r="E21" s="6">
        <v>27999</v>
      </c>
      <c r="F21" s="6">
        <v>39990</v>
      </c>
      <c r="G21" s="6" t="s">
        <v>64</v>
      </c>
      <c r="H21" s="6">
        <v>4.3</v>
      </c>
      <c r="I21" s="6">
        <f t="shared" si="1"/>
        <v>11991</v>
      </c>
      <c r="J21">
        <f t="shared" si="2"/>
        <v>0.29984996249062268</v>
      </c>
      <c r="K21" s="6">
        <f t="shared" si="3"/>
        <v>-11991</v>
      </c>
      <c r="L21" s="7">
        <f t="shared" si="4"/>
        <v>-0.42826529518911388</v>
      </c>
      <c r="M21" s="6" t="str">
        <f t="shared" si="5"/>
        <v>Medium Ratings</v>
      </c>
      <c r="N21" s="34">
        <f t="array" ref="N21">MEDIAN(_xlfn._xlws.FILTER(Table4[Original Price],Table4[Brand-Renamed] = Table4[[#This Row],[Brand]]))</f>
        <v>46990</v>
      </c>
      <c r="O21" s="35">
        <f t="array" ref="O21">MEDIAN(_xlfn._xlws.FILTER(Table4[Selling Price],Table4[Brand-Renamed] =Table4[[#This Row],[Brand-Renamed]]))</f>
        <v>29999</v>
      </c>
    </row>
    <row r="22" spans="1:15" ht="13.8" x14ac:dyDescent="0.25">
      <c r="A22" s="4" t="s">
        <v>123</v>
      </c>
      <c r="B22" s="4" t="str">
        <f t="shared" si="0"/>
        <v>Marq By Flipkart</v>
      </c>
      <c r="C22" s="4" t="s">
        <v>19</v>
      </c>
      <c r="D22" s="4">
        <v>32</v>
      </c>
      <c r="E22" s="4">
        <v>9999</v>
      </c>
      <c r="F22" s="4">
        <v>19999</v>
      </c>
      <c r="G22" s="4"/>
      <c r="H22" s="4">
        <v>4.3</v>
      </c>
      <c r="I22" s="4">
        <f t="shared" si="1"/>
        <v>10000</v>
      </c>
      <c r="J22">
        <f t="shared" si="2"/>
        <v>0.50002500125006255</v>
      </c>
      <c r="K22" s="4">
        <f t="shared" si="3"/>
        <v>-10000</v>
      </c>
      <c r="L22" s="5">
        <f t="shared" si="4"/>
        <v>-1.000100010001</v>
      </c>
      <c r="M22" s="4" t="str">
        <f t="shared" si="5"/>
        <v>Medium Ratings</v>
      </c>
      <c r="N22" s="34">
        <f t="array" ref="N22">MEDIAN(_xlfn._xlws.FILTER(Table4[Original Price],Table4[Brand-Renamed] = Table4[[#This Row],[Brand]]))</f>
        <v>17499</v>
      </c>
      <c r="O22" s="35">
        <f t="array" ref="O22">MEDIAN(_xlfn._xlws.FILTER(Table4[Selling Price],Table4[Brand-Renamed] =Table4[[#This Row],[Brand-Renamed]]))</f>
        <v>10249</v>
      </c>
    </row>
    <row r="23" spans="1:15" ht="13.8" x14ac:dyDescent="0.25">
      <c r="A23" s="6" t="s">
        <v>70</v>
      </c>
      <c r="B23" s="4" t="str">
        <f t="shared" si="0"/>
        <v xml:space="preserve">Mi </v>
      </c>
      <c r="C23" s="6" t="s">
        <v>32</v>
      </c>
      <c r="D23" s="6">
        <v>43</v>
      </c>
      <c r="E23" s="6">
        <v>31999</v>
      </c>
      <c r="F23" s="6">
        <v>49999</v>
      </c>
      <c r="G23" s="6" t="s">
        <v>54</v>
      </c>
      <c r="H23" s="6">
        <v>4.2</v>
      </c>
      <c r="I23" s="6">
        <f t="shared" si="1"/>
        <v>18000</v>
      </c>
      <c r="J23">
        <f t="shared" si="2"/>
        <v>0.36000720014400289</v>
      </c>
      <c r="K23" s="6">
        <f t="shared" si="3"/>
        <v>-18000</v>
      </c>
      <c r="L23" s="7">
        <f t="shared" si="4"/>
        <v>-0.56251757867433361</v>
      </c>
      <c r="M23" s="6" t="str">
        <f t="shared" si="5"/>
        <v>Medium Ratings</v>
      </c>
      <c r="N23" s="34">
        <f t="array" ref="N23">MEDIAN(_xlfn._xlws.FILTER(Table4[Original Price],Table4[Brand-Renamed] = Table4[[#This Row],[Brand]]))</f>
        <v>34999</v>
      </c>
      <c r="O23" s="35">
        <f t="array" ref="O23">MEDIAN(_xlfn._xlws.FILTER(Table4[Selling Price],Table4[Brand-Renamed] =Table4[[#This Row],[Brand-Renamed]]))</f>
        <v>27999</v>
      </c>
    </row>
    <row r="24" spans="1:15" ht="13.8" x14ac:dyDescent="0.25">
      <c r="A24" s="4" t="s">
        <v>124</v>
      </c>
      <c r="B24" s="4" t="str">
        <f t="shared" si="0"/>
        <v>Iffalcon By Tcl</v>
      </c>
      <c r="C24" s="4" t="s">
        <v>32</v>
      </c>
      <c r="D24" s="4">
        <v>55</v>
      </c>
      <c r="E24" s="4">
        <v>32999</v>
      </c>
      <c r="F24" s="4">
        <v>70990</v>
      </c>
      <c r="G24" s="4" t="s">
        <v>54</v>
      </c>
      <c r="H24" s="4">
        <v>4.3</v>
      </c>
      <c r="I24" s="4">
        <f t="shared" si="1"/>
        <v>37991</v>
      </c>
      <c r="J24">
        <f t="shared" si="2"/>
        <v>0.53515988167347517</v>
      </c>
      <c r="K24" s="4">
        <f t="shared" si="3"/>
        <v>-37991</v>
      </c>
      <c r="L24" s="5">
        <f t="shared" si="4"/>
        <v>-1.1512773114336798</v>
      </c>
      <c r="M24" s="4" t="str">
        <f t="shared" si="5"/>
        <v>Medium Ratings</v>
      </c>
      <c r="N24" s="34">
        <f t="array" ref="N24">MEDIAN(_xlfn._xlws.FILTER(Table4[Original Price],Table4[Brand-Renamed] = Table4[[#This Row],[Brand]]))</f>
        <v>76990</v>
      </c>
      <c r="O24" s="35">
        <f t="array" ref="O24">MEDIAN(_xlfn._xlws.FILTER(Table4[Selling Price],Table4[Brand-Renamed] =Table4[[#This Row],[Brand-Renamed]]))</f>
        <v>36999</v>
      </c>
    </row>
    <row r="25" spans="1:15" ht="13.8" x14ac:dyDescent="0.25">
      <c r="A25" s="6" t="s">
        <v>119</v>
      </c>
      <c r="B25" s="4" t="str">
        <f t="shared" si="0"/>
        <v xml:space="preserve">Tcl </v>
      </c>
      <c r="C25" s="6" t="s">
        <v>32</v>
      </c>
      <c r="D25" s="6">
        <v>50</v>
      </c>
      <c r="E25" s="6">
        <v>33999</v>
      </c>
      <c r="F25" s="6">
        <v>62990</v>
      </c>
      <c r="G25" s="6" t="s">
        <v>54</v>
      </c>
      <c r="H25" s="6">
        <v>4.4000000000000004</v>
      </c>
      <c r="I25" s="6">
        <f t="shared" si="1"/>
        <v>28991</v>
      </c>
      <c r="J25">
        <f t="shared" si="2"/>
        <v>0.46024765835846959</v>
      </c>
      <c r="K25" s="6">
        <f t="shared" si="3"/>
        <v>-28991</v>
      </c>
      <c r="L25" s="7">
        <f t="shared" si="4"/>
        <v>-0.85270155004558956</v>
      </c>
      <c r="M25" s="6" t="str">
        <f t="shared" si="5"/>
        <v>Medium Ratings</v>
      </c>
      <c r="N25" s="34">
        <f t="array" ref="N25">MEDIAN(_xlfn._xlws.FILTER(Table4[Original Price],Table4[Brand-Renamed] = Table4[[#This Row],[Brand]]))</f>
        <v>77990</v>
      </c>
      <c r="O25" s="35">
        <f t="array" ref="O25">MEDIAN(_xlfn._xlws.FILTER(Table4[Selling Price],Table4[Brand-Renamed] =Table4[[#This Row],[Brand-Renamed]]))</f>
        <v>40999</v>
      </c>
    </row>
    <row r="26" spans="1:15" ht="13.8" x14ac:dyDescent="0.25">
      <c r="A26" s="4" t="s">
        <v>121</v>
      </c>
      <c r="B26" s="4" t="str">
        <f t="shared" si="0"/>
        <v>Oneplus</v>
      </c>
      <c r="C26" s="4" t="s">
        <v>8</v>
      </c>
      <c r="D26" s="4">
        <v>40</v>
      </c>
      <c r="E26" s="4">
        <v>22499</v>
      </c>
      <c r="F26" s="4">
        <v>27999</v>
      </c>
      <c r="G26" s="4" t="s">
        <v>54</v>
      </c>
      <c r="H26" s="4">
        <v>4.3</v>
      </c>
      <c r="I26" s="4">
        <f t="shared" si="1"/>
        <v>5500</v>
      </c>
      <c r="J26">
        <f t="shared" si="2"/>
        <v>0.19643558698524946</v>
      </c>
      <c r="K26" s="4">
        <f t="shared" si="3"/>
        <v>-5500</v>
      </c>
      <c r="L26" s="5">
        <f t="shared" si="4"/>
        <v>-0.24445530912485</v>
      </c>
      <c r="M26" s="4" t="str">
        <f t="shared" si="5"/>
        <v>Medium Ratings</v>
      </c>
      <c r="N26" s="34">
        <f t="array" ref="N26">MEDIAN(_xlfn._xlws.FILTER(Table4[Original Price],Table4[Brand-Renamed] = Table4[[#This Row],[Brand]]))</f>
        <v>59999</v>
      </c>
      <c r="O26" s="35">
        <f t="array" ref="O26">MEDIAN(_xlfn._xlws.FILTER(Table4[Selling Price],Table4[Brand-Renamed] =Table4[[#This Row],[Brand-Renamed]]))</f>
        <v>49999</v>
      </c>
    </row>
    <row r="27" spans="1:15" ht="13.8" x14ac:dyDescent="0.25">
      <c r="A27" s="6" t="s">
        <v>44</v>
      </c>
      <c r="B27" s="4" t="str">
        <f t="shared" si="0"/>
        <v xml:space="preserve">Coocaa </v>
      </c>
      <c r="C27" s="6" t="s">
        <v>19</v>
      </c>
      <c r="D27" s="6">
        <v>32</v>
      </c>
      <c r="E27" s="6">
        <v>10999</v>
      </c>
      <c r="F27" s="6">
        <v>36990</v>
      </c>
      <c r="G27" s="6" t="s">
        <v>54</v>
      </c>
      <c r="H27" s="6">
        <v>4.2</v>
      </c>
      <c r="I27" s="6">
        <f t="shared" si="1"/>
        <v>25991</v>
      </c>
      <c r="J27">
        <f t="shared" si="2"/>
        <v>0.70264936469316031</v>
      </c>
      <c r="K27" s="6">
        <f t="shared" si="3"/>
        <v>-25991</v>
      </c>
      <c r="L27" s="7">
        <f t="shared" si="4"/>
        <v>-2.3630330030002726</v>
      </c>
      <c r="M27" s="6" t="str">
        <f t="shared" si="5"/>
        <v>Medium Ratings</v>
      </c>
      <c r="N27" s="34">
        <f t="array" ref="N27">MEDIAN(_xlfn._xlws.FILTER(Table4[Original Price],Table4[Brand-Renamed] = Table4[[#This Row],[Brand]]))</f>
        <v>54990</v>
      </c>
      <c r="O27" s="35">
        <f t="array" ref="O27">MEDIAN(_xlfn._xlws.FILTER(Table4[Selling Price],Table4[Brand-Renamed] =Table4[[#This Row],[Brand-Renamed]]))</f>
        <v>25999</v>
      </c>
    </row>
    <row r="28" spans="1:15" ht="13.8" x14ac:dyDescent="0.25">
      <c r="A28" s="4" t="s">
        <v>118</v>
      </c>
      <c r="B28" s="4" t="str">
        <f t="shared" si="0"/>
        <v>Toshiba</v>
      </c>
      <c r="C28" s="4" t="s">
        <v>19</v>
      </c>
      <c r="D28" s="4">
        <v>32</v>
      </c>
      <c r="E28" s="4">
        <v>12499</v>
      </c>
      <c r="F28" s="4">
        <v>14990</v>
      </c>
      <c r="G28" s="4" t="s">
        <v>64</v>
      </c>
      <c r="H28" s="4">
        <v>4.4000000000000004</v>
      </c>
      <c r="I28" s="4">
        <f t="shared" si="1"/>
        <v>2491</v>
      </c>
      <c r="J28">
        <f t="shared" si="2"/>
        <v>0.16617745163442296</v>
      </c>
      <c r="K28" s="4">
        <f t="shared" si="3"/>
        <v>-2491</v>
      </c>
      <c r="L28" s="5">
        <f t="shared" si="4"/>
        <v>-0.19929594367549405</v>
      </c>
      <c r="M28" s="4" t="str">
        <f t="shared" si="5"/>
        <v>Medium Ratings</v>
      </c>
      <c r="N28" s="34">
        <f t="array" ref="N28">MEDIAN(_xlfn._xlws.FILTER(Table4[Original Price],Table4[Brand-Renamed] = Table4[[#This Row],[Brand]]))</f>
        <v>46990</v>
      </c>
      <c r="O28" s="35">
        <f t="array" ref="O28">MEDIAN(_xlfn._xlws.FILTER(Table4[Selling Price],Table4[Brand-Renamed] =Table4[[#This Row],[Brand-Renamed]]))</f>
        <v>29999</v>
      </c>
    </row>
    <row r="29" spans="1:15" ht="13.8" x14ac:dyDescent="0.25">
      <c r="A29" s="6" t="s">
        <v>70</v>
      </c>
      <c r="B29" s="4" t="str">
        <f t="shared" si="0"/>
        <v xml:space="preserve">Mi </v>
      </c>
      <c r="C29" s="6" t="s">
        <v>8</v>
      </c>
      <c r="D29" s="6">
        <v>43</v>
      </c>
      <c r="E29" s="6">
        <v>24999</v>
      </c>
      <c r="F29" s="6">
        <v>34999</v>
      </c>
      <c r="G29" s="6" t="s">
        <v>54</v>
      </c>
      <c r="H29" s="6">
        <v>4.3</v>
      </c>
      <c r="I29" s="6">
        <f t="shared" si="1"/>
        <v>10000</v>
      </c>
      <c r="J29">
        <f t="shared" si="2"/>
        <v>0.28572244921283463</v>
      </c>
      <c r="K29" s="6">
        <f t="shared" si="3"/>
        <v>-10000</v>
      </c>
      <c r="L29" s="7">
        <f t="shared" si="4"/>
        <v>-0.40001600064002563</v>
      </c>
      <c r="M29" s="6" t="str">
        <f t="shared" si="5"/>
        <v>Medium Ratings</v>
      </c>
      <c r="N29" s="34">
        <f t="array" ref="N29">MEDIAN(_xlfn._xlws.FILTER(Table4[Original Price],Table4[Brand-Renamed] = Table4[[#This Row],[Brand]]))</f>
        <v>34999</v>
      </c>
      <c r="O29" s="35">
        <f t="array" ref="O29">MEDIAN(_xlfn._xlws.FILTER(Table4[Selling Price],Table4[Brand-Renamed] =Table4[[#This Row],[Brand-Renamed]]))</f>
        <v>27999</v>
      </c>
    </row>
    <row r="30" spans="1:15" ht="13.8" x14ac:dyDescent="0.25">
      <c r="A30" s="4" t="s">
        <v>125</v>
      </c>
      <c r="B30" s="4" t="str">
        <f t="shared" si="0"/>
        <v>Samsung</v>
      </c>
      <c r="C30" s="4" t="s">
        <v>32</v>
      </c>
      <c r="D30" s="4">
        <v>43</v>
      </c>
      <c r="E30" s="4">
        <v>38990</v>
      </c>
      <c r="F30" s="4">
        <v>54900</v>
      </c>
      <c r="G30" s="4" t="s">
        <v>56</v>
      </c>
      <c r="H30" s="4">
        <v>4.3</v>
      </c>
      <c r="I30" s="4">
        <f t="shared" si="1"/>
        <v>15910</v>
      </c>
      <c r="J30">
        <f t="shared" si="2"/>
        <v>0.28979963570127504</v>
      </c>
      <c r="K30" s="4">
        <f t="shared" si="3"/>
        <v>-15910</v>
      </c>
      <c r="L30" s="5">
        <f t="shared" si="4"/>
        <v>-0.40805334701205437</v>
      </c>
      <c r="M30" s="4" t="str">
        <f t="shared" si="5"/>
        <v>Medium Ratings</v>
      </c>
      <c r="N30" s="34">
        <f t="array" ref="N30">MEDIAN(_xlfn._xlws.FILTER(Table4[Original Price],Table4[Brand-Renamed] = Table4[[#This Row],[Brand]]))</f>
        <v>100945</v>
      </c>
      <c r="O30" s="35">
        <f t="array" ref="O30">MEDIAN(_xlfn._xlws.FILTER(Table4[Selling Price],Table4[Brand-Renamed] =Table4[[#This Row],[Brand-Renamed]]))</f>
        <v>74490</v>
      </c>
    </row>
    <row r="31" spans="1:15" ht="13.8" x14ac:dyDescent="0.25">
      <c r="A31" s="6" t="s">
        <v>70</v>
      </c>
      <c r="B31" s="4" t="str">
        <f t="shared" si="0"/>
        <v xml:space="preserve">Mi </v>
      </c>
      <c r="C31" s="6" t="s">
        <v>32</v>
      </c>
      <c r="D31" s="6">
        <v>55</v>
      </c>
      <c r="E31" s="6">
        <v>42999</v>
      </c>
      <c r="F31" s="6">
        <v>49999</v>
      </c>
      <c r="G31" s="6" t="s">
        <v>54</v>
      </c>
      <c r="H31" s="6">
        <v>4.3</v>
      </c>
      <c r="I31" s="6">
        <f t="shared" si="1"/>
        <v>7000</v>
      </c>
      <c r="J31">
        <f t="shared" si="2"/>
        <v>0.14000280005600113</v>
      </c>
      <c r="K31" s="6">
        <f t="shared" si="3"/>
        <v>-7000</v>
      </c>
      <c r="L31" s="7">
        <f t="shared" si="4"/>
        <v>-0.16279448359264168</v>
      </c>
      <c r="M31" s="6" t="str">
        <f t="shared" si="5"/>
        <v>Medium Ratings</v>
      </c>
      <c r="N31" s="34">
        <f t="array" ref="N31">MEDIAN(_xlfn._xlws.FILTER(Table4[Original Price],Table4[Brand-Renamed] = Table4[[#This Row],[Brand]]))</f>
        <v>34999</v>
      </c>
      <c r="O31" s="35">
        <f t="array" ref="O31">MEDIAN(_xlfn._xlws.FILTER(Table4[Selling Price],Table4[Brand-Renamed] =Table4[[#This Row],[Brand-Renamed]]))</f>
        <v>27999</v>
      </c>
    </row>
    <row r="32" spans="1:15" ht="13.8" x14ac:dyDescent="0.25">
      <c r="A32" s="4" t="s">
        <v>122</v>
      </c>
      <c r="B32" s="4" t="str">
        <f t="shared" si="0"/>
        <v xml:space="preserve">Lg </v>
      </c>
      <c r="C32" s="4" t="s">
        <v>8</v>
      </c>
      <c r="D32" s="4">
        <v>43</v>
      </c>
      <c r="E32" s="4">
        <v>33490</v>
      </c>
      <c r="F32" s="4">
        <v>40990</v>
      </c>
      <c r="G32" s="4" t="s">
        <v>58</v>
      </c>
      <c r="H32" s="4">
        <v>4.4000000000000004</v>
      </c>
      <c r="I32" s="4">
        <f t="shared" si="1"/>
        <v>7500</v>
      </c>
      <c r="J32">
        <f t="shared" si="2"/>
        <v>0.18297145645279336</v>
      </c>
      <c r="K32" s="4">
        <f t="shared" si="3"/>
        <v>-7500</v>
      </c>
      <c r="L32" s="5">
        <f t="shared" si="4"/>
        <v>-0.22394744699910421</v>
      </c>
      <c r="M32" s="4" t="str">
        <f t="shared" si="5"/>
        <v>Medium Ratings</v>
      </c>
      <c r="N32" s="34">
        <f t="array" ref="N32">MEDIAN(_xlfn._xlws.FILTER(Table4[Original Price],Table4[Brand-Renamed] = Table4[[#This Row],[Brand]]))</f>
        <v>98990</v>
      </c>
      <c r="O32" s="35">
        <f t="array" ref="O32">MEDIAN(_xlfn._xlws.FILTER(Table4[Selling Price],Table4[Brand-Renamed] =Table4[[#This Row],[Brand-Renamed]]))</f>
        <v>76737</v>
      </c>
    </row>
    <row r="33" spans="1:15" ht="13.8" x14ac:dyDescent="0.25">
      <c r="A33" s="6" t="s">
        <v>53</v>
      </c>
      <c r="B33" s="4" t="str">
        <f t="shared" si="0"/>
        <v>Infinix</v>
      </c>
      <c r="C33" s="6" t="s">
        <v>8</v>
      </c>
      <c r="D33" s="6">
        <v>43</v>
      </c>
      <c r="E33" s="6">
        <v>20499</v>
      </c>
      <c r="F33" s="6">
        <v>24999</v>
      </c>
      <c r="G33" s="6" t="s">
        <v>54</v>
      </c>
      <c r="H33" s="6">
        <v>4.2</v>
      </c>
      <c r="I33" s="6">
        <f t="shared" si="1"/>
        <v>4500</v>
      </c>
      <c r="J33">
        <f t="shared" si="2"/>
        <v>0.18000720028801151</v>
      </c>
      <c r="K33" s="6">
        <f t="shared" si="3"/>
        <v>-4500</v>
      </c>
      <c r="L33" s="7">
        <f t="shared" si="4"/>
        <v>-0.21952290355627105</v>
      </c>
      <c r="M33" s="6" t="str">
        <f t="shared" si="5"/>
        <v>Medium Ratings</v>
      </c>
      <c r="N33" s="34">
        <f t="array" ref="N33">MEDIAN(_xlfn._xlws.FILTER(Table4[Original Price],Table4[Brand-Renamed] = Table4[[#This Row],[Brand]]))</f>
        <v>24999</v>
      </c>
      <c r="O33" s="35">
        <f t="array" ref="O33">MEDIAN(_xlfn._xlws.FILTER(Table4[Selling Price],Table4[Brand-Renamed] =Table4[[#This Row],[Brand-Renamed]]))</f>
        <v>18999</v>
      </c>
    </row>
    <row r="34" spans="1:15" ht="13.8" x14ac:dyDescent="0.25">
      <c r="A34" s="4" t="s">
        <v>70</v>
      </c>
      <c r="B34" s="4" t="str">
        <f t="shared" si="0"/>
        <v xml:space="preserve">Mi </v>
      </c>
      <c r="C34" s="4" t="s">
        <v>32</v>
      </c>
      <c r="D34" s="4">
        <v>50</v>
      </c>
      <c r="E34" s="4">
        <v>41999</v>
      </c>
      <c r="F34" s="4">
        <v>59999</v>
      </c>
      <c r="G34" s="4" t="s">
        <v>54</v>
      </c>
      <c r="H34" s="4">
        <v>4.2</v>
      </c>
      <c r="I34" s="4">
        <f t="shared" si="1"/>
        <v>18000</v>
      </c>
      <c r="J34">
        <f t="shared" si="2"/>
        <v>0.30000500008333475</v>
      </c>
      <c r="K34" s="4">
        <f t="shared" si="3"/>
        <v>-18000</v>
      </c>
      <c r="L34" s="5">
        <f t="shared" si="4"/>
        <v>-0.42858163289602136</v>
      </c>
      <c r="M34" s="4" t="str">
        <f t="shared" si="5"/>
        <v>Medium Ratings</v>
      </c>
      <c r="N34" s="34">
        <f t="array" ref="N34">MEDIAN(_xlfn._xlws.FILTER(Table4[Original Price],Table4[Brand-Renamed] = Table4[[#This Row],[Brand]]))</f>
        <v>34999</v>
      </c>
      <c r="O34" s="35">
        <f t="array" ref="O34">MEDIAN(_xlfn._xlws.FILTER(Table4[Selling Price],Table4[Brand-Renamed] =Table4[[#This Row],[Brand-Renamed]]))</f>
        <v>27999</v>
      </c>
    </row>
    <row r="35" spans="1:15" ht="13.8" x14ac:dyDescent="0.25">
      <c r="A35" s="6" t="s">
        <v>53</v>
      </c>
      <c r="B35" s="4" t="str">
        <f t="shared" si="0"/>
        <v>Infinix</v>
      </c>
      <c r="C35" s="6" t="s">
        <v>19</v>
      </c>
      <c r="D35" s="6">
        <v>32</v>
      </c>
      <c r="E35" s="6">
        <v>11999</v>
      </c>
      <c r="F35" s="6">
        <v>17999</v>
      </c>
      <c r="G35" s="6" t="s">
        <v>54</v>
      </c>
      <c r="H35" s="6">
        <v>4.2</v>
      </c>
      <c r="I35" s="6">
        <f t="shared" si="1"/>
        <v>6000</v>
      </c>
      <c r="J35">
        <f t="shared" si="2"/>
        <v>0.33335185288071562</v>
      </c>
      <c r="K35" s="6">
        <f t="shared" si="3"/>
        <v>-6000</v>
      </c>
      <c r="L35" s="7">
        <f t="shared" si="4"/>
        <v>-0.50004167013917822</v>
      </c>
      <c r="M35" s="6" t="str">
        <f t="shared" si="5"/>
        <v>Medium Ratings</v>
      </c>
      <c r="N35" s="34">
        <f t="array" ref="N35">MEDIAN(_xlfn._xlws.FILTER(Table4[Original Price],Table4[Brand-Renamed] = Table4[[#This Row],[Brand]]))</f>
        <v>24999</v>
      </c>
      <c r="O35" s="35">
        <f t="array" ref="O35">MEDIAN(_xlfn._xlws.FILTER(Table4[Selling Price],Table4[Brand-Renamed] =Table4[[#This Row],[Brand-Renamed]]))</f>
        <v>18999</v>
      </c>
    </row>
    <row r="36" spans="1:15" ht="13.8" x14ac:dyDescent="0.25">
      <c r="A36" s="4" t="s">
        <v>122</v>
      </c>
      <c r="B36" s="4" t="str">
        <f t="shared" si="0"/>
        <v xml:space="preserve">Lg </v>
      </c>
      <c r="C36" s="4" t="s">
        <v>32</v>
      </c>
      <c r="D36" s="4">
        <v>55</v>
      </c>
      <c r="E36" s="4">
        <v>52999</v>
      </c>
      <c r="F36" s="4">
        <v>79990</v>
      </c>
      <c r="G36" s="4" t="s">
        <v>58</v>
      </c>
      <c r="H36" s="4">
        <v>4.4000000000000004</v>
      </c>
      <c r="I36" s="4">
        <f t="shared" si="1"/>
        <v>26991</v>
      </c>
      <c r="J36">
        <f t="shared" si="2"/>
        <v>0.33742967870983875</v>
      </c>
      <c r="K36" s="4">
        <f t="shared" si="3"/>
        <v>-26991</v>
      </c>
      <c r="L36" s="5">
        <f t="shared" si="4"/>
        <v>-0.50927375988226198</v>
      </c>
      <c r="M36" s="4" t="str">
        <f t="shared" si="5"/>
        <v>Medium Ratings</v>
      </c>
      <c r="N36" s="34">
        <f t="array" ref="N36">MEDIAN(_xlfn._xlws.FILTER(Table4[Original Price],Table4[Brand-Renamed] = Table4[[#This Row],[Brand]]))</f>
        <v>98990</v>
      </c>
      <c r="O36" s="35">
        <f t="array" ref="O36">MEDIAN(_xlfn._xlws.FILTER(Table4[Selling Price],Table4[Brand-Renamed] =Table4[[#This Row],[Brand-Renamed]]))</f>
        <v>76737</v>
      </c>
    </row>
    <row r="37" spans="1:15" ht="13.8" x14ac:dyDescent="0.25">
      <c r="A37" s="6" t="s">
        <v>15</v>
      </c>
      <c r="B37" s="4" t="str">
        <f t="shared" si="0"/>
        <v>Vu</v>
      </c>
      <c r="C37" s="6" t="s">
        <v>32</v>
      </c>
      <c r="D37" s="6">
        <v>55</v>
      </c>
      <c r="E37" s="6">
        <v>46999</v>
      </c>
      <c r="F37" s="6">
        <v>85000</v>
      </c>
      <c r="G37" s="6" t="s">
        <v>54</v>
      </c>
      <c r="H37" s="6">
        <v>4.4000000000000004</v>
      </c>
      <c r="I37" s="6">
        <f t="shared" si="1"/>
        <v>38001</v>
      </c>
      <c r="J37">
        <f t="shared" si="2"/>
        <v>0.44707058823529411</v>
      </c>
      <c r="K37" s="6">
        <f t="shared" si="3"/>
        <v>-38001</v>
      </c>
      <c r="L37" s="7">
        <f t="shared" si="4"/>
        <v>-0.80854911806634189</v>
      </c>
      <c r="M37" s="6" t="str">
        <f t="shared" si="5"/>
        <v>Medium Ratings</v>
      </c>
      <c r="N37" s="34">
        <f t="array" ref="N37">MEDIAN(_xlfn._xlws.FILTER(Table4[Original Price],Table4[Brand-Renamed] = Table4[[#This Row],[Brand]]))</f>
        <v>49990</v>
      </c>
      <c r="O37" s="35">
        <f t="array" ref="O37">MEDIAN(_xlfn._xlws.FILTER(Table4[Selling Price],Table4[Brand-Renamed] =Table4[[#This Row],[Brand-Renamed]]))</f>
        <v>30999</v>
      </c>
    </row>
    <row r="38" spans="1:15" ht="13.8" x14ac:dyDescent="0.25">
      <c r="A38" s="4" t="s">
        <v>73</v>
      </c>
      <c r="B38" s="4" t="str">
        <f t="shared" si="0"/>
        <v xml:space="preserve">Nokia </v>
      </c>
      <c r="C38" s="4" t="s">
        <v>32</v>
      </c>
      <c r="D38" s="4">
        <v>43</v>
      </c>
      <c r="E38" s="4">
        <v>32999</v>
      </c>
      <c r="F38" s="4">
        <v>48999</v>
      </c>
      <c r="G38" s="4" t="s">
        <v>54</v>
      </c>
      <c r="H38" s="4">
        <v>4.4000000000000004</v>
      </c>
      <c r="I38" s="4">
        <f t="shared" si="1"/>
        <v>16000</v>
      </c>
      <c r="J38">
        <f t="shared" si="2"/>
        <v>0.32653727627094431</v>
      </c>
      <c r="K38" s="4">
        <f t="shared" si="3"/>
        <v>-16000</v>
      </c>
      <c r="L38" s="5">
        <f t="shared" si="4"/>
        <v>-0.48486317767205067</v>
      </c>
      <c r="M38" s="4" t="str">
        <f t="shared" si="5"/>
        <v>Medium Ratings</v>
      </c>
      <c r="N38" s="34">
        <f t="array" ref="N38">MEDIAN(_xlfn._xlws.FILTER(Table4[Original Price],Table4[Brand-Renamed] = Table4[[#This Row],[Brand]]))</f>
        <v>59999</v>
      </c>
      <c r="O38" s="35">
        <f t="array" ref="O38">MEDIAN(_xlfn._xlws.FILTER(Table4[Selling Price],Table4[Brand-Renamed] =Table4[[#This Row],[Brand-Renamed]]))</f>
        <v>39999</v>
      </c>
    </row>
    <row r="39" spans="1:15" ht="13.8" x14ac:dyDescent="0.25">
      <c r="A39" s="6" t="s">
        <v>15</v>
      </c>
      <c r="B39" s="4" t="str">
        <f t="shared" si="0"/>
        <v>Vu</v>
      </c>
      <c r="C39" s="6" t="s">
        <v>32</v>
      </c>
      <c r="D39" s="6">
        <v>43</v>
      </c>
      <c r="E39" s="6">
        <v>31000</v>
      </c>
      <c r="F39" s="6">
        <v>39999</v>
      </c>
      <c r="G39" s="6" t="s">
        <v>54</v>
      </c>
      <c r="H39" s="6">
        <v>4.4000000000000004</v>
      </c>
      <c r="I39" s="6">
        <f t="shared" si="1"/>
        <v>8999</v>
      </c>
      <c r="J39">
        <f t="shared" si="2"/>
        <v>0.2249806245156129</v>
      </c>
      <c r="K39" s="6">
        <f t="shared" si="3"/>
        <v>-8999</v>
      </c>
      <c r="L39" s="7">
        <f t="shared" si="4"/>
        <v>-0.29029032258064519</v>
      </c>
      <c r="M39" s="6" t="str">
        <f t="shared" si="5"/>
        <v>Medium Ratings</v>
      </c>
      <c r="N39" s="34">
        <f t="array" ref="N39">MEDIAN(_xlfn._xlws.FILTER(Table4[Original Price],Table4[Brand-Renamed] = Table4[[#This Row],[Brand]]))</f>
        <v>49990</v>
      </c>
      <c r="O39" s="35">
        <f t="array" ref="O39">MEDIAN(_xlfn._xlws.FILTER(Table4[Selling Price],Table4[Brand-Renamed] =Table4[[#This Row],[Brand-Renamed]]))</f>
        <v>30999</v>
      </c>
    </row>
    <row r="40" spans="1:15" ht="13.8" x14ac:dyDescent="0.25">
      <c r="A40" s="4" t="s">
        <v>73</v>
      </c>
      <c r="B40" s="4" t="str">
        <f t="shared" si="0"/>
        <v xml:space="preserve">Nokia </v>
      </c>
      <c r="C40" s="4" t="s">
        <v>32</v>
      </c>
      <c r="D40" s="4">
        <v>50</v>
      </c>
      <c r="E40" s="4">
        <v>39999</v>
      </c>
      <c r="F40" s="4">
        <v>59999</v>
      </c>
      <c r="G40" s="4" t="s">
        <v>54</v>
      </c>
      <c r="H40" s="4">
        <v>4.4000000000000004</v>
      </c>
      <c r="I40" s="4">
        <f t="shared" si="1"/>
        <v>20000</v>
      </c>
      <c r="J40">
        <f t="shared" si="2"/>
        <v>0.33333888898148301</v>
      </c>
      <c r="K40" s="4">
        <f t="shared" si="3"/>
        <v>-20000</v>
      </c>
      <c r="L40" s="5">
        <f t="shared" si="4"/>
        <v>-0.50001250031250777</v>
      </c>
      <c r="M40" s="4" t="str">
        <f t="shared" si="5"/>
        <v>Medium Ratings</v>
      </c>
      <c r="N40" s="34">
        <f t="array" ref="N40">MEDIAN(_xlfn._xlws.FILTER(Table4[Original Price],Table4[Brand-Renamed] = Table4[[#This Row],[Brand]]))</f>
        <v>59999</v>
      </c>
      <c r="O40" s="35">
        <f t="array" ref="O40">MEDIAN(_xlfn._xlws.FILTER(Table4[Selling Price],Table4[Brand-Renamed] =Table4[[#This Row],[Brand-Renamed]]))</f>
        <v>39999</v>
      </c>
    </row>
    <row r="41" spans="1:15" ht="13.8" x14ac:dyDescent="0.25">
      <c r="A41" s="6" t="s">
        <v>88</v>
      </c>
      <c r="B41" s="4" t="str">
        <f t="shared" si="0"/>
        <v>Thomson</v>
      </c>
      <c r="C41" s="6" t="s">
        <v>32</v>
      </c>
      <c r="D41" s="6">
        <v>50</v>
      </c>
      <c r="E41" s="6">
        <v>32999</v>
      </c>
      <c r="F41" s="6">
        <v>40999</v>
      </c>
      <c r="G41" s="6" t="s">
        <v>54</v>
      </c>
      <c r="H41" s="6">
        <v>4.4000000000000004</v>
      </c>
      <c r="I41" s="6">
        <f t="shared" si="1"/>
        <v>8000</v>
      </c>
      <c r="J41">
        <f t="shared" si="2"/>
        <v>0.19512671040757093</v>
      </c>
      <c r="K41" s="6">
        <f t="shared" si="3"/>
        <v>-8000</v>
      </c>
      <c r="L41" s="7">
        <f t="shared" si="4"/>
        <v>-0.24243158883602534</v>
      </c>
      <c r="M41" s="6" t="str">
        <f t="shared" si="5"/>
        <v>Medium Ratings</v>
      </c>
      <c r="N41" s="34">
        <f t="array" ref="N41">MEDIAN(_xlfn._xlws.FILTER(Table4[Original Price],Table4[Brand-Renamed] = Table4[[#This Row],[Brand]]))</f>
        <v>28999</v>
      </c>
      <c r="O41" s="35">
        <f t="array" ref="O41">MEDIAN(_xlfn._xlws.FILTER(Table4[Selling Price],Table4[Brand-Renamed] =Table4[[#This Row],[Brand-Renamed]]))</f>
        <v>21749</v>
      </c>
    </row>
    <row r="42" spans="1:15" ht="13.8" x14ac:dyDescent="0.25">
      <c r="A42" s="4" t="s">
        <v>88</v>
      </c>
      <c r="B42" s="4" t="str">
        <f t="shared" si="0"/>
        <v>Thomson</v>
      </c>
      <c r="C42" s="4" t="s">
        <v>19</v>
      </c>
      <c r="D42" s="4">
        <v>24</v>
      </c>
      <c r="E42" s="4">
        <v>8499</v>
      </c>
      <c r="F42" s="4">
        <v>10499</v>
      </c>
      <c r="G42" s="4" t="s">
        <v>54</v>
      </c>
      <c r="H42" s="4">
        <v>4.0999999999999996</v>
      </c>
      <c r="I42" s="4">
        <f t="shared" si="1"/>
        <v>2000</v>
      </c>
      <c r="J42">
        <f t="shared" si="2"/>
        <v>0.1904943327935994</v>
      </c>
      <c r="K42" s="4">
        <f t="shared" si="3"/>
        <v>-2000</v>
      </c>
      <c r="L42" s="5">
        <f t="shared" si="4"/>
        <v>-0.23532180256500765</v>
      </c>
      <c r="M42" s="4" t="str">
        <f t="shared" si="5"/>
        <v>Medium Ratings</v>
      </c>
      <c r="N42" s="34">
        <f t="array" ref="N42">MEDIAN(_xlfn._xlws.FILTER(Table4[Original Price],Table4[Brand-Renamed] = Table4[[#This Row],[Brand]]))</f>
        <v>28999</v>
      </c>
      <c r="O42" s="35">
        <f t="array" ref="O42">MEDIAN(_xlfn._xlws.FILTER(Table4[Selling Price],Table4[Brand-Renamed] =Table4[[#This Row],[Brand-Renamed]]))</f>
        <v>21749</v>
      </c>
    </row>
    <row r="43" spans="1:15" ht="13.8" x14ac:dyDescent="0.25">
      <c r="A43" s="6" t="s">
        <v>70</v>
      </c>
      <c r="B43" s="4" t="str">
        <f t="shared" si="0"/>
        <v xml:space="preserve">Mi </v>
      </c>
      <c r="C43" s="6" t="s">
        <v>29</v>
      </c>
      <c r="D43" s="6">
        <v>55</v>
      </c>
      <c r="E43" s="6">
        <v>58999</v>
      </c>
      <c r="F43" s="6">
        <v>59999</v>
      </c>
      <c r="G43" s="6" t="s">
        <v>54</v>
      </c>
      <c r="H43" s="6">
        <v>4.4000000000000004</v>
      </c>
      <c r="I43" s="6">
        <f t="shared" si="1"/>
        <v>1000</v>
      </c>
      <c r="J43">
        <f t="shared" si="2"/>
        <v>1.6666944449074152E-2</v>
      </c>
      <c r="K43" s="6">
        <f t="shared" si="3"/>
        <v>-1000</v>
      </c>
      <c r="L43" s="7">
        <f t="shared" si="4"/>
        <v>-1.6949439821013917E-2</v>
      </c>
      <c r="M43" s="6" t="str">
        <f t="shared" si="5"/>
        <v>Medium Ratings</v>
      </c>
      <c r="N43" s="34">
        <f t="array" ref="N43">MEDIAN(_xlfn._xlws.FILTER(Table4[Original Price],Table4[Brand-Renamed] = Table4[[#This Row],[Brand]]))</f>
        <v>34999</v>
      </c>
      <c r="O43" s="35">
        <f t="array" ref="O43">MEDIAN(_xlfn._xlws.FILTER(Table4[Selling Price],Table4[Brand-Renamed] =Table4[[#This Row],[Brand-Renamed]]))</f>
        <v>27999</v>
      </c>
    </row>
    <row r="44" spans="1:15" ht="13.8" x14ac:dyDescent="0.25">
      <c r="A44" s="4" t="s">
        <v>121</v>
      </c>
      <c r="B44" s="4" t="str">
        <f t="shared" si="0"/>
        <v>Oneplus</v>
      </c>
      <c r="C44" s="4" t="s">
        <v>32</v>
      </c>
      <c r="D44" s="4">
        <v>55</v>
      </c>
      <c r="E44" s="4">
        <v>49999</v>
      </c>
      <c r="F44" s="4">
        <v>59999</v>
      </c>
      <c r="G44" s="4" t="s">
        <v>54</v>
      </c>
      <c r="H44" s="4">
        <v>4.3</v>
      </c>
      <c r="I44" s="4">
        <f t="shared" si="1"/>
        <v>10000</v>
      </c>
      <c r="J44">
        <f t="shared" si="2"/>
        <v>0.1666694444907415</v>
      </c>
      <c r="K44" s="4">
        <f t="shared" si="3"/>
        <v>-10000</v>
      </c>
      <c r="L44" s="5">
        <f t="shared" si="4"/>
        <v>-0.2000040000800016</v>
      </c>
      <c r="M44" s="4" t="str">
        <f t="shared" si="5"/>
        <v>Medium Ratings</v>
      </c>
      <c r="N44" s="34">
        <f t="array" ref="N44">MEDIAN(_xlfn._xlws.FILTER(Table4[Original Price],Table4[Brand-Renamed] = Table4[[#This Row],[Brand]]))</f>
        <v>59999</v>
      </c>
      <c r="O44" s="35">
        <f t="array" ref="O44">MEDIAN(_xlfn._xlws.FILTER(Table4[Selling Price],Table4[Brand-Renamed] =Table4[[#This Row],[Brand-Renamed]]))</f>
        <v>49999</v>
      </c>
    </row>
    <row r="45" spans="1:15" ht="13.8" x14ac:dyDescent="0.25">
      <c r="A45" s="6" t="s">
        <v>15</v>
      </c>
      <c r="B45" s="4" t="str">
        <f t="shared" si="0"/>
        <v>Vu</v>
      </c>
      <c r="C45" s="6" t="s">
        <v>32</v>
      </c>
      <c r="D45" s="6">
        <v>50</v>
      </c>
      <c r="E45" s="6">
        <v>40999</v>
      </c>
      <c r="F45" s="6">
        <v>65000</v>
      </c>
      <c r="G45" s="6" t="s">
        <v>54</v>
      </c>
      <c r="H45" s="6">
        <v>4.4000000000000004</v>
      </c>
      <c r="I45" s="6">
        <f t="shared" si="1"/>
        <v>24001</v>
      </c>
      <c r="J45">
        <f t="shared" si="2"/>
        <v>0.36924615384615384</v>
      </c>
      <c r="K45" s="6">
        <f t="shared" si="3"/>
        <v>-24001</v>
      </c>
      <c r="L45" s="7">
        <f t="shared" si="4"/>
        <v>-0.58540452206151372</v>
      </c>
      <c r="M45" s="6" t="str">
        <f t="shared" si="5"/>
        <v>Medium Ratings</v>
      </c>
      <c r="N45" s="34">
        <f t="array" ref="N45">MEDIAN(_xlfn._xlws.FILTER(Table4[Original Price],Table4[Brand-Renamed] = Table4[[#This Row],[Brand]]))</f>
        <v>49990</v>
      </c>
      <c r="O45" s="35">
        <f t="array" ref="O45">MEDIAN(_xlfn._xlws.FILTER(Table4[Selling Price],Table4[Brand-Renamed] =Table4[[#This Row],[Brand-Renamed]]))</f>
        <v>30999</v>
      </c>
    </row>
    <row r="46" spans="1:15" ht="13.8" x14ac:dyDescent="0.25">
      <c r="A46" s="4" t="s">
        <v>122</v>
      </c>
      <c r="B46" s="4" t="str">
        <f t="shared" si="0"/>
        <v xml:space="preserve">Lg </v>
      </c>
      <c r="C46" s="4" t="s">
        <v>32</v>
      </c>
      <c r="D46" s="4">
        <v>43</v>
      </c>
      <c r="E46" s="4">
        <v>42990</v>
      </c>
      <c r="F46" s="4">
        <v>59990</v>
      </c>
      <c r="G46" s="4" t="s">
        <v>58</v>
      </c>
      <c r="H46" s="4">
        <v>4.5</v>
      </c>
      <c r="I46" s="4">
        <f t="shared" si="1"/>
        <v>17000</v>
      </c>
      <c r="J46">
        <f t="shared" si="2"/>
        <v>0.28338056342723789</v>
      </c>
      <c r="K46" s="4">
        <f t="shared" si="3"/>
        <v>-17000</v>
      </c>
      <c r="L46" s="5">
        <f t="shared" si="4"/>
        <v>-0.39544080018608979</v>
      </c>
      <c r="M46" s="4" t="str">
        <f t="shared" si="5"/>
        <v>Good Ratings</v>
      </c>
      <c r="N46" s="34">
        <f t="array" ref="N46">MEDIAN(_xlfn._xlws.FILTER(Table4[Original Price],Table4[Brand-Renamed] = Table4[[#This Row],[Brand]]))</f>
        <v>98990</v>
      </c>
      <c r="O46" s="35">
        <f t="array" ref="O46">MEDIAN(_xlfn._xlws.FILTER(Table4[Selling Price],Table4[Brand-Renamed] =Table4[[#This Row],[Brand-Renamed]]))</f>
        <v>76737</v>
      </c>
    </row>
    <row r="47" spans="1:15" ht="13.8" x14ac:dyDescent="0.25">
      <c r="A47" s="6" t="s">
        <v>124</v>
      </c>
      <c r="B47" s="4" t="str">
        <f t="shared" si="0"/>
        <v>Iffalcon By Tcl</v>
      </c>
      <c r="C47" s="6" t="s">
        <v>32</v>
      </c>
      <c r="D47" s="6">
        <v>43</v>
      </c>
      <c r="E47" s="6">
        <v>24999</v>
      </c>
      <c r="F47" s="6">
        <v>47990</v>
      </c>
      <c r="G47" s="6" t="s">
        <v>54</v>
      </c>
      <c r="H47" s="6">
        <v>4.3</v>
      </c>
      <c r="I47" s="6">
        <f t="shared" si="1"/>
        <v>22991</v>
      </c>
      <c r="J47">
        <f t="shared" si="2"/>
        <v>0.47907897478641381</v>
      </c>
      <c r="K47" s="6">
        <f t="shared" si="3"/>
        <v>-22991</v>
      </c>
      <c r="L47" s="7">
        <f t="shared" si="4"/>
        <v>-0.91967678707148282</v>
      </c>
      <c r="M47" s="6" t="str">
        <f t="shared" si="5"/>
        <v>Medium Ratings</v>
      </c>
      <c r="N47" s="34">
        <f t="array" ref="N47">MEDIAN(_xlfn._xlws.FILTER(Table4[Original Price],Table4[Brand-Renamed] = Table4[[#This Row],[Brand]]))</f>
        <v>76990</v>
      </c>
      <c r="O47" s="35">
        <f t="array" ref="O47">MEDIAN(_xlfn._xlws.FILTER(Table4[Selling Price],Table4[Brand-Renamed] =Table4[[#This Row],[Brand-Renamed]]))</f>
        <v>36999</v>
      </c>
    </row>
    <row r="48" spans="1:15" ht="13.8" x14ac:dyDescent="0.25">
      <c r="A48" s="4" t="s">
        <v>73</v>
      </c>
      <c r="B48" s="4" t="str">
        <f t="shared" si="0"/>
        <v xml:space="preserve">Nokia </v>
      </c>
      <c r="C48" s="4" t="s">
        <v>32</v>
      </c>
      <c r="D48" s="4">
        <v>43</v>
      </c>
      <c r="E48" s="4">
        <v>31999</v>
      </c>
      <c r="F48" s="4">
        <v>45999</v>
      </c>
      <c r="G48" s="4" t="s">
        <v>54</v>
      </c>
      <c r="H48" s="4">
        <v>4.0999999999999996</v>
      </c>
      <c r="I48" s="4">
        <f t="shared" si="1"/>
        <v>14000</v>
      </c>
      <c r="J48">
        <f t="shared" si="2"/>
        <v>0.30435444248788018</v>
      </c>
      <c r="K48" s="4">
        <f t="shared" si="3"/>
        <v>-14000</v>
      </c>
      <c r="L48" s="5">
        <f t="shared" si="4"/>
        <v>-0.43751367230225946</v>
      </c>
      <c r="M48" s="4" t="str">
        <f t="shared" si="5"/>
        <v>Medium Ratings</v>
      </c>
      <c r="N48" s="34">
        <f t="array" ref="N48">MEDIAN(_xlfn._xlws.FILTER(Table4[Original Price],Table4[Brand-Renamed] = Table4[[#This Row],[Brand]]))</f>
        <v>59999</v>
      </c>
      <c r="O48" s="35">
        <f t="array" ref="O48">MEDIAN(_xlfn._xlws.FILTER(Table4[Selling Price],Table4[Brand-Renamed] =Table4[[#This Row],[Brand-Renamed]]))</f>
        <v>39999</v>
      </c>
    </row>
    <row r="49" spans="1:15" ht="13.8" x14ac:dyDescent="0.25">
      <c r="A49" s="6" t="s">
        <v>88</v>
      </c>
      <c r="B49" s="4" t="str">
        <f t="shared" si="0"/>
        <v>Thomson</v>
      </c>
      <c r="C49" s="6" t="s">
        <v>8</v>
      </c>
      <c r="D49" s="6">
        <v>42</v>
      </c>
      <c r="E49" s="6">
        <v>20499</v>
      </c>
      <c r="F49" s="6">
        <v>27999</v>
      </c>
      <c r="G49" s="6" t="s">
        <v>54</v>
      </c>
      <c r="H49" s="6">
        <v>4.3</v>
      </c>
      <c r="I49" s="6">
        <f t="shared" si="1"/>
        <v>7500</v>
      </c>
      <c r="J49">
        <f t="shared" si="2"/>
        <v>0.2678667095253402</v>
      </c>
      <c r="K49" s="6">
        <f t="shared" si="3"/>
        <v>-7500</v>
      </c>
      <c r="L49" s="7">
        <f t="shared" si="4"/>
        <v>-0.36587150592711842</v>
      </c>
      <c r="M49" s="6" t="str">
        <f t="shared" si="5"/>
        <v>Medium Ratings</v>
      </c>
      <c r="N49" s="34">
        <f t="array" ref="N49">MEDIAN(_xlfn._xlws.FILTER(Table4[Original Price],Table4[Brand-Renamed] = Table4[[#This Row],[Brand]]))</f>
        <v>28999</v>
      </c>
      <c r="O49" s="35">
        <f t="array" ref="O49">MEDIAN(_xlfn._xlws.FILTER(Table4[Selling Price],Table4[Brand-Renamed] =Table4[[#This Row],[Brand-Renamed]]))</f>
        <v>21749</v>
      </c>
    </row>
    <row r="50" spans="1:15" ht="13.8" x14ac:dyDescent="0.25">
      <c r="A50" s="4" t="s">
        <v>88</v>
      </c>
      <c r="B50" s="4" t="str">
        <f t="shared" si="0"/>
        <v>Thomson</v>
      </c>
      <c r="C50" s="4" t="s">
        <v>32</v>
      </c>
      <c r="D50" s="4">
        <v>55</v>
      </c>
      <c r="E50" s="4">
        <v>34999</v>
      </c>
      <c r="F50" s="4">
        <v>46999</v>
      </c>
      <c r="G50" s="4" t="s">
        <v>54</v>
      </c>
      <c r="H50" s="4">
        <v>4.2</v>
      </c>
      <c r="I50" s="4">
        <f t="shared" si="1"/>
        <v>12000</v>
      </c>
      <c r="J50">
        <f t="shared" si="2"/>
        <v>0.25532458137407177</v>
      </c>
      <c r="K50" s="4">
        <f t="shared" si="3"/>
        <v>-12000</v>
      </c>
      <c r="L50" s="5">
        <f t="shared" si="4"/>
        <v>-0.34286693905540161</v>
      </c>
      <c r="M50" s="4" t="str">
        <f t="shared" si="5"/>
        <v>Medium Ratings</v>
      </c>
      <c r="N50" s="34">
        <f t="array" ref="N50">MEDIAN(_xlfn._xlws.FILTER(Table4[Original Price],Table4[Brand-Renamed] = Table4[[#This Row],[Brand]]))</f>
        <v>28999</v>
      </c>
      <c r="O50" s="35">
        <f t="array" ref="O50">MEDIAN(_xlfn._xlws.FILTER(Table4[Selling Price],Table4[Brand-Renamed] =Table4[[#This Row],[Brand-Renamed]]))</f>
        <v>21749</v>
      </c>
    </row>
    <row r="51" spans="1:15" ht="13.8" x14ac:dyDescent="0.25">
      <c r="A51" s="6" t="s">
        <v>124</v>
      </c>
      <c r="B51" s="4" t="str">
        <f t="shared" si="0"/>
        <v>Iffalcon By Tcl</v>
      </c>
      <c r="C51" s="6" t="s">
        <v>8</v>
      </c>
      <c r="D51" s="6">
        <v>43</v>
      </c>
      <c r="E51" s="6">
        <v>21999</v>
      </c>
      <c r="F51" s="6">
        <v>44990</v>
      </c>
      <c r="G51" s="6" t="s">
        <v>54</v>
      </c>
      <c r="H51" s="6">
        <v>4.2</v>
      </c>
      <c r="I51" s="6">
        <f t="shared" si="1"/>
        <v>22991</v>
      </c>
      <c r="J51">
        <f t="shared" si="2"/>
        <v>0.51102467214936653</v>
      </c>
      <c r="K51" s="6">
        <f t="shared" si="3"/>
        <v>-22991</v>
      </c>
      <c r="L51" s="7">
        <f t="shared" si="4"/>
        <v>-1.0450929587708533</v>
      </c>
      <c r="M51" s="6" t="str">
        <f t="shared" si="5"/>
        <v>Medium Ratings</v>
      </c>
      <c r="N51" s="34">
        <f t="array" ref="N51">MEDIAN(_xlfn._xlws.FILTER(Table4[Original Price],Table4[Brand-Renamed] = Table4[[#This Row],[Brand]]))</f>
        <v>76990</v>
      </c>
      <c r="O51" s="35">
        <f t="array" ref="O51">MEDIAN(_xlfn._xlws.FILTER(Table4[Selling Price],Table4[Brand-Renamed] =Table4[[#This Row],[Brand-Renamed]]))</f>
        <v>36999</v>
      </c>
    </row>
    <row r="52" spans="1:15" ht="13.8" x14ac:dyDescent="0.25">
      <c r="A52" s="4" t="s">
        <v>73</v>
      </c>
      <c r="B52" s="4" t="str">
        <f t="shared" si="0"/>
        <v xml:space="preserve">Nokia </v>
      </c>
      <c r="C52" s="4" t="s">
        <v>32</v>
      </c>
      <c r="D52" s="4">
        <v>55</v>
      </c>
      <c r="E52" s="4">
        <v>44999</v>
      </c>
      <c r="F52" s="4">
        <v>62999</v>
      </c>
      <c r="G52" s="4" t="s">
        <v>54</v>
      </c>
      <c r="H52" s="4">
        <v>4.4000000000000004</v>
      </c>
      <c r="I52" s="4">
        <f t="shared" si="1"/>
        <v>18000</v>
      </c>
      <c r="J52">
        <f t="shared" si="2"/>
        <v>0.28571882093366563</v>
      </c>
      <c r="K52" s="4">
        <f t="shared" si="3"/>
        <v>-18000</v>
      </c>
      <c r="L52" s="5">
        <f t="shared" si="4"/>
        <v>-0.40000888908642412</v>
      </c>
      <c r="M52" s="4" t="str">
        <f t="shared" si="5"/>
        <v>Medium Ratings</v>
      </c>
      <c r="N52" s="34">
        <f t="array" ref="N52">MEDIAN(_xlfn._xlws.FILTER(Table4[Original Price],Table4[Brand-Renamed] = Table4[[#This Row],[Brand]]))</f>
        <v>59999</v>
      </c>
      <c r="O52" s="35">
        <f t="array" ref="O52">MEDIAN(_xlfn._xlws.FILTER(Table4[Selling Price],Table4[Brand-Renamed] =Table4[[#This Row],[Brand-Renamed]]))</f>
        <v>39999</v>
      </c>
    </row>
    <row r="53" spans="1:15" ht="13.8" x14ac:dyDescent="0.25">
      <c r="A53" s="6" t="s">
        <v>126</v>
      </c>
      <c r="B53" s="4" t="str">
        <f t="shared" si="0"/>
        <v xml:space="preserve">Sony </v>
      </c>
      <c r="C53" s="6" t="s">
        <v>19</v>
      </c>
      <c r="D53" s="6">
        <v>32</v>
      </c>
      <c r="E53" s="6">
        <v>25490</v>
      </c>
      <c r="F53" s="6">
        <v>29900</v>
      </c>
      <c r="G53" s="6" t="s">
        <v>60</v>
      </c>
      <c r="H53" s="6">
        <v>4.5</v>
      </c>
      <c r="I53" s="6">
        <f t="shared" si="1"/>
        <v>4410</v>
      </c>
      <c r="J53">
        <f t="shared" si="2"/>
        <v>0.14749163879598662</v>
      </c>
      <c r="K53" s="6">
        <f t="shared" si="3"/>
        <v>-4410</v>
      </c>
      <c r="L53" s="7">
        <f t="shared" si="4"/>
        <v>-0.1730090231463319</v>
      </c>
      <c r="M53" s="6" t="str">
        <f t="shared" si="5"/>
        <v>Good Ratings</v>
      </c>
      <c r="N53" s="34">
        <f t="array" ref="N53">MEDIAN(_xlfn._xlws.FILTER(Table4[Original Price],Table4[Brand-Renamed] = Table4[[#This Row],[Brand]]))</f>
        <v>87400</v>
      </c>
      <c r="O53" s="35">
        <f t="array" ref="O53">MEDIAN(_xlfn._xlws.FILTER(Table4[Selling Price],Table4[Brand-Renamed] =Table4[[#This Row],[Brand-Renamed]]))</f>
        <v>64294.5</v>
      </c>
    </row>
    <row r="54" spans="1:15" ht="13.8" x14ac:dyDescent="0.25">
      <c r="A54" s="4" t="s">
        <v>88</v>
      </c>
      <c r="B54" s="4" t="str">
        <f t="shared" si="0"/>
        <v>Thomson</v>
      </c>
      <c r="C54" s="4" t="s">
        <v>32</v>
      </c>
      <c r="D54" s="4">
        <v>50</v>
      </c>
      <c r="E54" s="4">
        <v>31999</v>
      </c>
      <c r="F54" s="4">
        <v>42999</v>
      </c>
      <c r="G54" s="4" t="s">
        <v>54</v>
      </c>
      <c r="H54" s="4">
        <v>4.2</v>
      </c>
      <c r="I54" s="4">
        <f t="shared" si="1"/>
        <v>11000</v>
      </c>
      <c r="J54">
        <f t="shared" si="2"/>
        <v>0.25581990278843691</v>
      </c>
      <c r="K54" s="4">
        <f t="shared" si="3"/>
        <v>-11000</v>
      </c>
      <c r="L54" s="5">
        <f t="shared" si="4"/>
        <v>-0.34376074252320388</v>
      </c>
      <c r="M54" s="4" t="str">
        <f t="shared" si="5"/>
        <v>Medium Ratings</v>
      </c>
      <c r="N54" s="34">
        <f t="array" ref="N54">MEDIAN(_xlfn._xlws.FILTER(Table4[Original Price],Table4[Brand-Renamed] = Table4[[#This Row],[Brand]]))</f>
        <v>28999</v>
      </c>
      <c r="O54" s="35">
        <f t="array" ref="O54">MEDIAN(_xlfn._xlws.FILTER(Table4[Selling Price],Table4[Brand-Renamed] =Table4[[#This Row],[Brand-Renamed]]))</f>
        <v>21749</v>
      </c>
    </row>
    <row r="55" spans="1:15" ht="13.8" x14ac:dyDescent="0.25">
      <c r="A55" s="6" t="s">
        <v>127</v>
      </c>
      <c r="B55" s="4" t="str">
        <f t="shared" si="0"/>
        <v xml:space="preserve">Kodak </v>
      </c>
      <c r="C55" s="6" t="s">
        <v>32</v>
      </c>
      <c r="D55" s="6">
        <v>55</v>
      </c>
      <c r="E55" s="6">
        <v>36999</v>
      </c>
      <c r="F55" s="6">
        <v>47999</v>
      </c>
      <c r="G55" s="6" t="s">
        <v>54</v>
      </c>
      <c r="H55" s="6">
        <v>4.4000000000000004</v>
      </c>
      <c r="I55" s="6">
        <f t="shared" si="1"/>
        <v>11000</v>
      </c>
      <c r="J55">
        <f t="shared" si="2"/>
        <v>0.22917144107168899</v>
      </c>
      <c r="K55" s="6">
        <f t="shared" si="3"/>
        <v>-11000</v>
      </c>
      <c r="L55" s="7">
        <f t="shared" si="4"/>
        <v>-0.29730533257655611</v>
      </c>
      <c r="M55" s="6" t="str">
        <f t="shared" si="5"/>
        <v>Medium Ratings</v>
      </c>
      <c r="N55" s="34">
        <f t="array" ref="N55">MEDIAN(_xlfn._xlws.FILTER(Table4[Original Price],Table4[Brand-Renamed] = Table4[[#This Row],[Brand]]))</f>
        <v>31990</v>
      </c>
      <c r="O55" s="35">
        <f t="array" ref="O55">MEDIAN(_xlfn._xlws.FILTER(Table4[Selling Price],Table4[Brand-Renamed] =Table4[[#This Row],[Brand-Renamed]]))</f>
        <v>22499</v>
      </c>
    </row>
    <row r="56" spans="1:15" ht="13.8" x14ac:dyDescent="0.25">
      <c r="A56" s="4" t="s">
        <v>128</v>
      </c>
      <c r="B56" s="4" t="str">
        <f t="shared" si="0"/>
        <v>Motorola</v>
      </c>
      <c r="C56" s="4" t="s">
        <v>32</v>
      </c>
      <c r="D56" s="4">
        <v>43</v>
      </c>
      <c r="E56" s="4">
        <v>32999</v>
      </c>
      <c r="F56" s="4">
        <v>46999</v>
      </c>
      <c r="G56" s="4" t="s">
        <v>54</v>
      </c>
      <c r="H56" s="4">
        <v>4.3</v>
      </c>
      <c r="I56" s="4">
        <f t="shared" si="1"/>
        <v>14000</v>
      </c>
      <c r="J56">
        <f t="shared" si="2"/>
        <v>0.2978786782697504</v>
      </c>
      <c r="K56" s="4">
        <f t="shared" si="3"/>
        <v>-14000</v>
      </c>
      <c r="L56" s="5">
        <f t="shared" si="4"/>
        <v>-0.42425528046304434</v>
      </c>
      <c r="M56" s="4" t="str">
        <f t="shared" si="5"/>
        <v>Medium Ratings</v>
      </c>
      <c r="N56" s="34">
        <f t="array" ref="N56">MEDIAN(_xlfn._xlws.FILTER(Table4[Original Price],Table4[Brand-Renamed] = Table4[[#This Row],[Brand]]))</f>
        <v>54050</v>
      </c>
      <c r="O56" s="35">
        <f t="array" ref="O56">MEDIAN(_xlfn._xlws.FILTER(Table4[Selling Price],Table4[Brand-Renamed] =Table4[[#This Row],[Brand-Renamed]]))</f>
        <v>35999</v>
      </c>
    </row>
    <row r="57" spans="1:15" ht="13.8" x14ac:dyDescent="0.25">
      <c r="A57" s="6" t="s">
        <v>88</v>
      </c>
      <c r="B57" s="4" t="str">
        <f t="shared" si="0"/>
        <v>Thomson</v>
      </c>
      <c r="C57" s="6" t="s">
        <v>8</v>
      </c>
      <c r="D57" s="6">
        <v>40</v>
      </c>
      <c r="E57" s="6">
        <v>19499</v>
      </c>
      <c r="F57" s="6">
        <v>21499</v>
      </c>
      <c r="G57" s="6" t="s">
        <v>54</v>
      </c>
      <c r="H57" s="6">
        <v>4.4000000000000004</v>
      </c>
      <c r="I57" s="6">
        <f t="shared" si="1"/>
        <v>2000</v>
      </c>
      <c r="J57">
        <f t="shared" si="2"/>
        <v>9.3027582678264109E-2</v>
      </c>
      <c r="K57" s="6">
        <f t="shared" si="3"/>
        <v>-2000</v>
      </c>
      <c r="L57" s="7">
        <f t="shared" si="4"/>
        <v>-0.10256936253141187</v>
      </c>
      <c r="M57" s="6" t="str">
        <f t="shared" si="5"/>
        <v>Medium Ratings</v>
      </c>
      <c r="N57" s="34">
        <f t="array" ref="N57">MEDIAN(_xlfn._xlws.FILTER(Table4[Original Price],Table4[Brand-Renamed] = Table4[[#This Row],[Brand]]))</f>
        <v>28999</v>
      </c>
      <c r="O57" s="35">
        <f t="array" ref="O57">MEDIAN(_xlfn._xlws.FILTER(Table4[Selling Price],Table4[Brand-Renamed] =Table4[[#This Row],[Brand-Renamed]]))</f>
        <v>21749</v>
      </c>
    </row>
    <row r="58" spans="1:15" ht="13.8" x14ac:dyDescent="0.25">
      <c r="A58" s="4" t="s">
        <v>125</v>
      </c>
      <c r="B58" s="4" t="str">
        <f t="shared" si="0"/>
        <v>Samsung</v>
      </c>
      <c r="C58" s="4" t="s">
        <v>19</v>
      </c>
      <c r="D58" s="4">
        <v>32</v>
      </c>
      <c r="E58" s="4">
        <v>18490</v>
      </c>
      <c r="F58" s="4">
        <v>20900</v>
      </c>
      <c r="G58" s="4" t="s">
        <v>56</v>
      </c>
      <c r="H58" s="4">
        <v>4.3</v>
      </c>
      <c r="I58" s="4">
        <f t="shared" si="1"/>
        <v>2410</v>
      </c>
      <c r="J58">
        <f t="shared" si="2"/>
        <v>0.11531100478468899</v>
      </c>
      <c r="K58" s="4">
        <f t="shared" si="3"/>
        <v>-2410</v>
      </c>
      <c r="L58" s="5">
        <f t="shared" si="4"/>
        <v>-0.13034072471606273</v>
      </c>
      <c r="M58" s="4" t="str">
        <f t="shared" si="5"/>
        <v>Medium Ratings</v>
      </c>
      <c r="N58" s="34">
        <f t="array" ref="N58">MEDIAN(_xlfn._xlws.FILTER(Table4[Original Price],Table4[Brand-Renamed] = Table4[[#This Row],[Brand]]))</f>
        <v>100945</v>
      </c>
      <c r="O58" s="35">
        <f t="array" ref="O58">MEDIAN(_xlfn._xlws.FILTER(Table4[Selling Price],Table4[Brand-Renamed] =Table4[[#This Row],[Brand-Renamed]]))</f>
        <v>74490</v>
      </c>
    </row>
    <row r="59" spans="1:15" ht="13.8" x14ac:dyDescent="0.25">
      <c r="A59" s="6" t="s">
        <v>122</v>
      </c>
      <c r="B59" s="4" t="str">
        <f t="shared" si="0"/>
        <v xml:space="preserve">Lg </v>
      </c>
      <c r="C59" s="6" t="s">
        <v>32</v>
      </c>
      <c r="D59" s="6">
        <v>50</v>
      </c>
      <c r="E59" s="6">
        <v>49999</v>
      </c>
      <c r="F59" s="6">
        <v>64990</v>
      </c>
      <c r="G59" s="6" t="s">
        <v>58</v>
      </c>
      <c r="H59" s="6">
        <v>4.4000000000000004</v>
      </c>
      <c r="I59" s="6">
        <f t="shared" si="1"/>
        <v>14991</v>
      </c>
      <c r="J59">
        <f t="shared" si="2"/>
        <v>0.23066625634713034</v>
      </c>
      <c r="K59" s="6">
        <f t="shared" si="3"/>
        <v>-14991</v>
      </c>
      <c r="L59" s="7">
        <f t="shared" si="4"/>
        <v>-0.29982599651993042</v>
      </c>
      <c r="M59" s="6" t="str">
        <f t="shared" si="5"/>
        <v>Medium Ratings</v>
      </c>
      <c r="N59" s="34">
        <f t="array" ref="N59">MEDIAN(_xlfn._xlws.FILTER(Table4[Original Price],Table4[Brand-Renamed] = Table4[[#This Row],[Brand]]))</f>
        <v>98990</v>
      </c>
      <c r="O59" s="35">
        <f t="array" ref="O59">MEDIAN(_xlfn._xlws.FILTER(Table4[Selling Price],Table4[Brand-Renamed] =Table4[[#This Row],[Brand-Renamed]]))</f>
        <v>76737</v>
      </c>
    </row>
    <row r="60" spans="1:15" ht="13.8" x14ac:dyDescent="0.25">
      <c r="A60" s="4" t="s">
        <v>124</v>
      </c>
      <c r="B60" s="4" t="str">
        <f t="shared" si="0"/>
        <v>Iffalcon By Tcl</v>
      </c>
      <c r="C60" s="4" t="s">
        <v>32</v>
      </c>
      <c r="D60" s="4">
        <v>55</v>
      </c>
      <c r="E60" s="4">
        <v>35999</v>
      </c>
      <c r="F60" s="4">
        <v>106990</v>
      </c>
      <c r="G60" s="4" t="s">
        <v>54</v>
      </c>
      <c r="H60" s="4">
        <v>4.3</v>
      </c>
      <c r="I60" s="4">
        <f t="shared" si="1"/>
        <v>70991</v>
      </c>
      <c r="J60">
        <f t="shared" si="2"/>
        <v>0.6635293018039069</v>
      </c>
      <c r="K60" s="4">
        <f t="shared" si="3"/>
        <v>-70991</v>
      </c>
      <c r="L60" s="5">
        <f t="shared" si="4"/>
        <v>-1.9720270007500209</v>
      </c>
      <c r="M60" s="4" t="str">
        <f t="shared" si="5"/>
        <v>Medium Ratings</v>
      </c>
      <c r="N60" s="34">
        <f t="array" ref="N60">MEDIAN(_xlfn._xlws.FILTER(Table4[Original Price],Table4[Brand-Renamed] = Table4[[#This Row],[Brand]]))</f>
        <v>76990</v>
      </c>
      <c r="O60" s="35">
        <f t="array" ref="O60">MEDIAN(_xlfn._xlws.FILTER(Table4[Selling Price],Table4[Brand-Renamed] =Table4[[#This Row],[Brand-Renamed]]))</f>
        <v>36999</v>
      </c>
    </row>
    <row r="61" spans="1:15" ht="13.8" x14ac:dyDescent="0.25">
      <c r="A61" s="6" t="s">
        <v>88</v>
      </c>
      <c r="B61" s="4" t="str">
        <f t="shared" si="0"/>
        <v>Thomson</v>
      </c>
      <c r="C61" s="6" t="s">
        <v>19</v>
      </c>
      <c r="D61" s="6">
        <v>32</v>
      </c>
      <c r="E61" s="6">
        <v>11999</v>
      </c>
      <c r="F61" s="6">
        <v>14499</v>
      </c>
      <c r="G61" s="6" t="s">
        <v>54</v>
      </c>
      <c r="H61" s="6">
        <v>4.4000000000000004</v>
      </c>
      <c r="I61" s="6">
        <f t="shared" si="1"/>
        <v>2500</v>
      </c>
      <c r="J61">
        <f t="shared" si="2"/>
        <v>0.17242568452996759</v>
      </c>
      <c r="K61" s="6">
        <f t="shared" si="3"/>
        <v>-2500</v>
      </c>
      <c r="L61" s="7">
        <f t="shared" si="4"/>
        <v>-0.20835069589132427</v>
      </c>
      <c r="M61" s="6" t="str">
        <f t="shared" si="5"/>
        <v>Medium Ratings</v>
      </c>
      <c r="N61" s="34">
        <f t="array" ref="N61">MEDIAN(_xlfn._xlws.FILTER(Table4[Original Price],Table4[Brand-Renamed] = Table4[[#This Row],[Brand]]))</f>
        <v>28999</v>
      </c>
      <c r="O61" s="35">
        <f t="array" ref="O61">MEDIAN(_xlfn._xlws.FILTER(Table4[Selling Price],Table4[Brand-Renamed] =Table4[[#This Row],[Brand-Renamed]]))</f>
        <v>21749</v>
      </c>
    </row>
    <row r="62" spans="1:15" ht="13.8" x14ac:dyDescent="0.25">
      <c r="A62" s="4" t="s">
        <v>128</v>
      </c>
      <c r="B62" s="4" t="str">
        <f t="shared" si="0"/>
        <v>Motorola</v>
      </c>
      <c r="C62" s="4" t="s">
        <v>29</v>
      </c>
      <c r="D62" s="4">
        <v>50</v>
      </c>
      <c r="E62" s="4">
        <v>45999</v>
      </c>
      <c r="F62" s="4">
        <v>59999</v>
      </c>
      <c r="G62" s="4" t="s">
        <v>54</v>
      </c>
      <c r="H62" s="4">
        <v>4.3</v>
      </c>
      <c r="I62" s="4">
        <f t="shared" si="1"/>
        <v>14000</v>
      </c>
      <c r="J62">
        <f t="shared" si="2"/>
        <v>0.23333722228703813</v>
      </c>
      <c r="K62" s="4">
        <f t="shared" si="3"/>
        <v>-14000</v>
      </c>
      <c r="L62" s="5">
        <f t="shared" si="4"/>
        <v>-0.30435444248788018</v>
      </c>
      <c r="M62" s="4" t="str">
        <f t="shared" si="5"/>
        <v>Medium Ratings</v>
      </c>
      <c r="N62" s="34">
        <f t="array" ref="N62">MEDIAN(_xlfn._xlws.FILTER(Table4[Original Price],Table4[Brand-Renamed] = Table4[[#This Row],[Brand]]))</f>
        <v>54050</v>
      </c>
      <c r="O62" s="35">
        <f t="array" ref="O62">MEDIAN(_xlfn._xlws.FILTER(Table4[Selling Price],Table4[Brand-Renamed] =Table4[[#This Row],[Brand-Renamed]]))</f>
        <v>35999</v>
      </c>
    </row>
    <row r="63" spans="1:15" ht="13.8" x14ac:dyDescent="0.25">
      <c r="A63" s="6" t="s">
        <v>128</v>
      </c>
      <c r="B63" s="4" t="str">
        <f t="shared" si="0"/>
        <v>Motorola</v>
      </c>
      <c r="C63" s="6" t="s">
        <v>8</v>
      </c>
      <c r="D63" s="6">
        <v>40</v>
      </c>
      <c r="E63" s="6">
        <v>24999</v>
      </c>
      <c r="F63" s="6">
        <v>39999</v>
      </c>
      <c r="G63" s="6" t="s">
        <v>54</v>
      </c>
      <c r="H63" s="6">
        <v>4.4000000000000004</v>
      </c>
      <c r="I63" s="6">
        <f t="shared" si="1"/>
        <v>15000</v>
      </c>
      <c r="J63">
        <f t="shared" si="2"/>
        <v>0.37500937523438088</v>
      </c>
      <c r="K63" s="6">
        <f t="shared" si="3"/>
        <v>-15000</v>
      </c>
      <c r="L63" s="7">
        <f t="shared" si="4"/>
        <v>-0.60002400096003838</v>
      </c>
      <c r="M63" s="6" t="str">
        <f t="shared" si="5"/>
        <v>Medium Ratings</v>
      </c>
      <c r="N63" s="34">
        <f t="array" ref="N63">MEDIAN(_xlfn._xlws.FILTER(Table4[Original Price],Table4[Brand-Renamed] = Table4[[#This Row],[Brand]]))</f>
        <v>54050</v>
      </c>
      <c r="O63" s="35">
        <f t="array" ref="O63">MEDIAN(_xlfn._xlws.FILTER(Table4[Selling Price],Table4[Brand-Renamed] =Table4[[#This Row],[Brand-Renamed]]))</f>
        <v>35999</v>
      </c>
    </row>
    <row r="64" spans="1:15" ht="13.8" x14ac:dyDescent="0.25">
      <c r="A64" s="4" t="s">
        <v>127</v>
      </c>
      <c r="B64" s="4" t="str">
        <f t="shared" si="0"/>
        <v xml:space="preserve">Kodak </v>
      </c>
      <c r="C64" s="4" t="s">
        <v>19</v>
      </c>
      <c r="D64" s="4">
        <v>32</v>
      </c>
      <c r="E64" s="4">
        <v>12999</v>
      </c>
      <c r="F64" s="4">
        <v>18499</v>
      </c>
      <c r="G64" s="4" t="s">
        <v>54</v>
      </c>
      <c r="H64" s="4">
        <v>4.4000000000000004</v>
      </c>
      <c r="I64" s="4">
        <f t="shared" si="1"/>
        <v>5500</v>
      </c>
      <c r="J64">
        <f t="shared" si="2"/>
        <v>0.29731336829017785</v>
      </c>
      <c r="K64" s="4">
        <f t="shared" si="3"/>
        <v>-5500</v>
      </c>
      <c r="L64" s="5">
        <f t="shared" si="4"/>
        <v>-0.42310946995922766</v>
      </c>
      <c r="M64" s="4" t="str">
        <f t="shared" si="5"/>
        <v>Medium Ratings</v>
      </c>
      <c r="N64" s="34">
        <f t="array" ref="N64">MEDIAN(_xlfn._xlws.FILTER(Table4[Original Price],Table4[Brand-Renamed] = Table4[[#This Row],[Brand]]))</f>
        <v>31990</v>
      </c>
      <c r="O64" s="35">
        <f t="array" ref="O64">MEDIAN(_xlfn._xlws.FILTER(Table4[Selling Price],Table4[Brand-Renamed] =Table4[[#This Row],[Brand-Renamed]]))</f>
        <v>22499</v>
      </c>
    </row>
    <row r="65" spans="1:15" ht="13.8" x14ac:dyDescent="0.25">
      <c r="A65" s="6" t="s">
        <v>125</v>
      </c>
      <c r="B65" s="4" t="str">
        <f t="shared" si="0"/>
        <v>Samsung</v>
      </c>
      <c r="C65" s="6" t="s">
        <v>32</v>
      </c>
      <c r="D65" s="6">
        <v>50</v>
      </c>
      <c r="E65" s="6">
        <v>51990</v>
      </c>
      <c r="F65" s="6">
        <v>71400</v>
      </c>
      <c r="G65" s="6" t="s">
        <v>56</v>
      </c>
      <c r="H65" s="6">
        <v>4.3</v>
      </c>
      <c r="I65" s="6">
        <f t="shared" si="1"/>
        <v>19410</v>
      </c>
      <c r="J65">
        <f t="shared" si="2"/>
        <v>0.2718487394957983</v>
      </c>
      <c r="K65" s="6">
        <f t="shared" si="3"/>
        <v>-19410</v>
      </c>
      <c r="L65" s="7">
        <f t="shared" si="4"/>
        <v>-0.37334102712060013</v>
      </c>
      <c r="M65" s="6" t="str">
        <f t="shared" si="5"/>
        <v>Medium Ratings</v>
      </c>
      <c r="N65" s="34">
        <f t="array" ref="N65">MEDIAN(_xlfn._xlws.FILTER(Table4[Original Price],Table4[Brand-Renamed] = Table4[[#This Row],[Brand]]))</f>
        <v>100945</v>
      </c>
      <c r="O65" s="35">
        <f t="array" ref="O65">MEDIAN(_xlfn._xlws.FILTER(Table4[Selling Price],Table4[Brand-Renamed] =Table4[[#This Row],[Brand-Renamed]]))</f>
        <v>74490</v>
      </c>
    </row>
    <row r="66" spans="1:15" ht="13.8" x14ac:dyDescent="0.25">
      <c r="A66" s="4" t="s">
        <v>128</v>
      </c>
      <c r="B66" s="4" t="str">
        <f t="shared" ref="B66:B129" si="6">PROPER(A66)</f>
        <v>Motorola</v>
      </c>
      <c r="C66" s="4" t="s">
        <v>19</v>
      </c>
      <c r="D66" s="4">
        <v>32</v>
      </c>
      <c r="E66" s="4">
        <v>20999</v>
      </c>
      <c r="F66" s="4">
        <v>29999</v>
      </c>
      <c r="G66" s="4" t="s">
        <v>54</v>
      </c>
      <c r="H66" s="4">
        <v>4.4000000000000004</v>
      </c>
      <c r="I66" s="4">
        <f t="shared" ref="I66:I129" si="7">F66-E66</f>
        <v>9000</v>
      </c>
      <c r="J66">
        <f t="shared" ref="J66:J129" si="8">IF((F66-E66)/F66 = 0, "Discount Not Applied", (F66-E66)/F66)</f>
        <v>0.30001000033334446</v>
      </c>
      <c r="K66" s="4">
        <f t="shared" ref="K66:K129" si="9">E66-F66</f>
        <v>-9000</v>
      </c>
      <c r="L66" s="5">
        <f t="shared" ref="L66:L129" si="10">(E66-F66)/E66</f>
        <v>-0.42859183770655745</v>
      </c>
      <c r="M66" s="4" t="str">
        <f t="shared" ref="M66:M129" si="11">IF(ISBLANK(H66),"Ratings Not Given",IF(H66&gt;=4.5,"Good Ratings",IF(H66&lt;=3.7,"Bad Ratings","Medium Ratings")))</f>
        <v>Medium Ratings</v>
      </c>
      <c r="N66" s="34">
        <f t="array" ref="N66">MEDIAN(_xlfn._xlws.FILTER(Table4[Original Price],Table4[Brand-Renamed] = Table4[[#This Row],[Brand]]))</f>
        <v>54050</v>
      </c>
      <c r="O66" s="35">
        <f t="array" ref="O66">MEDIAN(_xlfn._xlws.FILTER(Table4[Selling Price],Table4[Brand-Renamed] =Table4[[#This Row],[Brand-Renamed]]))</f>
        <v>35999</v>
      </c>
    </row>
    <row r="67" spans="1:15" ht="13.8" x14ac:dyDescent="0.25">
      <c r="A67" s="6" t="s">
        <v>119</v>
      </c>
      <c r="B67" s="4" t="str">
        <f t="shared" si="6"/>
        <v xml:space="preserve">Tcl </v>
      </c>
      <c r="C67" s="6" t="s">
        <v>29</v>
      </c>
      <c r="D67" s="6">
        <v>50</v>
      </c>
      <c r="E67" s="6">
        <v>45999</v>
      </c>
      <c r="F67" s="6">
        <v>109990</v>
      </c>
      <c r="G67" s="6" t="s">
        <v>54</v>
      </c>
      <c r="H67" s="6">
        <v>4.4000000000000004</v>
      </c>
      <c r="I67" s="6">
        <f t="shared" si="7"/>
        <v>63991</v>
      </c>
      <c r="J67">
        <f t="shared" si="8"/>
        <v>0.58178925356850619</v>
      </c>
      <c r="K67" s="6">
        <f t="shared" si="9"/>
        <v>-63991</v>
      </c>
      <c r="L67" s="7">
        <f t="shared" si="10"/>
        <v>-1.3911389378029957</v>
      </c>
      <c r="M67" s="6" t="str">
        <f t="shared" si="11"/>
        <v>Medium Ratings</v>
      </c>
      <c r="N67" s="34">
        <f t="array" ref="N67">MEDIAN(_xlfn._xlws.FILTER(Table4[Original Price],Table4[Brand-Renamed] = Table4[[#This Row],[Brand]]))</f>
        <v>77990</v>
      </c>
      <c r="O67" s="35">
        <f t="array" ref="O67">MEDIAN(_xlfn._xlws.FILTER(Table4[Selling Price],Table4[Brand-Renamed] =Table4[[#This Row],[Brand-Renamed]]))</f>
        <v>40999</v>
      </c>
    </row>
    <row r="68" spans="1:15" ht="13.8" x14ac:dyDescent="0.25">
      <c r="A68" s="4" t="s">
        <v>126</v>
      </c>
      <c r="B68" s="4" t="str">
        <f t="shared" si="6"/>
        <v xml:space="preserve">Sony </v>
      </c>
      <c r="C68" s="4" t="s">
        <v>8</v>
      </c>
      <c r="D68" s="4">
        <v>43</v>
      </c>
      <c r="E68" s="4">
        <v>43490</v>
      </c>
      <c r="F68" s="4">
        <v>44900</v>
      </c>
      <c r="G68" s="4" t="s">
        <v>60</v>
      </c>
      <c r="H68" s="4">
        <v>4.5</v>
      </c>
      <c r="I68" s="4">
        <f t="shared" si="7"/>
        <v>1410</v>
      </c>
      <c r="J68">
        <f t="shared" si="8"/>
        <v>3.1403118040089086E-2</v>
      </c>
      <c r="K68" s="4">
        <f t="shared" si="9"/>
        <v>-1410</v>
      </c>
      <c r="L68" s="5">
        <f t="shared" si="10"/>
        <v>-3.2421246263508854E-2</v>
      </c>
      <c r="M68" s="4" t="str">
        <f t="shared" si="11"/>
        <v>Good Ratings</v>
      </c>
      <c r="N68" s="34">
        <f t="array" ref="N68">MEDIAN(_xlfn._xlws.FILTER(Table4[Original Price],Table4[Brand-Renamed] = Table4[[#This Row],[Brand]]))</f>
        <v>87400</v>
      </c>
      <c r="O68" s="35">
        <f t="array" ref="O68">MEDIAN(_xlfn._xlws.FILTER(Table4[Selling Price],Table4[Brand-Renamed] =Table4[[#This Row],[Brand-Renamed]]))</f>
        <v>64294.5</v>
      </c>
    </row>
    <row r="69" spans="1:15" ht="13.8" x14ac:dyDescent="0.25">
      <c r="A69" s="6" t="s">
        <v>129</v>
      </c>
      <c r="B69" s="4" t="str">
        <f t="shared" si="6"/>
        <v>Philips</v>
      </c>
      <c r="C69" s="6" t="s">
        <v>32</v>
      </c>
      <c r="D69" s="6">
        <v>58</v>
      </c>
      <c r="E69" s="6">
        <v>45999</v>
      </c>
      <c r="F69" s="6">
        <v>89990</v>
      </c>
      <c r="G69" s="6" t="s">
        <v>54</v>
      </c>
      <c r="H69" s="6">
        <v>4.2</v>
      </c>
      <c r="I69" s="6">
        <f t="shared" si="7"/>
        <v>43991</v>
      </c>
      <c r="J69">
        <f t="shared" si="8"/>
        <v>0.48884320480053339</v>
      </c>
      <c r="K69" s="6">
        <f t="shared" si="9"/>
        <v>-43991</v>
      </c>
      <c r="L69" s="7">
        <f t="shared" si="10"/>
        <v>-0.95634687710602406</v>
      </c>
      <c r="M69" s="6" t="str">
        <f t="shared" si="11"/>
        <v>Medium Ratings</v>
      </c>
      <c r="N69" s="34">
        <f t="array" ref="N69">MEDIAN(_xlfn._xlws.FILTER(Table4[Original Price],Table4[Brand-Renamed] = Table4[[#This Row],[Brand]]))</f>
        <v>44990</v>
      </c>
      <c r="O69" s="35">
        <f t="array" ref="O69">MEDIAN(_xlfn._xlws.FILTER(Table4[Selling Price],Table4[Brand-Renamed] =Table4[[#This Row],[Brand-Renamed]]))</f>
        <v>33459</v>
      </c>
    </row>
    <row r="70" spans="1:15" ht="13.8" x14ac:dyDescent="0.25">
      <c r="A70" s="4" t="s">
        <v>44</v>
      </c>
      <c r="B70" s="4" t="str">
        <f t="shared" si="6"/>
        <v xml:space="preserve">Coocaa </v>
      </c>
      <c r="C70" s="4" t="s">
        <v>32</v>
      </c>
      <c r="D70" s="4">
        <v>55</v>
      </c>
      <c r="E70" s="4">
        <v>34999</v>
      </c>
      <c r="F70" s="4">
        <v>73990</v>
      </c>
      <c r="G70" s="4" t="s">
        <v>54</v>
      </c>
      <c r="H70" s="4">
        <v>4.3</v>
      </c>
      <c r="I70" s="4">
        <f t="shared" si="7"/>
        <v>38991</v>
      </c>
      <c r="J70">
        <f t="shared" si="8"/>
        <v>0.52697661846195432</v>
      </c>
      <c r="K70" s="4">
        <f t="shared" si="9"/>
        <v>-38991</v>
      </c>
      <c r="L70" s="5">
        <f t="shared" si="10"/>
        <v>-1.1140604017257636</v>
      </c>
      <c r="M70" s="4" t="str">
        <f t="shared" si="11"/>
        <v>Medium Ratings</v>
      </c>
      <c r="N70" s="34">
        <f t="array" ref="N70">MEDIAN(_xlfn._xlws.FILTER(Table4[Original Price],Table4[Brand-Renamed] = Table4[[#This Row],[Brand]]))</f>
        <v>54990</v>
      </c>
      <c r="O70" s="35">
        <f t="array" ref="O70">MEDIAN(_xlfn._xlws.FILTER(Table4[Selling Price],Table4[Brand-Renamed] =Table4[[#This Row],[Brand-Renamed]]))</f>
        <v>25999</v>
      </c>
    </row>
    <row r="71" spans="1:15" ht="13.8" x14ac:dyDescent="0.25">
      <c r="A71" s="6" t="s">
        <v>129</v>
      </c>
      <c r="B71" s="4" t="str">
        <f t="shared" si="6"/>
        <v>Philips</v>
      </c>
      <c r="C71" s="6" t="s">
        <v>32</v>
      </c>
      <c r="D71" s="6">
        <v>50</v>
      </c>
      <c r="E71" s="6">
        <v>38999</v>
      </c>
      <c r="F71" s="6">
        <v>69990</v>
      </c>
      <c r="G71" s="6" t="s">
        <v>60</v>
      </c>
      <c r="H71" s="6">
        <v>4.2</v>
      </c>
      <c r="I71" s="6">
        <f t="shared" si="7"/>
        <v>30991</v>
      </c>
      <c r="J71">
        <f t="shared" si="8"/>
        <v>0.44279182740391487</v>
      </c>
      <c r="K71" s="6">
        <f t="shared" si="9"/>
        <v>-30991</v>
      </c>
      <c r="L71" s="7">
        <f t="shared" si="10"/>
        <v>-0.79466140157439935</v>
      </c>
      <c r="M71" s="6" t="str">
        <f t="shared" si="11"/>
        <v>Medium Ratings</v>
      </c>
      <c r="N71" s="34">
        <f t="array" ref="N71">MEDIAN(_xlfn._xlws.FILTER(Table4[Original Price],Table4[Brand-Renamed] = Table4[[#This Row],[Brand]]))</f>
        <v>44990</v>
      </c>
      <c r="O71" s="35">
        <f t="array" ref="O71">MEDIAN(_xlfn._xlws.FILTER(Table4[Selling Price],Table4[Brand-Renamed] =Table4[[#This Row],[Brand-Renamed]]))</f>
        <v>33459</v>
      </c>
    </row>
    <row r="72" spans="1:15" ht="13.8" x14ac:dyDescent="0.25">
      <c r="A72" s="4" t="s">
        <v>73</v>
      </c>
      <c r="B72" s="4" t="str">
        <f t="shared" si="6"/>
        <v xml:space="preserve">Nokia </v>
      </c>
      <c r="C72" s="4" t="s">
        <v>29</v>
      </c>
      <c r="D72" s="4">
        <v>55</v>
      </c>
      <c r="E72" s="4">
        <v>54999</v>
      </c>
      <c r="F72" s="4">
        <v>79999</v>
      </c>
      <c r="G72" s="4" t="s">
        <v>54</v>
      </c>
      <c r="H72" s="4">
        <v>4.2</v>
      </c>
      <c r="I72" s="4">
        <f t="shared" si="7"/>
        <v>25000</v>
      </c>
      <c r="J72">
        <f t="shared" si="8"/>
        <v>0.31250390629882874</v>
      </c>
      <c r="K72" s="4">
        <f t="shared" si="9"/>
        <v>-25000</v>
      </c>
      <c r="L72" s="5">
        <f t="shared" si="10"/>
        <v>-0.45455371915853016</v>
      </c>
      <c r="M72" s="4" t="str">
        <f t="shared" si="11"/>
        <v>Medium Ratings</v>
      </c>
      <c r="N72" s="34">
        <f t="array" ref="N72">MEDIAN(_xlfn._xlws.FILTER(Table4[Original Price],Table4[Brand-Renamed] = Table4[[#This Row],[Brand]]))</f>
        <v>59999</v>
      </c>
      <c r="O72" s="35">
        <f t="array" ref="O72">MEDIAN(_xlfn._xlws.FILTER(Table4[Selling Price],Table4[Brand-Renamed] =Table4[[#This Row],[Brand-Renamed]]))</f>
        <v>39999</v>
      </c>
    </row>
    <row r="73" spans="1:15" ht="13.8" x14ac:dyDescent="0.25">
      <c r="A73" s="6" t="s">
        <v>126</v>
      </c>
      <c r="B73" s="4" t="str">
        <f t="shared" si="6"/>
        <v xml:space="preserve">Sony </v>
      </c>
      <c r="C73" s="6" t="s">
        <v>8</v>
      </c>
      <c r="D73" s="6">
        <v>49</v>
      </c>
      <c r="E73" s="6">
        <v>44999</v>
      </c>
      <c r="F73" s="6">
        <v>69900</v>
      </c>
      <c r="G73" s="6" t="s">
        <v>54</v>
      </c>
      <c r="H73" s="6">
        <v>4.5</v>
      </c>
      <c r="I73" s="6">
        <f t="shared" si="7"/>
        <v>24901</v>
      </c>
      <c r="J73">
        <f t="shared" si="8"/>
        <v>0.35623748211731043</v>
      </c>
      <c r="K73" s="6">
        <f t="shared" si="9"/>
        <v>-24901</v>
      </c>
      <c r="L73" s="7">
        <f t="shared" si="10"/>
        <v>-0.55336785261894705</v>
      </c>
      <c r="M73" s="6" t="str">
        <f t="shared" si="11"/>
        <v>Good Ratings</v>
      </c>
      <c r="N73" s="34">
        <f t="array" ref="N73">MEDIAN(_xlfn._xlws.FILTER(Table4[Original Price],Table4[Brand-Renamed] = Table4[[#This Row],[Brand]]))</f>
        <v>87400</v>
      </c>
      <c r="O73" s="35">
        <f t="array" ref="O73">MEDIAN(_xlfn._xlws.FILTER(Table4[Selling Price],Table4[Brand-Renamed] =Table4[[#This Row],[Brand-Renamed]]))</f>
        <v>64294.5</v>
      </c>
    </row>
    <row r="74" spans="1:15" ht="13.8" x14ac:dyDescent="0.25">
      <c r="A74" s="4" t="s">
        <v>127</v>
      </c>
      <c r="B74" s="4" t="str">
        <f t="shared" si="6"/>
        <v xml:space="preserve">Kodak </v>
      </c>
      <c r="C74" s="4" t="s">
        <v>8</v>
      </c>
      <c r="D74" s="4">
        <v>40</v>
      </c>
      <c r="E74" s="4">
        <v>19499</v>
      </c>
      <c r="F74" s="4">
        <v>20999</v>
      </c>
      <c r="G74" s="4" t="s">
        <v>54</v>
      </c>
      <c r="H74" s="4">
        <v>4.4000000000000004</v>
      </c>
      <c r="I74" s="4">
        <f t="shared" si="7"/>
        <v>1500</v>
      </c>
      <c r="J74">
        <f t="shared" si="8"/>
        <v>7.1431972951092909E-2</v>
      </c>
      <c r="K74" s="4">
        <f t="shared" si="9"/>
        <v>-1500</v>
      </c>
      <c r="L74" s="5">
        <f t="shared" si="10"/>
        <v>-7.6927021898558906E-2</v>
      </c>
      <c r="M74" s="4" t="str">
        <f t="shared" si="11"/>
        <v>Medium Ratings</v>
      </c>
      <c r="N74" s="34">
        <f t="array" ref="N74">MEDIAN(_xlfn._xlws.FILTER(Table4[Original Price],Table4[Brand-Renamed] = Table4[[#This Row],[Brand]]))</f>
        <v>31990</v>
      </c>
      <c r="O74" s="35">
        <f t="array" ref="O74">MEDIAN(_xlfn._xlws.FILTER(Table4[Selling Price],Table4[Brand-Renamed] =Table4[[#This Row],[Brand-Renamed]]))</f>
        <v>22499</v>
      </c>
    </row>
    <row r="75" spans="1:15" ht="13.8" x14ac:dyDescent="0.25">
      <c r="A75" s="6" t="s">
        <v>127</v>
      </c>
      <c r="B75" s="4" t="str">
        <f t="shared" si="6"/>
        <v xml:space="preserve">Kodak </v>
      </c>
      <c r="C75" s="6" t="s">
        <v>8</v>
      </c>
      <c r="D75" s="6">
        <v>42</v>
      </c>
      <c r="E75" s="6">
        <v>20499</v>
      </c>
      <c r="F75" s="6">
        <v>27999</v>
      </c>
      <c r="G75" s="6" t="s">
        <v>54</v>
      </c>
      <c r="H75" s="6">
        <v>4.4000000000000004</v>
      </c>
      <c r="I75" s="6">
        <f t="shared" si="7"/>
        <v>7500</v>
      </c>
      <c r="J75">
        <f t="shared" si="8"/>
        <v>0.2678667095253402</v>
      </c>
      <c r="K75" s="6">
        <f t="shared" si="9"/>
        <v>-7500</v>
      </c>
      <c r="L75" s="7">
        <f t="shared" si="10"/>
        <v>-0.36587150592711842</v>
      </c>
      <c r="M75" s="6" t="str">
        <f t="shared" si="11"/>
        <v>Medium Ratings</v>
      </c>
      <c r="N75" s="34">
        <f t="array" ref="N75">MEDIAN(_xlfn._xlws.FILTER(Table4[Original Price],Table4[Brand-Renamed] = Table4[[#This Row],[Brand]]))</f>
        <v>31990</v>
      </c>
      <c r="O75" s="35">
        <f t="array" ref="O75">MEDIAN(_xlfn._xlws.FILTER(Table4[Selling Price],Table4[Brand-Renamed] =Table4[[#This Row],[Brand-Renamed]]))</f>
        <v>22499</v>
      </c>
    </row>
    <row r="76" spans="1:15" ht="13.8" x14ac:dyDescent="0.25">
      <c r="A76" s="4" t="s">
        <v>128</v>
      </c>
      <c r="B76" s="4" t="str">
        <f t="shared" si="6"/>
        <v>Motorola</v>
      </c>
      <c r="C76" s="4" t="s">
        <v>32</v>
      </c>
      <c r="D76" s="4">
        <v>50</v>
      </c>
      <c r="E76" s="4">
        <v>39999</v>
      </c>
      <c r="F76" s="4">
        <v>54999</v>
      </c>
      <c r="G76" s="4" t="s">
        <v>54</v>
      </c>
      <c r="H76" s="4">
        <v>4.3</v>
      </c>
      <c r="I76" s="4">
        <f t="shared" si="7"/>
        <v>15000</v>
      </c>
      <c r="J76">
        <f t="shared" si="8"/>
        <v>0.2727322314951181</v>
      </c>
      <c r="K76" s="4">
        <f t="shared" si="9"/>
        <v>-15000</v>
      </c>
      <c r="L76" s="5">
        <f t="shared" si="10"/>
        <v>-0.37500937523438088</v>
      </c>
      <c r="M76" s="4" t="str">
        <f t="shared" si="11"/>
        <v>Medium Ratings</v>
      </c>
      <c r="N76" s="34">
        <f t="array" ref="N76">MEDIAN(_xlfn._xlws.FILTER(Table4[Original Price],Table4[Brand-Renamed] = Table4[[#This Row],[Brand]]))</f>
        <v>54050</v>
      </c>
      <c r="O76" s="35">
        <f t="array" ref="O76">MEDIAN(_xlfn._xlws.FILTER(Table4[Selling Price],Table4[Brand-Renamed] =Table4[[#This Row],[Brand-Renamed]]))</f>
        <v>35999</v>
      </c>
    </row>
    <row r="77" spans="1:15" ht="13.8" x14ac:dyDescent="0.25">
      <c r="A77" s="6" t="s">
        <v>35</v>
      </c>
      <c r="B77" s="4" t="str">
        <f t="shared" si="6"/>
        <v>Acer</v>
      </c>
      <c r="C77" s="6" t="s">
        <v>19</v>
      </c>
      <c r="D77" s="6">
        <v>32</v>
      </c>
      <c r="E77" s="6">
        <v>13999</v>
      </c>
      <c r="F77" s="6">
        <v>19990</v>
      </c>
      <c r="G77" s="6" t="s">
        <v>54</v>
      </c>
      <c r="H77" s="6">
        <v>3.9</v>
      </c>
      <c r="I77" s="6">
        <f t="shared" si="7"/>
        <v>5991</v>
      </c>
      <c r="J77">
        <f t="shared" si="8"/>
        <v>0.29969984992496246</v>
      </c>
      <c r="K77" s="6">
        <f t="shared" si="9"/>
        <v>-5991</v>
      </c>
      <c r="L77" s="7">
        <f t="shared" si="10"/>
        <v>-0.42795913993856705</v>
      </c>
      <c r="M77" s="6" t="str">
        <f t="shared" si="11"/>
        <v>Medium Ratings</v>
      </c>
      <c r="N77" s="34">
        <f t="array" ref="N77">MEDIAN(_xlfn._xlws.FILTER(Table4[Original Price],Table4[Brand-Renamed] = Table4[[#This Row],[Brand]]))</f>
        <v>34990</v>
      </c>
      <c r="O77" s="35">
        <f t="array" ref="O77">MEDIAN(_xlfn._xlws.FILTER(Table4[Selling Price],Table4[Brand-Renamed] =Table4[[#This Row],[Brand-Renamed]]))</f>
        <v>34990</v>
      </c>
    </row>
    <row r="78" spans="1:15" ht="13.8" x14ac:dyDescent="0.25">
      <c r="A78" s="4" t="s">
        <v>119</v>
      </c>
      <c r="B78" s="4" t="str">
        <f t="shared" si="6"/>
        <v xml:space="preserve">Tcl </v>
      </c>
      <c r="C78" s="4" t="s">
        <v>8</v>
      </c>
      <c r="D78" s="4">
        <v>55</v>
      </c>
      <c r="E78" s="4">
        <v>41999</v>
      </c>
      <c r="F78" s="4">
        <v>109990</v>
      </c>
      <c r="G78" s="4" t="s">
        <v>54</v>
      </c>
      <c r="H78" s="4">
        <v>4.3</v>
      </c>
      <c r="I78" s="4">
        <f t="shared" si="7"/>
        <v>67991</v>
      </c>
      <c r="J78">
        <f t="shared" si="8"/>
        <v>0.61815619601781979</v>
      </c>
      <c r="K78" s="4">
        <f t="shared" si="9"/>
        <v>-67991</v>
      </c>
      <c r="L78" s="5">
        <f t="shared" si="10"/>
        <v>-1.6188718779018547</v>
      </c>
      <c r="M78" s="4" t="str">
        <f t="shared" si="11"/>
        <v>Medium Ratings</v>
      </c>
      <c r="N78" s="34">
        <f t="array" ref="N78">MEDIAN(_xlfn._xlws.FILTER(Table4[Original Price],Table4[Brand-Renamed] = Table4[[#This Row],[Brand]]))</f>
        <v>77990</v>
      </c>
      <c r="O78" s="35">
        <f t="array" ref="O78">MEDIAN(_xlfn._xlws.FILTER(Table4[Selling Price],Table4[Brand-Renamed] =Table4[[#This Row],[Brand-Renamed]]))</f>
        <v>40999</v>
      </c>
    </row>
    <row r="79" spans="1:15" ht="13.8" x14ac:dyDescent="0.25">
      <c r="A79" s="6" t="s">
        <v>125</v>
      </c>
      <c r="B79" s="4" t="str">
        <f t="shared" si="6"/>
        <v>Samsung</v>
      </c>
      <c r="C79" s="6" t="s">
        <v>19</v>
      </c>
      <c r="D79" s="6">
        <v>32</v>
      </c>
      <c r="E79" s="6">
        <v>16290</v>
      </c>
      <c r="F79" s="6">
        <v>16400</v>
      </c>
      <c r="G79" s="6" t="s">
        <v>56</v>
      </c>
      <c r="H79" s="6">
        <v>4.3</v>
      </c>
      <c r="I79" s="6">
        <f t="shared" si="7"/>
        <v>110</v>
      </c>
      <c r="J79">
        <f t="shared" si="8"/>
        <v>6.7073170731707316E-3</v>
      </c>
      <c r="K79" s="6">
        <f t="shared" si="9"/>
        <v>-110</v>
      </c>
      <c r="L79" s="7">
        <f t="shared" si="10"/>
        <v>-6.752608962553714E-3</v>
      </c>
      <c r="M79" s="6" t="str">
        <f t="shared" si="11"/>
        <v>Medium Ratings</v>
      </c>
      <c r="N79" s="34">
        <f t="array" ref="N79">MEDIAN(_xlfn._xlws.FILTER(Table4[Original Price],Table4[Brand-Renamed] = Table4[[#This Row],[Brand]]))</f>
        <v>100945</v>
      </c>
      <c r="O79" s="35">
        <f t="array" ref="O79">MEDIAN(_xlfn._xlws.FILTER(Table4[Selling Price],Table4[Brand-Renamed] =Table4[[#This Row],[Brand-Renamed]]))</f>
        <v>74490</v>
      </c>
    </row>
    <row r="80" spans="1:15" ht="13.8" x14ac:dyDescent="0.25">
      <c r="A80" s="4" t="s">
        <v>119</v>
      </c>
      <c r="B80" s="4" t="str">
        <f t="shared" si="6"/>
        <v xml:space="preserve">Tcl </v>
      </c>
      <c r="C80" s="4" t="s">
        <v>32</v>
      </c>
      <c r="D80" s="4">
        <v>43</v>
      </c>
      <c r="E80" s="4">
        <v>29999</v>
      </c>
      <c r="F80" s="4">
        <v>51990</v>
      </c>
      <c r="G80" s="4" t="s">
        <v>60</v>
      </c>
      <c r="H80" s="4">
        <v>4.4000000000000004</v>
      </c>
      <c r="I80" s="4">
        <f t="shared" si="7"/>
        <v>21991</v>
      </c>
      <c r="J80">
        <f t="shared" si="8"/>
        <v>0.42298518945951147</v>
      </c>
      <c r="K80" s="4">
        <f t="shared" si="9"/>
        <v>-21991</v>
      </c>
      <c r="L80" s="5">
        <f t="shared" si="10"/>
        <v>-0.73305776859228644</v>
      </c>
      <c r="M80" s="4" t="str">
        <f t="shared" si="11"/>
        <v>Medium Ratings</v>
      </c>
      <c r="N80" s="34">
        <f t="array" ref="N80">MEDIAN(_xlfn._xlws.FILTER(Table4[Original Price],Table4[Brand-Renamed] = Table4[[#This Row],[Brand]]))</f>
        <v>77990</v>
      </c>
      <c r="O80" s="35">
        <f t="array" ref="O80">MEDIAN(_xlfn._xlws.FILTER(Table4[Selling Price],Table4[Brand-Renamed] =Table4[[#This Row],[Brand-Renamed]]))</f>
        <v>40999</v>
      </c>
    </row>
    <row r="81" spans="1:15" ht="13.8" x14ac:dyDescent="0.25">
      <c r="A81" s="6" t="s">
        <v>39</v>
      </c>
      <c r="B81" s="4" t="str">
        <f t="shared" si="6"/>
        <v>Blaupunkt</v>
      </c>
      <c r="C81" s="6" t="s">
        <v>8</v>
      </c>
      <c r="D81" s="6">
        <v>42</v>
      </c>
      <c r="E81" s="6">
        <v>20999</v>
      </c>
      <c r="F81" s="6">
        <v>29999</v>
      </c>
      <c r="G81" s="6" t="s">
        <v>54</v>
      </c>
      <c r="H81" s="6">
        <v>4.4000000000000004</v>
      </c>
      <c r="I81" s="6">
        <f t="shared" si="7"/>
        <v>9000</v>
      </c>
      <c r="J81">
        <f t="shared" si="8"/>
        <v>0.30001000033334446</v>
      </c>
      <c r="K81" s="6">
        <f t="shared" si="9"/>
        <v>-9000</v>
      </c>
      <c r="L81" s="7">
        <f t="shared" si="10"/>
        <v>-0.42859183770655745</v>
      </c>
      <c r="M81" s="6" t="str">
        <f t="shared" si="11"/>
        <v>Medium Ratings</v>
      </c>
      <c r="N81" s="34">
        <f t="array" ref="N81">MEDIAN(_xlfn._xlws.FILTER(Table4[Original Price],Table4[Brand-Renamed] = Table4[[#This Row],[Brand]]))</f>
        <v>40000</v>
      </c>
      <c r="O81" s="35">
        <f t="array" ref="O81">MEDIAN(_xlfn._xlws.FILTER(Table4[Selling Price],Table4[Brand-Renamed] =Table4[[#This Row],[Brand-Renamed]]))</f>
        <v>21999</v>
      </c>
    </row>
    <row r="82" spans="1:15" ht="13.8" x14ac:dyDescent="0.25">
      <c r="A82" s="4" t="s">
        <v>129</v>
      </c>
      <c r="B82" s="4" t="str">
        <f t="shared" si="6"/>
        <v>Philips</v>
      </c>
      <c r="C82" s="4" t="s">
        <v>8</v>
      </c>
      <c r="D82" s="4">
        <v>43</v>
      </c>
      <c r="E82" s="4">
        <v>29999</v>
      </c>
      <c r="F82" s="4">
        <v>44990</v>
      </c>
      <c r="G82" s="4" t="s">
        <v>54</v>
      </c>
      <c r="H82" s="4">
        <v>4.2</v>
      </c>
      <c r="I82" s="4">
        <f t="shared" si="7"/>
        <v>14991</v>
      </c>
      <c r="J82">
        <f t="shared" si="8"/>
        <v>0.33320737941764839</v>
      </c>
      <c r="K82" s="4">
        <f t="shared" si="9"/>
        <v>-14991</v>
      </c>
      <c r="L82" s="5">
        <f t="shared" si="10"/>
        <v>-0.49971665722190739</v>
      </c>
      <c r="M82" s="4" t="str">
        <f t="shared" si="11"/>
        <v>Medium Ratings</v>
      </c>
      <c r="N82" s="34">
        <f t="array" ref="N82">MEDIAN(_xlfn._xlws.FILTER(Table4[Original Price],Table4[Brand-Renamed] = Table4[[#This Row],[Brand]]))</f>
        <v>44990</v>
      </c>
      <c r="O82" s="35">
        <f t="array" ref="O82">MEDIAN(_xlfn._xlws.FILTER(Table4[Selling Price],Table4[Brand-Renamed] =Table4[[#This Row],[Brand-Renamed]]))</f>
        <v>33459</v>
      </c>
    </row>
    <row r="83" spans="1:15" ht="13.8" x14ac:dyDescent="0.25">
      <c r="A83" s="6" t="s">
        <v>73</v>
      </c>
      <c r="B83" s="4" t="str">
        <f t="shared" si="6"/>
        <v xml:space="preserve">Nokia </v>
      </c>
      <c r="C83" s="6" t="s">
        <v>32</v>
      </c>
      <c r="D83" s="6">
        <v>55</v>
      </c>
      <c r="E83" s="6">
        <v>39999</v>
      </c>
      <c r="F83" s="6">
        <v>59999</v>
      </c>
      <c r="G83" s="6" t="s">
        <v>54</v>
      </c>
      <c r="H83" s="6">
        <v>4.3</v>
      </c>
      <c r="I83" s="6">
        <f t="shared" si="7"/>
        <v>20000</v>
      </c>
      <c r="J83">
        <f t="shared" si="8"/>
        <v>0.33333888898148301</v>
      </c>
      <c r="K83" s="6">
        <f t="shared" si="9"/>
        <v>-20000</v>
      </c>
      <c r="L83" s="7">
        <f t="shared" si="10"/>
        <v>-0.50001250031250777</v>
      </c>
      <c r="M83" s="6" t="str">
        <f t="shared" si="11"/>
        <v>Medium Ratings</v>
      </c>
      <c r="N83" s="34">
        <f t="array" ref="N83">MEDIAN(_xlfn._xlws.FILTER(Table4[Original Price],Table4[Brand-Renamed] = Table4[[#This Row],[Brand]]))</f>
        <v>59999</v>
      </c>
      <c r="O83" s="35">
        <f t="array" ref="O83">MEDIAN(_xlfn._xlws.FILTER(Table4[Selling Price],Table4[Brand-Renamed] =Table4[[#This Row],[Brand-Renamed]]))</f>
        <v>39999</v>
      </c>
    </row>
    <row r="84" spans="1:15" ht="13.8" x14ac:dyDescent="0.25">
      <c r="A84" s="4" t="s">
        <v>18</v>
      </c>
      <c r="B84" s="4" t="str">
        <f t="shared" si="6"/>
        <v>Hisense</v>
      </c>
      <c r="C84" s="4" t="s">
        <v>32</v>
      </c>
      <c r="D84" s="4">
        <v>55</v>
      </c>
      <c r="E84" s="4">
        <v>46999</v>
      </c>
      <c r="F84" s="4">
        <v>59990</v>
      </c>
      <c r="G84" s="4" t="s">
        <v>54</v>
      </c>
      <c r="H84" s="4">
        <v>4.5</v>
      </c>
      <c r="I84" s="4">
        <f t="shared" si="7"/>
        <v>12991</v>
      </c>
      <c r="J84">
        <f t="shared" si="8"/>
        <v>0.21655275879313218</v>
      </c>
      <c r="K84" s="4">
        <f t="shared" si="9"/>
        <v>-12991</v>
      </c>
      <c r="L84" s="5">
        <f t="shared" si="10"/>
        <v>-0.27641013638588058</v>
      </c>
      <c r="M84" s="4" t="str">
        <f t="shared" si="11"/>
        <v>Good Ratings</v>
      </c>
      <c r="N84" s="34">
        <f t="array" ref="N84">MEDIAN(_xlfn._xlws.FILTER(Table4[Original Price],Table4[Brand-Renamed] = Table4[[#This Row],[Brand]]))</f>
        <v>50490</v>
      </c>
      <c r="O84" s="35">
        <f t="array" ref="O84">MEDIAN(_xlfn._xlws.FILTER(Table4[Selling Price],Table4[Brand-Renamed] =Table4[[#This Row],[Brand-Renamed]]))</f>
        <v>39499</v>
      </c>
    </row>
    <row r="85" spans="1:15" ht="13.8" x14ac:dyDescent="0.25">
      <c r="A85" s="6" t="s">
        <v>120</v>
      </c>
      <c r="B85" s="4" t="str">
        <f t="shared" si="6"/>
        <v xml:space="preserve">Realme </v>
      </c>
      <c r="C85" s="6" t="s">
        <v>32</v>
      </c>
      <c r="D85" s="6">
        <v>50</v>
      </c>
      <c r="E85" s="6">
        <v>39999</v>
      </c>
      <c r="F85" s="6">
        <v>42999</v>
      </c>
      <c r="G85" s="6" t="s">
        <v>54</v>
      </c>
      <c r="H85" s="6">
        <v>4.3</v>
      </c>
      <c r="I85" s="6">
        <f t="shared" si="7"/>
        <v>3000</v>
      </c>
      <c r="J85">
        <f t="shared" si="8"/>
        <v>6.9769064396846436E-2</v>
      </c>
      <c r="K85" s="6">
        <f t="shared" si="9"/>
        <v>-3000</v>
      </c>
      <c r="L85" s="7">
        <f t="shared" si="10"/>
        <v>-7.5001875046876165E-2</v>
      </c>
      <c r="M85" s="6" t="str">
        <f t="shared" si="11"/>
        <v>Medium Ratings</v>
      </c>
      <c r="N85" s="34">
        <f t="array" ref="N85">MEDIAN(_xlfn._xlws.FILTER(Table4[Original Price],Table4[Brand-Renamed] = Table4[[#This Row],[Brand]]))</f>
        <v>23999</v>
      </c>
      <c r="O85" s="35">
        <f t="array" ref="O85">MEDIAN(_xlfn._xlws.FILTER(Table4[Selling Price],Table4[Brand-Renamed] =Table4[[#This Row],[Brand-Renamed]]))</f>
        <v>17999</v>
      </c>
    </row>
    <row r="86" spans="1:15" ht="13.8" x14ac:dyDescent="0.25">
      <c r="A86" s="4" t="s">
        <v>125</v>
      </c>
      <c r="B86" s="4" t="str">
        <f t="shared" si="6"/>
        <v>Samsung</v>
      </c>
      <c r="C86" s="4" t="s">
        <v>29</v>
      </c>
      <c r="D86" s="4">
        <v>55</v>
      </c>
      <c r="E86" s="4">
        <v>76999</v>
      </c>
      <c r="F86" s="4">
        <v>129900</v>
      </c>
      <c r="G86" s="4" t="s">
        <v>56</v>
      </c>
      <c r="H86" s="4">
        <v>4.5</v>
      </c>
      <c r="I86" s="4">
        <f t="shared" si="7"/>
        <v>52901</v>
      </c>
      <c r="J86">
        <f t="shared" si="8"/>
        <v>0.40724403387220937</v>
      </c>
      <c r="K86" s="4">
        <f t="shared" si="9"/>
        <v>-52901</v>
      </c>
      <c r="L86" s="5">
        <f t="shared" si="10"/>
        <v>-0.68703489655709815</v>
      </c>
      <c r="M86" s="4" t="str">
        <f t="shared" si="11"/>
        <v>Good Ratings</v>
      </c>
      <c r="N86" s="34">
        <f t="array" ref="N86">MEDIAN(_xlfn._xlws.FILTER(Table4[Original Price],Table4[Brand-Renamed] = Table4[[#This Row],[Brand]]))</f>
        <v>100945</v>
      </c>
      <c r="O86" s="35">
        <f t="array" ref="O86">MEDIAN(_xlfn._xlws.FILTER(Table4[Selling Price],Table4[Brand-Renamed] =Table4[[#This Row],[Brand-Renamed]]))</f>
        <v>74490</v>
      </c>
    </row>
    <row r="87" spans="1:15" ht="13.8" x14ac:dyDescent="0.25">
      <c r="A87" s="6" t="s">
        <v>73</v>
      </c>
      <c r="B87" s="4" t="str">
        <f t="shared" si="6"/>
        <v xml:space="preserve">Nokia </v>
      </c>
      <c r="C87" s="6" t="s">
        <v>19</v>
      </c>
      <c r="D87" s="6">
        <v>32</v>
      </c>
      <c r="E87" s="6">
        <v>16499</v>
      </c>
      <c r="F87" s="6">
        <v>19999</v>
      </c>
      <c r="G87" s="6" t="s">
        <v>54</v>
      </c>
      <c r="H87" s="6">
        <v>4.3</v>
      </c>
      <c r="I87" s="6">
        <f t="shared" si="7"/>
        <v>3500</v>
      </c>
      <c r="J87">
        <f t="shared" si="8"/>
        <v>0.17500875043752187</v>
      </c>
      <c r="K87" s="6">
        <f t="shared" si="9"/>
        <v>-3500</v>
      </c>
      <c r="L87" s="7">
        <f t="shared" si="10"/>
        <v>-0.21213406873143828</v>
      </c>
      <c r="M87" s="6" t="str">
        <f t="shared" si="11"/>
        <v>Medium Ratings</v>
      </c>
      <c r="N87" s="34">
        <f t="array" ref="N87">MEDIAN(_xlfn._xlws.FILTER(Table4[Original Price],Table4[Brand-Renamed] = Table4[[#This Row],[Brand]]))</f>
        <v>59999</v>
      </c>
      <c r="O87" s="35">
        <f t="array" ref="O87">MEDIAN(_xlfn._xlws.FILTER(Table4[Selling Price],Table4[Brand-Renamed] =Table4[[#This Row],[Brand-Renamed]]))</f>
        <v>39999</v>
      </c>
    </row>
    <row r="88" spans="1:15" ht="13.8" x14ac:dyDescent="0.25">
      <c r="A88" s="4" t="s">
        <v>129</v>
      </c>
      <c r="B88" s="4" t="str">
        <f t="shared" si="6"/>
        <v>Philips</v>
      </c>
      <c r="C88" s="4" t="s">
        <v>32</v>
      </c>
      <c r="D88" s="4">
        <v>50</v>
      </c>
      <c r="E88" s="4">
        <v>42999</v>
      </c>
      <c r="F88" s="4">
        <v>79990</v>
      </c>
      <c r="G88" s="4" t="s">
        <v>54</v>
      </c>
      <c r="H88" s="4">
        <v>4</v>
      </c>
      <c r="I88" s="4">
        <f t="shared" si="7"/>
        <v>36991</v>
      </c>
      <c r="J88">
        <f t="shared" si="8"/>
        <v>0.46244530566320791</v>
      </c>
      <c r="K88" s="4">
        <f t="shared" si="9"/>
        <v>-36991</v>
      </c>
      <c r="L88" s="5">
        <f t="shared" si="10"/>
        <v>-0.8602758203679155</v>
      </c>
      <c r="M88" s="4" t="str">
        <f t="shared" si="11"/>
        <v>Medium Ratings</v>
      </c>
      <c r="N88" s="34">
        <f t="array" ref="N88">MEDIAN(_xlfn._xlws.FILTER(Table4[Original Price],Table4[Brand-Renamed] = Table4[[#This Row],[Brand]]))</f>
        <v>44990</v>
      </c>
      <c r="O88" s="35">
        <f t="array" ref="O88">MEDIAN(_xlfn._xlws.FILTER(Table4[Selling Price],Table4[Brand-Renamed] =Table4[[#This Row],[Brand-Renamed]]))</f>
        <v>33459</v>
      </c>
    </row>
    <row r="89" spans="1:15" ht="13.8" x14ac:dyDescent="0.25">
      <c r="A89" s="6" t="s">
        <v>70</v>
      </c>
      <c r="B89" s="4" t="str">
        <f t="shared" si="6"/>
        <v xml:space="preserve">Mi </v>
      </c>
      <c r="C89" s="6" t="s">
        <v>8</v>
      </c>
      <c r="D89" s="6">
        <v>43</v>
      </c>
      <c r="E89" s="6">
        <v>24999</v>
      </c>
      <c r="F89" s="6">
        <v>25999</v>
      </c>
      <c r="G89" s="6" t="s">
        <v>54</v>
      </c>
      <c r="H89" s="6">
        <v>4.4000000000000004</v>
      </c>
      <c r="I89" s="6">
        <f t="shared" si="7"/>
        <v>1000</v>
      </c>
      <c r="J89">
        <f t="shared" si="8"/>
        <v>3.8463017808377242E-2</v>
      </c>
      <c r="K89" s="6">
        <f t="shared" si="9"/>
        <v>-1000</v>
      </c>
      <c r="L89" s="7">
        <f t="shared" si="10"/>
        <v>-4.0001600064002558E-2</v>
      </c>
      <c r="M89" s="6" t="str">
        <f t="shared" si="11"/>
        <v>Medium Ratings</v>
      </c>
      <c r="N89" s="34">
        <f t="array" ref="N89">MEDIAN(_xlfn._xlws.FILTER(Table4[Original Price],Table4[Brand-Renamed] = Table4[[#This Row],[Brand]]))</f>
        <v>34999</v>
      </c>
      <c r="O89" s="35">
        <f t="array" ref="O89">MEDIAN(_xlfn._xlws.FILTER(Table4[Selling Price],Table4[Brand-Renamed] =Table4[[#This Row],[Brand-Renamed]]))</f>
        <v>27999</v>
      </c>
    </row>
    <row r="90" spans="1:15" ht="13.8" x14ac:dyDescent="0.25">
      <c r="A90" s="4" t="s">
        <v>35</v>
      </c>
      <c r="B90" s="4" t="str">
        <f t="shared" si="6"/>
        <v>Acer</v>
      </c>
      <c r="C90" s="4" t="s">
        <v>8</v>
      </c>
      <c r="D90" s="4">
        <v>42</v>
      </c>
      <c r="E90" s="4">
        <v>21999</v>
      </c>
      <c r="F90" s="4">
        <v>29990</v>
      </c>
      <c r="G90" s="4" t="s">
        <v>54</v>
      </c>
      <c r="H90" s="4">
        <v>3.9</v>
      </c>
      <c r="I90" s="4">
        <f t="shared" si="7"/>
        <v>7991</v>
      </c>
      <c r="J90">
        <f t="shared" si="8"/>
        <v>0.26645548516172057</v>
      </c>
      <c r="K90" s="4">
        <f t="shared" si="9"/>
        <v>-7991</v>
      </c>
      <c r="L90" s="5">
        <f t="shared" si="10"/>
        <v>-0.36324378380835493</v>
      </c>
      <c r="M90" s="4" t="str">
        <f t="shared" si="11"/>
        <v>Medium Ratings</v>
      </c>
      <c r="N90" s="34">
        <f t="array" ref="N90">MEDIAN(_xlfn._xlws.FILTER(Table4[Original Price],Table4[Brand-Renamed] = Table4[[#This Row],[Brand]]))</f>
        <v>34990</v>
      </c>
      <c r="O90" s="35">
        <f t="array" ref="O90">MEDIAN(_xlfn._xlws.FILTER(Table4[Selling Price],Table4[Brand-Renamed] =Table4[[#This Row],[Brand-Renamed]]))</f>
        <v>34990</v>
      </c>
    </row>
    <row r="91" spans="1:15" ht="13.8" x14ac:dyDescent="0.25">
      <c r="A91" s="6" t="s">
        <v>35</v>
      </c>
      <c r="B91" s="4" t="str">
        <f t="shared" si="6"/>
        <v>Acer</v>
      </c>
      <c r="C91" s="6" t="s">
        <v>32</v>
      </c>
      <c r="D91" s="6">
        <v>50</v>
      </c>
      <c r="E91" s="6">
        <v>34999</v>
      </c>
      <c r="F91" s="6">
        <v>44990</v>
      </c>
      <c r="G91" s="6" t="s">
        <v>54</v>
      </c>
      <c r="H91" s="6">
        <v>3.6</v>
      </c>
      <c r="I91" s="6">
        <f t="shared" si="7"/>
        <v>9991</v>
      </c>
      <c r="J91">
        <f t="shared" si="8"/>
        <v>0.22207157146032452</v>
      </c>
      <c r="K91" s="6">
        <f t="shared" si="9"/>
        <v>-9991</v>
      </c>
      <c r="L91" s="7">
        <f t="shared" si="10"/>
        <v>-0.28546529900854312</v>
      </c>
      <c r="M91" s="6" t="str">
        <f t="shared" si="11"/>
        <v>Bad Ratings</v>
      </c>
      <c r="N91" s="34">
        <f t="array" ref="N91">MEDIAN(_xlfn._xlws.FILTER(Table4[Original Price],Table4[Brand-Renamed] = Table4[[#This Row],[Brand]]))</f>
        <v>34990</v>
      </c>
      <c r="O91" s="35">
        <f t="array" ref="O91">MEDIAN(_xlfn._xlws.FILTER(Table4[Selling Price],Table4[Brand-Renamed] =Table4[[#This Row],[Brand-Renamed]]))</f>
        <v>34990</v>
      </c>
    </row>
    <row r="92" spans="1:15" ht="13.8" x14ac:dyDescent="0.25">
      <c r="A92" s="4" t="s">
        <v>127</v>
      </c>
      <c r="B92" s="4" t="str">
        <f t="shared" si="6"/>
        <v xml:space="preserve">Kodak </v>
      </c>
      <c r="C92" s="4" t="s">
        <v>32</v>
      </c>
      <c r="D92" s="4">
        <v>43</v>
      </c>
      <c r="E92" s="4">
        <v>25999</v>
      </c>
      <c r="F92" s="4">
        <v>37999</v>
      </c>
      <c r="G92" s="4" t="s">
        <v>54</v>
      </c>
      <c r="H92" s="4">
        <v>4.4000000000000004</v>
      </c>
      <c r="I92" s="4">
        <f t="shared" si="7"/>
        <v>12000</v>
      </c>
      <c r="J92">
        <f t="shared" si="8"/>
        <v>0.31579778415221454</v>
      </c>
      <c r="K92" s="4">
        <f t="shared" si="9"/>
        <v>-12000</v>
      </c>
      <c r="L92" s="5">
        <f t="shared" si="10"/>
        <v>-0.46155621370052696</v>
      </c>
      <c r="M92" s="4" t="str">
        <f t="shared" si="11"/>
        <v>Medium Ratings</v>
      </c>
      <c r="N92" s="34">
        <f t="array" ref="N92">MEDIAN(_xlfn._xlws.FILTER(Table4[Original Price],Table4[Brand-Renamed] = Table4[[#This Row],[Brand]]))</f>
        <v>31990</v>
      </c>
      <c r="O92" s="35">
        <f t="array" ref="O92">MEDIAN(_xlfn._xlws.FILTER(Table4[Selling Price],Table4[Brand-Renamed] =Table4[[#This Row],[Brand-Renamed]]))</f>
        <v>22499</v>
      </c>
    </row>
    <row r="93" spans="1:15" ht="13.8" x14ac:dyDescent="0.25">
      <c r="A93" s="6" t="s">
        <v>73</v>
      </c>
      <c r="B93" s="4" t="str">
        <f t="shared" si="6"/>
        <v xml:space="preserve">Nokia </v>
      </c>
      <c r="C93" s="6" t="s">
        <v>32</v>
      </c>
      <c r="D93" s="6">
        <v>50</v>
      </c>
      <c r="E93" s="6">
        <v>35999</v>
      </c>
      <c r="F93" s="6">
        <v>54999</v>
      </c>
      <c r="G93" s="6" t="s">
        <v>54</v>
      </c>
      <c r="H93" s="6">
        <v>4.3</v>
      </c>
      <c r="I93" s="6">
        <f t="shared" si="7"/>
        <v>19000</v>
      </c>
      <c r="J93">
        <f t="shared" si="8"/>
        <v>0.34546082656048294</v>
      </c>
      <c r="K93" s="6">
        <f t="shared" si="9"/>
        <v>-19000</v>
      </c>
      <c r="L93" s="7">
        <f t="shared" si="10"/>
        <v>-0.52779243867885217</v>
      </c>
      <c r="M93" s="6" t="str">
        <f t="shared" si="11"/>
        <v>Medium Ratings</v>
      </c>
      <c r="N93" s="34">
        <f t="array" ref="N93">MEDIAN(_xlfn._xlws.FILTER(Table4[Original Price],Table4[Brand-Renamed] = Table4[[#This Row],[Brand]]))</f>
        <v>59999</v>
      </c>
      <c r="O93" s="35">
        <f t="array" ref="O93">MEDIAN(_xlfn._xlws.FILTER(Table4[Selling Price],Table4[Brand-Renamed] =Table4[[#This Row],[Brand-Renamed]]))</f>
        <v>39999</v>
      </c>
    </row>
    <row r="94" spans="1:15" ht="13.8" x14ac:dyDescent="0.25">
      <c r="A94" s="4" t="s">
        <v>44</v>
      </c>
      <c r="B94" s="4" t="str">
        <f t="shared" si="6"/>
        <v xml:space="preserve">Coocaa </v>
      </c>
      <c r="C94" s="4" t="s">
        <v>8</v>
      </c>
      <c r="D94" s="4">
        <v>42</v>
      </c>
      <c r="E94" s="4">
        <v>18999</v>
      </c>
      <c r="F94" s="4">
        <v>48990</v>
      </c>
      <c r="G94" s="4" t="s">
        <v>54</v>
      </c>
      <c r="H94" s="4">
        <v>4.2</v>
      </c>
      <c r="I94" s="4">
        <f t="shared" si="7"/>
        <v>29991</v>
      </c>
      <c r="J94">
        <f t="shared" si="8"/>
        <v>0.61218616044090635</v>
      </c>
      <c r="K94" s="4">
        <f t="shared" si="9"/>
        <v>-29991</v>
      </c>
      <c r="L94" s="5">
        <f t="shared" si="10"/>
        <v>-1.5785567661455866</v>
      </c>
      <c r="M94" s="4" t="str">
        <f t="shared" si="11"/>
        <v>Medium Ratings</v>
      </c>
      <c r="N94" s="34">
        <f t="array" ref="N94">MEDIAN(_xlfn._xlws.FILTER(Table4[Original Price],Table4[Brand-Renamed] = Table4[[#This Row],[Brand]]))</f>
        <v>54990</v>
      </c>
      <c r="O94" s="35">
        <f t="array" ref="O94">MEDIAN(_xlfn._xlws.FILTER(Table4[Selling Price],Table4[Brand-Renamed] =Table4[[#This Row],[Brand-Renamed]]))</f>
        <v>25999</v>
      </c>
    </row>
    <row r="95" spans="1:15" ht="13.8" x14ac:dyDescent="0.25">
      <c r="A95" s="6" t="s">
        <v>39</v>
      </c>
      <c r="B95" s="4" t="str">
        <f t="shared" si="6"/>
        <v>Blaupunkt</v>
      </c>
      <c r="C95" s="6" t="s">
        <v>32</v>
      </c>
      <c r="D95" s="6">
        <v>50</v>
      </c>
      <c r="E95" s="6">
        <v>34499</v>
      </c>
      <c r="F95" s="6">
        <v>47999</v>
      </c>
      <c r="G95" s="6" t="s">
        <v>54</v>
      </c>
      <c r="H95" s="6">
        <v>4.7</v>
      </c>
      <c r="I95" s="6">
        <f t="shared" si="7"/>
        <v>13500</v>
      </c>
      <c r="J95">
        <f t="shared" si="8"/>
        <v>0.28125585949707288</v>
      </c>
      <c r="K95" s="6">
        <f t="shared" si="9"/>
        <v>-13500</v>
      </c>
      <c r="L95" s="7">
        <f t="shared" si="10"/>
        <v>-0.39131569030986407</v>
      </c>
      <c r="M95" s="6" t="str">
        <f t="shared" si="11"/>
        <v>Good Ratings</v>
      </c>
      <c r="N95" s="34">
        <f t="array" ref="N95">MEDIAN(_xlfn._xlws.FILTER(Table4[Original Price],Table4[Brand-Renamed] = Table4[[#This Row],[Brand]]))</f>
        <v>40000</v>
      </c>
      <c r="O95" s="35">
        <f t="array" ref="O95">MEDIAN(_xlfn._xlws.FILTER(Table4[Selling Price],Table4[Brand-Renamed] =Table4[[#This Row],[Brand-Renamed]]))</f>
        <v>21999</v>
      </c>
    </row>
    <row r="96" spans="1:15" ht="13.8" x14ac:dyDescent="0.25">
      <c r="A96" s="4" t="s">
        <v>125</v>
      </c>
      <c r="B96" s="4" t="str">
        <f t="shared" si="6"/>
        <v>Samsung</v>
      </c>
      <c r="C96" s="4" t="s">
        <v>32</v>
      </c>
      <c r="D96" s="4">
        <v>55</v>
      </c>
      <c r="E96" s="4">
        <v>55990</v>
      </c>
      <c r="F96" s="4">
        <v>76900</v>
      </c>
      <c r="G96" s="4" t="s">
        <v>56</v>
      </c>
      <c r="H96" s="4">
        <v>4.3</v>
      </c>
      <c r="I96" s="4">
        <f t="shared" si="7"/>
        <v>20910</v>
      </c>
      <c r="J96">
        <f t="shared" si="8"/>
        <v>0.27191157347204159</v>
      </c>
      <c r="K96" s="4">
        <f t="shared" si="9"/>
        <v>-20910</v>
      </c>
      <c r="L96" s="5">
        <f t="shared" si="10"/>
        <v>-0.37345954634756207</v>
      </c>
      <c r="M96" s="4" t="str">
        <f t="shared" si="11"/>
        <v>Medium Ratings</v>
      </c>
      <c r="N96" s="34">
        <f t="array" ref="N96">MEDIAN(_xlfn._xlws.FILTER(Table4[Original Price],Table4[Brand-Renamed] = Table4[[#This Row],[Brand]]))</f>
        <v>100945</v>
      </c>
      <c r="O96" s="35">
        <f t="array" ref="O96">MEDIAN(_xlfn._xlws.FILTER(Table4[Selling Price],Table4[Brand-Renamed] =Table4[[#This Row],[Brand-Renamed]]))</f>
        <v>74490</v>
      </c>
    </row>
    <row r="97" spans="1:15" ht="13.8" x14ac:dyDescent="0.25">
      <c r="A97" s="6" t="s">
        <v>124</v>
      </c>
      <c r="B97" s="4" t="str">
        <f t="shared" si="6"/>
        <v>Iffalcon By Tcl</v>
      </c>
      <c r="C97" s="6" t="s">
        <v>29</v>
      </c>
      <c r="D97" s="6">
        <v>55</v>
      </c>
      <c r="E97" s="6">
        <v>44999</v>
      </c>
      <c r="F97" s="6">
        <v>126990</v>
      </c>
      <c r="G97" s="6" t="s">
        <v>54</v>
      </c>
      <c r="H97" s="6">
        <v>4.3</v>
      </c>
      <c r="I97" s="6">
        <f t="shared" si="7"/>
        <v>81991</v>
      </c>
      <c r="J97">
        <f t="shared" si="8"/>
        <v>0.64564926372155285</v>
      </c>
      <c r="K97" s="6">
        <f t="shared" si="9"/>
        <v>-81991</v>
      </c>
      <c r="L97" s="7">
        <f t="shared" si="10"/>
        <v>-1.8220627125047224</v>
      </c>
      <c r="M97" s="6" t="str">
        <f t="shared" si="11"/>
        <v>Medium Ratings</v>
      </c>
      <c r="N97" s="34">
        <f t="array" ref="N97">MEDIAN(_xlfn._xlws.FILTER(Table4[Original Price],Table4[Brand-Renamed] = Table4[[#This Row],[Brand]]))</f>
        <v>76990</v>
      </c>
      <c r="O97" s="35">
        <f t="array" ref="O97">MEDIAN(_xlfn._xlws.FILTER(Table4[Selling Price],Table4[Brand-Renamed] =Table4[[#This Row],[Brand-Renamed]]))</f>
        <v>36999</v>
      </c>
    </row>
    <row r="98" spans="1:15" ht="13.8" x14ac:dyDescent="0.25">
      <c r="A98" s="4" t="s">
        <v>88</v>
      </c>
      <c r="B98" s="4" t="str">
        <f t="shared" si="6"/>
        <v>Thomson</v>
      </c>
      <c r="C98" s="4" t="s">
        <v>32</v>
      </c>
      <c r="D98" s="4">
        <v>65</v>
      </c>
      <c r="E98" s="4">
        <v>53999</v>
      </c>
      <c r="F98" s="4">
        <v>70499</v>
      </c>
      <c r="G98" s="4" t="s">
        <v>54</v>
      </c>
      <c r="H98" s="4">
        <v>4.4000000000000004</v>
      </c>
      <c r="I98" s="4">
        <f t="shared" si="7"/>
        <v>16500</v>
      </c>
      <c r="J98">
        <f t="shared" si="8"/>
        <v>0.23404587299110627</v>
      </c>
      <c r="K98" s="4">
        <f t="shared" si="9"/>
        <v>-16500</v>
      </c>
      <c r="L98" s="5">
        <f t="shared" si="10"/>
        <v>-0.30556121409655734</v>
      </c>
      <c r="M98" s="4" t="str">
        <f t="shared" si="11"/>
        <v>Medium Ratings</v>
      </c>
      <c r="N98" s="34">
        <f t="array" ref="N98">MEDIAN(_xlfn._xlws.FILTER(Table4[Original Price],Table4[Brand-Renamed] = Table4[[#This Row],[Brand]]))</f>
        <v>28999</v>
      </c>
      <c r="O98" s="35">
        <f t="array" ref="O98">MEDIAN(_xlfn._xlws.FILTER(Table4[Selling Price],Table4[Brand-Renamed] =Table4[[#This Row],[Brand-Renamed]]))</f>
        <v>21749</v>
      </c>
    </row>
    <row r="99" spans="1:15" ht="13.8" x14ac:dyDescent="0.25">
      <c r="A99" s="6" t="s">
        <v>125</v>
      </c>
      <c r="B99" s="4" t="str">
        <f t="shared" si="6"/>
        <v>Samsung</v>
      </c>
      <c r="C99" s="6" t="s">
        <v>8</v>
      </c>
      <c r="D99" s="6">
        <v>32</v>
      </c>
      <c r="E99" s="6">
        <v>20880</v>
      </c>
      <c r="F99" s="6">
        <v>24275</v>
      </c>
      <c r="G99" s="6" t="s">
        <v>56</v>
      </c>
      <c r="H99" s="6">
        <v>4.2</v>
      </c>
      <c r="I99" s="6">
        <f t="shared" si="7"/>
        <v>3395</v>
      </c>
      <c r="J99">
        <f t="shared" si="8"/>
        <v>0.13985581874356334</v>
      </c>
      <c r="K99" s="6">
        <f t="shared" si="9"/>
        <v>-3395</v>
      </c>
      <c r="L99" s="7">
        <f t="shared" si="10"/>
        <v>-0.16259578544061304</v>
      </c>
      <c r="M99" s="6" t="str">
        <f t="shared" si="11"/>
        <v>Medium Ratings</v>
      </c>
      <c r="N99" s="34">
        <f t="array" ref="N99">MEDIAN(_xlfn._xlws.FILTER(Table4[Original Price],Table4[Brand-Renamed] = Table4[[#This Row],[Brand]]))</f>
        <v>100945</v>
      </c>
      <c r="O99" s="35">
        <f t="array" ref="O99">MEDIAN(_xlfn._xlws.FILTER(Table4[Selling Price],Table4[Brand-Renamed] =Table4[[#This Row],[Brand-Renamed]]))</f>
        <v>74490</v>
      </c>
    </row>
    <row r="100" spans="1:15" ht="13.8" x14ac:dyDescent="0.25">
      <c r="A100" s="4" t="s">
        <v>124</v>
      </c>
      <c r="B100" s="4" t="str">
        <f t="shared" si="6"/>
        <v>Iffalcon By Tcl</v>
      </c>
      <c r="C100" s="4" t="s">
        <v>8</v>
      </c>
      <c r="D100" s="4">
        <v>40</v>
      </c>
      <c r="E100" s="4">
        <v>19999</v>
      </c>
      <c r="F100" s="4">
        <v>36990</v>
      </c>
      <c r="G100" s="4" t="s">
        <v>54</v>
      </c>
      <c r="H100" s="4">
        <v>4.3</v>
      </c>
      <c r="I100" s="4">
        <f t="shared" si="7"/>
        <v>16991</v>
      </c>
      <c r="J100">
        <f t="shared" si="8"/>
        <v>0.4593403622600703</v>
      </c>
      <c r="K100" s="4">
        <f t="shared" si="9"/>
        <v>-16991</v>
      </c>
      <c r="L100" s="5">
        <f t="shared" si="10"/>
        <v>-0.84959247962398121</v>
      </c>
      <c r="M100" s="4" t="str">
        <f t="shared" si="11"/>
        <v>Medium Ratings</v>
      </c>
      <c r="N100" s="34">
        <f t="array" ref="N100">MEDIAN(_xlfn._xlws.FILTER(Table4[Original Price],Table4[Brand-Renamed] = Table4[[#This Row],[Brand]]))</f>
        <v>76990</v>
      </c>
      <c r="O100" s="35">
        <f t="array" ref="O100">MEDIAN(_xlfn._xlws.FILTER(Table4[Selling Price],Table4[Brand-Renamed] =Table4[[#This Row],[Brand-Renamed]]))</f>
        <v>36999</v>
      </c>
    </row>
    <row r="101" spans="1:15" ht="13.8" x14ac:dyDescent="0.25">
      <c r="A101" s="6" t="s">
        <v>39</v>
      </c>
      <c r="B101" s="4" t="str">
        <f t="shared" si="6"/>
        <v>Blaupunkt</v>
      </c>
      <c r="C101" s="6" t="s">
        <v>32</v>
      </c>
      <c r="D101" s="6">
        <v>43</v>
      </c>
      <c r="E101" s="6">
        <v>28999</v>
      </c>
      <c r="F101" s="6">
        <v>41999</v>
      </c>
      <c r="G101" s="6" t="s">
        <v>54</v>
      </c>
      <c r="H101" s="6">
        <v>4.7</v>
      </c>
      <c r="I101" s="6">
        <f t="shared" si="7"/>
        <v>13000</v>
      </c>
      <c r="J101">
        <f t="shared" si="8"/>
        <v>0.3095311793137932</v>
      </c>
      <c r="K101" s="6">
        <f t="shared" si="9"/>
        <v>-13000</v>
      </c>
      <c r="L101" s="7">
        <f t="shared" si="10"/>
        <v>-0.44829132039035829</v>
      </c>
      <c r="M101" s="6" t="str">
        <f t="shared" si="11"/>
        <v>Good Ratings</v>
      </c>
      <c r="N101" s="34">
        <f t="array" ref="N101">MEDIAN(_xlfn._xlws.FILTER(Table4[Original Price],Table4[Brand-Renamed] = Table4[[#This Row],[Brand]]))</f>
        <v>40000</v>
      </c>
      <c r="O101" s="35">
        <f t="array" ref="O101">MEDIAN(_xlfn._xlws.FILTER(Table4[Selling Price],Table4[Brand-Renamed] =Table4[[#This Row],[Brand-Renamed]]))</f>
        <v>21999</v>
      </c>
    </row>
    <row r="102" spans="1:15" ht="13.8" x14ac:dyDescent="0.25">
      <c r="A102" s="4" t="s">
        <v>88</v>
      </c>
      <c r="B102" s="4" t="str">
        <f t="shared" si="6"/>
        <v>Thomson</v>
      </c>
      <c r="C102" s="4" t="s">
        <v>32</v>
      </c>
      <c r="D102" s="4">
        <v>43</v>
      </c>
      <c r="E102" s="4">
        <v>22999</v>
      </c>
      <c r="F102" s="4">
        <v>29999</v>
      </c>
      <c r="G102" s="4" t="s">
        <v>54</v>
      </c>
      <c r="H102" s="4">
        <v>4.3</v>
      </c>
      <c r="I102" s="4">
        <f t="shared" si="7"/>
        <v>7000</v>
      </c>
      <c r="J102">
        <f t="shared" si="8"/>
        <v>0.23334111137037902</v>
      </c>
      <c r="K102" s="4">
        <f t="shared" si="9"/>
        <v>-7000</v>
      </c>
      <c r="L102" s="5">
        <f t="shared" si="10"/>
        <v>-0.30436105917648593</v>
      </c>
      <c r="M102" s="4" t="str">
        <f t="shared" si="11"/>
        <v>Medium Ratings</v>
      </c>
      <c r="N102" s="34">
        <f t="array" ref="N102">MEDIAN(_xlfn._xlws.FILTER(Table4[Original Price],Table4[Brand-Renamed] = Table4[[#This Row],[Brand]]))</f>
        <v>28999</v>
      </c>
      <c r="O102" s="35">
        <f t="array" ref="O102">MEDIAN(_xlfn._xlws.FILTER(Table4[Selling Price],Table4[Brand-Renamed] =Table4[[#This Row],[Brand-Renamed]]))</f>
        <v>21749</v>
      </c>
    </row>
    <row r="103" spans="1:15" ht="13.8" x14ac:dyDescent="0.25">
      <c r="A103" s="6" t="s">
        <v>36</v>
      </c>
      <c r="B103" s="4" t="str">
        <f t="shared" si="6"/>
        <v>Adsun</v>
      </c>
      <c r="C103" s="6" t="s">
        <v>19</v>
      </c>
      <c r="D103" s="6">
        <v>32</v>
      </c>
      <c r="E103" s="6">
        <v>8699</v>
      </c>
      <c r="F103" s="6">
        <v>16999</v>
      </c>
      <c r="G103" s="6" t="s">
        <v>54</v>
      </c>
      <c r="H103" s="6">
        <v>3.8</v>
      </c>
      <c r="I103" s="6">
        <f t="shared" si="7"/>
        <v>8300</v>
      </c>
      <c r="J103">
        <f t="shared" si="8"/>
        <v>0.48826401553032533</v>
      </c>
      <c r="K103" s="6">
        <f t="shared" si="9"/>
        <v>-8300</v>
      </c>
      <c r="L103" s="7">
        <f t="shared" si="10"/>
        <v>-0.95413265892631338</v>
      </c>
      <c r="M103" s="6" t="str">
        <f t="shared" si="11"/>
        <v>Medium Ratings</v>
      </c>
      <c r="N103" s="34">
        <f t="array" ref="N103">MEDIAN(_xlfn._xlws.FILTER(Table4[Original Price],Table4[Brand-Renamed] = Table4[[#This Row],[Brand]]))</f>
        <v>21999</v>
      </c>
      <c r="O103" s="35">
        <f t="array" ref="O103">MEDIAN(_xlfn._xlws.FILTER(Table4[Selling Price],Table4[Brand-Renamed] =Table4[[#This Row],[Brand-Renamed]]))</f>
        <v>13699</v>
      </c>
    </row>
    <row r="104" spans="1:15" ht="13.8" x14ac:dyDescent="0.25">
      <c r="A104" s="4" t="s">
        <v>122</v>
      </c>
      <c r="B104" s="4" t="str">
        <f t="shared" si="6"/>
        <v xml:space="preserve">Lg </v>
      </c>
      <c r="C104" s="4" t="s">
        <v>32</v>
      </c>
      <c r="D104" s="4">
        <v>55</v>
      </c>
      <c r="E104" s="4">
        <v>57999</v>
      </c>
      <c r="F104" s="4">
        <v>89990</v>
      </c>
      <c r="G104" s="4" t="s">
        <v>58</v>
      </c>
      <c r="H104" s="4">
        <v>4.5</v>
      </c>
      <c r="I104" s="4">
        <f t="shared" si="7"/>
        <v>31991</v>
      </c>
      <c r="J104">
        <f t="shared" si="8"/>
        <v>0.35549505500611178</v>
      </c>
      <c r="K104" s="4">
        <f t="shared" si="9"/>
        <v>-31991</v>
      </c>
      <c r="L104" s="5">
        <f t="shared" si="10"/>
        <v>-0.55157847549095673</v>
      </c>
      <c r="M104" s="4" t="str">
        <f t="shared" si="11"/>
        <v>Good Ratings</v>
      </c>
      <c r="N104" s="34">
        <f t="array" ref="N104">MEDIAN(_xlfn._xlws.FILTER(Table4[Original Price],Table4[Brand-Renamed] = Table4[[#This Row],[Brand]]))</f>
        <v>98990</v>
      </c>
      <c r="O104" s="35">
        <f t="array" ref="O104">MEDIAN(_xlfn._xlws.FILTER(Table4[Selling Price],Table4[Brand-Renamed] =Table4[[#This Row],[Brand-Renamed]]))</f>
        <v>76737</v>
      </c>
    </row>
    <row r="105" spans="1:15" ht="13.8" x14ac:dyDescent="0.25">
      <c r="A105" s="6" t="s">
        <v>126</v>
      </c>
      <c r="B105" s="4" t="str">
        <f t="shared" si="6"/>
        <v xml:space="preserve">Sony </v>
      </c>
      <c r="C105" s="6" t="s">
        <v>32</v>
      </c>
      <c r="D105" s="6">
        <v>43</v>
      </c>
      <c r="E105" s="6">
        <v>44999</v>
      </c>
      <c r="F105" s="6">
        <v>66900</v>
      </c>
      <c r="G105" s="6" t="s">
        <v>60</v>
      </c>
      <c r="H105" s="6">
        <v>4.5</v>
      </c>
      <c r="I105" s="6">
        <f t="shared" si="7"/>
        <v>21901</v>
      </c>
      <c r="J105">
        <f t="shared" si="8"/>
        <v>0.32736920777279521</v>
      </c>
      <c r="K105" s="6">
        <f t="shared" si="9"/>
        <v>-21901</v>
      </c>
      <c r="L105" s="7">
        <f t="shared" si="10"/>
        <v>-0.48669970443787641</v>
      </c>
      <c r="M105" s="6" t="str">
        <f t="shared" si="11"/>
        <v>Good Ratings</v>
      </c>
      <c r="N105" s="34">
        <f t="array" ref="N105">MEDIAN(_xlfn._xlws.FILTER(Table4[Original Price],Table4[Brand-Renamed] = Table4[[#This Row],[Brand]]))</f>
        <v>87400</v>
      </c>
      <c r="O105" s="35">
        <f t="array" ref="O105">MEDIAN(_xlfn._xlws.FILTER(Table4[Selling Price],Table4[Brand-Renamed] =Table4[[#This Row],[Brand-Renamed]]))</f>
        <v>64294.5</v>
      </c>
    </row>
    <row r="106" spans="1:15" ht="13.8" x14ac:dyDescent="0.25">
      <c r="A106" s="4" t="s">
        <v>125</v>
      </c>
      <c r="B106" s="4" t="str">
        <f t="shared" si="6"/>
        <v>Samsung</v>
      </c>
      <c r="C106" s="4" t="s">
        <v>29</v>
      </c>
      <c r="D106" s="4">
        <v>50</v>
      </c>
      <c r="E106" s="4">
        <v>84999</v>
      </c>
      <c r="F106" s="4">
        <v>119900</v>
      </c>
      <c r="G106" s="4" t="s">
        <v>56</v>
      </c>
      <c r="H106" s="4">
        <v>4.8</v>
      </c>
      <c r="I106" s="4">
        <f t="shared" si="7"/>
        <v>34901</v>
      </c>
      <c r="J106">
        <f t="shared" si="8"/>
        <v>0.29108423686405338</v>
      </c>
      <c r="K106" s="4">
        <f t="shared" si="9"/>
        <v>-34901</v>
      </c>
      <c r="L106" s="5">
        <f t="shared" si="10"/>
        <v>-0.41060483064506642</v>
      </c>
      <c r="M106" s="4" t="str">
        <f t="shared" si="11"/>
        <v>Good Ratings</v>
      </c>
      <c r="N106" s="34">
        <f t="array" ref="N106">MEDIAN(_xlfn._xlws.FILTER(Table4[Original Price],Table4[Brand-Renamed] = Table4[[#This Row],[Brand]]))</f>
        <v>100945</v>
      </c>
      <c r="O106" s="35">
        <f t="array" ref="O106">MEDIAN(_xlfn._xlws.FILTER(Table4[Selling Price],Table4[Brand-Renamed] =Table4[[#This Row],[Brand-Renamed]]))</f>
        <v>74490</v>
      </c>
    </row>
    <row r="107" spans="1:15" ht="13.8" x14ac:dyDescent="0.25">
      <c r="A107" s="6" t="s">
        <v>119</v>
      </c>
      <c r="B107" s="4" t="str">
        <f t="shared" si="6"/>
        <v xml:space="preserve">Tcl </v>
      </c>
      <c r="C107" s="6" t="s">
        <v>32</v>
      </c>
      <c r="D107" s="6">
        <v>55</v>
      </c>
      <c r="E107" s="6">
        <v>39999</v>
      </c>
      <c r="F107" s="6">
        <v>75990</v>
      </c>
      <c r="G107" s="6" t="s">
        <v>54</v>
      </c>
      <c r="H107" s="6">
        <v>4.4000000000000004</v>
      </c>
      <c r="I107" s="6">
        <f t="shared" si="7"/>
        <v>35991</v>
      </c>
      <c r="J107">
        <f t="shared" si="8"/>
        <v>0.47362810896170549</v>
      </c>
      <c r="K107" s="6">
        <f t="shared" si="9"/>
        <v>-35991</v>
      </c>
      <c r="L107" s="7">
        <f t="shared" si="10"/>
        <v>-0.89979749493737349</v>
      </c>
      <c r="M107" s="6" t="str">
        <f t="shared" si="11"/>
        <v>Medium Ratings</v>
      </c>
      <c r="N107" s="34">
        <f t="array" ref="N107">MEDIAN(_xlfn._xlws.FILTER(Table4[Original Price],Table4[Brand-Renamed] = Table4[[#This Row],[Brand]]))</f>
        <v>77990</v>
      </c>
      <c r="O107" s="35">
        <f t="array" ref="O107">MEDIAN(_xlfn._xlws.FILTER(Table4[Selling Price],Table4[Brand-Renamed] =Table4[[#This Row],[Brand-Renamed]]))</f>
        <v>40999</v>
      </c>
    </row>
    <row r="108" spans="1:15" ht="13.8" x14ac:dyDescent="0.25">
      <c r="A108" s="4" t="s">
        <v>35</v>
      </c>
      <c r="B108" s="4" t="str">
        <f t="shared" si="6"/>
        <v>Acer</v>
      </c>
      <c r="C108" s="4" t="s">
        <v>32</v>
      </c>
      <c r="D108" s="4">
        <v>58</v>
      </c>
      <c r="E108" s="4">
        <v>38999</v>
      </c>
      <c r="F108" s="4">
        <v>59990</v>
      </c>
      <c r="G108" s="4" t="s">
        <v>54</v>
      </c>
      <c r="H108" s="4">
        <v>4</v>
      </c>
      <c r="I108" s="4">
        <f t="shared" si="7"/>
        <v>20991</v>
      </c>
      <c r="J108">
        <f t="shared" si="8"/>
        <v>0.34990831805300882</v>
      </c>
      <c r="K108" s="4">
        <f t="shared" si="9"/>
        <v>-20991</v>
      </c>
      <c r="L108" s="5">
        <f t="shared" si="10"/>
        <v>-0.5382445703735993</v>
      </c>
      <c r="M108" s="4" t="str">
        <f t="shared" si="11"/>
        <v>Medium Ratings</v>
      </c>
      <c r="N108" s="34">
        <f t="array" ref="N108">MEDIAN(_xlfn._xlws.FILTER(Table4[Original Price],Table4[Brand-Renamed] = Table4[[#This Row],[Brand]]))</f>
        <v>34990</v>
      </c>
      <c r="O108" s="35">
        <f t="array" ref="O108">MEDIAN(_xlfn._xlws.FILTER(Table4[Selling Price],Table4[Brand-Renamed] =Table4[[#This Row],[Brand-Renamed]]))</f>
        <v>34990</v>
      </c>
    </row>
    <row r="109" spans="1:15" ht="13.8" x14ac:dyDescent="0.25">
      <c r="A109" s="6" t="s">
        <v>88</v>
      </c>
      <c r="B109" s="4" t="str">
        <f t="shared" si="6"/>
        <v>Thomson</v>
      </c>
      <c r="C109" s="6" t="s">
        <v>32</v>
      </c>
      <c r="D109" s="6">
        <v>43</v>
      </c>
      <c r="E109" s="6">
        <v>27999</v>
      </c>
      <c r="F109" s="6">
        <v>37999</v>
      </c>
      <c r="G109" s="6" t="s">
        <v>54</v>
      </c>
      <c r="H109" s="6">
        <v>4.4000000000000004</v>
      </c>
      <c r="I109" s="6">
        <f t="shared" si="7"/>
        <v>10000</v>
      </c>
      <c r="J109">
        <f t="shared" si="8"/>
        <v>0.26316482012684544</v>
      </c>
      <c r="K109" s="6">
        <f t="shared" si="9"/>
        <v>-10000</v>
      </c>
      <c r="L109" s="7">
        <f t="shared" si="10"/>
        <v>-0.3571556127004536</v>
      </c>
      <c r="M109" s="6" t="str">
        <f t="shared" si="11"/>
        <v>Medium Ratings</v>
      </c>
      <c r="N109" s="34">
        <f t="array" ref="N109">MEDIAN(_xlfn._xlws.FILTER(Table4[Original Price],Table4[Brand-Renamed] = Table4[[#This Row],[Brand]]))</f>
        <v>28999</v>
      </c>
      <c r="O109" s="35">
        <f t="array" ref="O109">MEDIAN(_xlfn._xlws.FILTER(Table4[Selling Price],Table4[Brand-Renamed] =Table4[[#This Row],[Brand-Renamed]]))</f>
        <v>21749</v>
      </c>
    </row>
    <row r="110" spans="1:15" ht="13.8" x14ac:dyDescent="0.25">
      <c r="A110" s="4" t="s">
        <v>125</v>
      </c>
      <c r="B110" s="4" t="str">
        <f t="shared" si="6"/>
        <v>Samsung</v>
      </c>
      <c r="C110" s="4" t="s">
        <v>29</v>
      </c>
      <c r="D110" s="4">
        <v>50</v>
      </c>
      <c r="E110" s="4">
        <v>68999</v>
      </c>
      <c r="F110" s="4">
        <v>112900</v>
      </c>
      <c r="G110" s="4" t="s">
        <v>56</v>
      </c>
      <c r="H110" s="4">
        <v>4.5</v>
      </c>
      <c r="I110" s="4">
        <f t="shared" si="7"/>
        <v>43901</v>
      </c>
      <c r="J110">
        <f t="shared" si="8"/>
        <v>0.38884853852967227</v>
      </c>
      <c r="K110" s="4">
        <f t="shared" si="9"/>
        <v>-43901</v>
      </c>
      <c r="L110" s="5">
        <f t="shared" si="10"/>
        <v>-0.63625559790721609</v>
      </c>
      <c r="M110" s="4" t="str">
        <f t="shared" si="11"/>
        <v>Good Ratings</v>
      </c>
      <c r="N110" s="34">
        <f t="array" ref="N110">MEDIAN(_xlfn._xlws.FILTER(Table4[Original Price],Table4[Brand-Renamed] = Table4[[#This Row],[Brand]]))</f>
        <v>100945</v>
      </c>
      <c r="O110" s="35">
        <f t="array" ref="O110">MEDIAN(_xlfn._xlws.FILTER(Table4[Selling Price],Table4[Brand-Renamed] =Table4[[#This Row],[Brand-Renamed]]))</f>
        <v>74490</v>
      </c>
    </row>
    <row r="111" spans="1:15" ht="13.8" x14ac:dyDescent="0.25">
      <c r="A111" s="6" t="s">
        <v>15</v>
      </c>
      <c r="B111" s="4" t="str">
        <f t="shared" si="6"/>
        <v>Vu</v>
      </c>
      <c r="C111" s="6" t="s">
        <v>32</v>
      </c>
      <c r="D111" s="6">
        <v>65</v>
      </c>
      <c r="E111" s="6">
        <v>56999</v>
      </c>
      <c r="F111" s="6">
        <v>75000</v>
      </c>
      <c r="G111" s="6" t="s">
        <v>54</v>
      </c>
      <c r="H111" s="6">
        <v>4.4000000000000004</v>
      </c>
      <c r="I111" s="6">
        <f t="shared" si="7"/>
        <v>18001</v>
      </c>
      <c r="J111">
        <f t="shared" si="8"/>
        <v>0.24001333333333333</v>
      </c>
      <c r="K111" s="6">
        <f t="shared" si="9"/>
        <v>-18001</v>
      </c>
      <c r="L111" s="7">
        <f t="shared" si="10"/>
        <v>-0.31581255811505465</v>
      </c>
      <c r="M111" s="6" t="str">
        <f t="shared" si="11"/>
        <v>Medium Ratings</v>
      </c>
      <c r="N111" s="34">
        <f t="array" ref="N111">MEDIAN(_xlfn._xlws.FILTER(Table4[Original Price],Table4[Brand-Renamed] = Table4[[#This Row],[Brand]]))</f>
        <v>49990</v>
      </c>
      <c r="O111" s="35">
        <f t="array" ref="O111">MEDIAN(_xlfn._xlws.FILTER(Table4[Selling Price],Table4[Brand-Renamed] =Table4[[#This Row],[Brand-Renamed]]))</f>
        <v>30999</v>
      </c>
    </row>
    <row r="112" spans="1:15" ht="13.8" x14ac:dyDescent="0.25">
      <c r="A112" s="4" t="s">
        <v>119</v>
      </c>
      <c r="B112" s="4" t="str">
        <f t="shared" si="6"/>
        <v xml:space="preserve">Tcl </v>
      </c>
      <c r="C112" s="4" t="s">
        <v>19</v>
      </c>
      <c r="D112" s="4">
        <v>32</v>
      </c>
      <c r="E112" s="4">
        <v>16499</v>
      </c>
      <c r="F112" s="4">
        <v>29990</v>
      </c>
      <c r="G112" s="4" t="s">
        <v>54</v>
      </c>
      <c r="H112" s="4">
        <v>4.2</v>
      </c>
      <c r="I112" s="4">
        <f t="shared" si="7"/>
        <v>13491</v>
      </c>
      <c r="J112">
        <f t="shared" si="8"/>
        <v>0.44984994998332778</v>
      </c>
      <c r="K112" s="4">
        <f t="shared" si="9"/>
        <v>-13491</v>
      </c>
      <c r="L112" s="5">
        <f t="shared" si="10"/>
        <v>-0.8176859203588096</v>
      </c>
      <c r="M112" s="4" t="str">
        <f t="shared" si="11"/>
        <v>Medium Ratings</v>
      </c>
      <c r="N112" s="34">
        <f t="array" ref="N112">MEDIAN(_xlfn._xlws.FILTER(Table4[Original Price],Table4[Brand-Renamed] = Table4[[#This Row],[Brand]]))</f>
        <v>77990</v>
      </c>
      <c r="O112" s="35">
        <f t="array" ref="O112">MEDIAN(_xlfn._xlws.FILTER(Table4[Selling Price],Table4[Brand-Renamed] =Table4[[#This Row],[Brand-Renamed]]))</f>
        <v>40999</v>
      </c>
    </row>
    <row r="113" spans="1:15" ht="13.8" x14ac:dyDescent="0.25">
      <c r="A113" s="6" t="s">
        <v>18</v>
      </c>
      <c r="B113" s="4" t="str">
        <f t="shared" si="6"/>
        <v>Hisense</v>
      </c>
      <c r="C113" s="6" t="s">
        <v>32</v>
      </c>
      <c r="D113" s="6">
        <v>43</v>
      </c>
      <c r="E113" s="6">
        <v>29990</v>
      </c>
      <c r="F113" s="6">
        <v>36990</v>
      </c>
      <c r="G113" s="6" t="s">
        <v>54</v>
      </c>
      <c r="H113" s="6">
        <v>4.3</v>
      </c>
      <c r="I113" s="6">
        <f t="shared" si="7"/>
        <v>7000</v>
      </c>
      <c r="J113">
        <f t="shared" si="8"/>
        <v>0.18924033522573669</v>
      </c>
      <c r="K113" s="6">
        <f t="shared" si="9"/>
        <v>-7000</v>
      </c>
      <c r="L113" s="7">
        <f t="shared" si="10"/>
        <v>-0.23341113704568189</v>
      </c>
      <c r="M113" s="6" t="str">
        <f t="shared" si="11"/>
        <v>Medium Ratings</v>
      </c>
      <c r="N113" s="34">
        <f t="array" ref="N113">MEDIAN(_xlfn._xlws.FILTER(Table4[Original Price],Table4[Brand-Renamed] = Table4[[#This Row],[Brand]]))</f>
        <v>50490</v>
      </c>
      <c r="O113" s="35">
        <f t="array" ref="O113">MEDIAN(_xlfn._xlws.FILTER(Table4[Selling Price],Table4[Brand-Renamed] =Table4[[#This Row],[Brand-Renamed]]))</f>
        <v>39499</v>
      </c>
    </row>
    <row r="114" spans="1:15" ht="13.8" x14ac:dyDescent="0.25">
      <c r="A114" s="4" t="s">
        <v>127</v>
      </c>
      <c r="B114" s="4" t="str">
        <f t="shared" si="6"/>
        <v xml:space="preserve">Kodak </v>
      </c>
      <c r="C114" s="4" t="s">
        <v>32</v>
      </c>
      <c r="D114" s="4">
        <v>55</v>
      </c>
      <c r="E114" s="4">
        <v>34499</v>
      </c>
      <c r="F114" s="4">
        <v>39990</v>
      </c>
      <c r="G114" s="4" t="s">
        <v>54</v>
      </c>
      <c r="H114" s="4">
        <v>4.3</v>
      </c>
      <c r="I114" s="4">
        <f t="shared" si="7"/>
        <v>5491</v>
      </c>
      <c r="J114">
        <f t="shared" si="8"/>
        <v>0.13730932733183296</v>
      </c>
      <c r="K114" s="4">
        <f t="shared" si="9"/>
        <v>-5491</v>
      </c>
      <c r="L114" s="5">
        <f t="shared" si="10"/>
        <v>-0.1591640337401084</v>
      </c>
      <c r="M114" s="4" t="str">
        <f t="shared" si="11"/>
        <v>Medium Ratings</v>
      </c>
      <c r="N114" s="34">
        <f t="array" ref="N114">MEDIAN(_xlfn._xlws.FILTER(Table4[Original Price],Table4[Brand-Renamed] = Table4[[#This Row],[Brand]]))</f>
        <v>31990</v>
      </c>
      <c r="O114" s="35">
        <f t="array" ref="O114">MEDIAN(_xlfn._xlws.FILTER(Table4[Selling Price],Table4[Brand-Renamed] =Table4[[#This Row],[Brand-Renamed]]))</f>
        <v>22499</v>
      </c>
    </row>
    <row r="115" spans="1:15" ht="13.8" x14ac:dyDescent="0.25">
      <c r="A115" s="6" t="s">
        <v>126</v>
      </c>
      <c r="B115" s="4" t="str">
        <f t="shared" si="6"/>
        <v xml:space="preserve">Sony </v>
      </c>
      <c r="C115" s="6" t="s">
        <v>8</v>
      </c>
      <c r="D115" s="6">
        <v>43</v>
      </c>
      <c r="E115" s="6">
        <v>44900</v>
      </c>
      <c r="F115" s="6">
        <v>44900</v>
      </c>
      <c r="G115" s="6" t="s">
        <v>60</v>
      </c>
      <c r="H115" s="6">
        <v>4.5999999999999996</v>
      </c>
      <c r="I115" s="6">
        <f t="shared" si="7"/>
        <v>0</v>
      </c>
      <c r="J115" t="str">
        <f t="shared" si="8"/>
        <v>Discount Not Applied</v>
      </c>
      <c r="K115" s="6">
        <f t="shared" si="9"/>
        <v>0</v>
      </c>
      <c r="L115" s="7">
        <f t="shared" si="10"/>
        <v>0</v>
      </c>
      <c r="M115" s="6" t="str">
        <f t="shared" si="11"/>
        <v>Good Ratings</v>
      </c>
      <c r="N115" s="34">
        <f t="array" ref="N115">MEDIAN(_xlfn._xlws.FILTER(Table4[Original Price],Table4[Brand-Renamed] = Table4[[#This Row],[Brand]]))</f>
        <v>87400</v>
      </c>
      <c r="O115" s="35">
        <f t="array" ref="O115">MEDIAN(_xlfn._xlws.FILTER(Table4[Selling Price],Table4[Brand-Renamed] =Table4[[#This Row],[Brand-Renamed]]))</f>
        <v>64294.5</v>
      </c>
    </row>
    <row r="116" spans="1:15" ht="13.8" x14ac:dyDescent="0.25">
      <c r="A116" s="4" t="s">
        <v>39</v>
      </c>
      <c r="B116" s="4" t="str">
        <f t="shared" si="6"/>
        <v>Blaupunkt</v>
      </c>
      <c r="C116" s="4" t="s">
        <v>32</v>
      </c>
      <c r="D116" s="4">
        <v>55</v>
      </c>
      <c r="E116" s="4">
        <v>39999</v>
      </c>
      <c r="F116" s="4">
        <v>55999</v>
      </c>
      <c r="G116" s="4" t="s">
        <v>54</v>
      </c>
      <c r="H116" s="4">
        <v>4.7</v>
      </c>
      <c r="I116" s="4">
        <f t="shared" si="7"/>
        <v>16000</v>
      </c>
      <c r="J116">
        <f t="shared" si="8"/>
        <v>0.28571938784621154</v>
      </c>
      <c r="K116" s="4">
        <f t="shared" si="9"/>
        <v>-16000</v>
      </c>
      <c r="L116" s="5">
        <f t="shared" si="10"/>
        <v>-0.40001000025000627</v>
      </c>
      <c r="M116" s="4" t="str">
        <f t="shared" si="11"/>
        <v>Good Ratings</v>
      </c>
      <c r="N116" s="34">
        <f t="array" ref="N116">MEDIAN(_xlfn._xlws.FILTER(Table4[Original Price],Table4[Brand-Renamed] = Table4[[#This Row],[Brand]]))</f>
        <v>40000</v>
      </c>
      <c r="O116" s="35">
        <f t="array" ref="O116">MEDIAN(_xlfn._xlws.FILTER(Table4[Selling Price],Table4[Brand-Renamed] =Table4[[#This Row],[Brand-Renamed]]))</f>
        <v>21999</v>
      </c>
    </row>
    <row r="117" spans="1:15" ht="13.8" x14ac:dyDescent="0.25">
      <c r="A117" s="6" t="s">
        <v>88</v>
      </c>
      <c r="B117" s="4" t="str">
        <f t="shared" si="6"/>
        <v>Thomson</v>
      </c>
      <c r="C117" s="6" t="s">
        <v>19</v>
      </c>
      <c r="D117" s="6">
        <v>32</v>
      </c>
      <c r="E117" s="6">
        <v>11999</v>
      </c>
      <c r="F117" s="6">
        <v>14990</v>
      </c>
      <c r="G117" s="6" t="s">
        <v>54</v>
      </c>
      <c r="H117" s="6">
        <v>4.0999999999999996</v>
      </c>
      <c r="I117" s="6">
        <f t="shared" si="7"/>
        <v>2991</v>
      </c>
      <c r="J117">
        <f t="shared" si="8"/>
        <v>0.19953302201467646</v>
      </c>
      <c r="K117" s="6">
        <f t="shared" si="9"/>
        <v>-2991</v>
      </c>
      <c r="L117" s="7">
        <f t="shared" si="10"/>
        <v>-0.24927077256438038</v>
      </c>
      <c r="M117" s="6" t="str">
        <f t="shared" si="11"/>
        <v>Medium Ratings</v>
      </c>
      <c r="N117" s="34">
        <f t="array" ref="N117">MEDIAN(_xlfn._xlws.FILTER(Table4[Original Price],Table4[Brand-Renamed] = Table4[[#This Row],[Brand]]))</f>
        <v>28999</v>
      </c>
      <c r="O117" s="35">
        <f t="array" ref="O117">MEDIAN(_xlfn._xlws.FILTER(Table4[Selling Price],Table4[Brand-Renamed] =Table4[[#This Row],[Brand-Renamed]]))</f>
        <v>21749</v>
      </c>
    </row>
    <row r="118" spans="1:15" ht="13.8" x14ac:dyDescent="0.25">
      <c r="A118" s="4" t="s">
        <v>18</v>
      </c>
      <c r="B118" s="4" t="str">
        <f t="shared" si="6"/>
        <v>Hisense</v>
      </c>
      <c r="C118" s="4" t="s">
        <v>32</v>
      </c>
      <c r="D118" s="4">
        <v>43</v>
      </c>
      <c r="E118" s="4">
        <v>30999</v>
      </c>
      <c r="F118" s="4">
        <v>36990</v>
      </c>
      <c r="G118" s="4" t="s">
        <v>54</v>
      </c>
      <c r="H118" s="4">
        <v>4.4000000000000004</v>
      </c>
      <c r="I118" s="4">
        <f t="shared" si="7"/>
        <v>5991</v>
      </c>
      <c r="J118">
        <f t="shared" si="8"/>
        <v>0.16196269261962692</v>
      </c>
      <c r="K118" s="4">
        <f t="shared" si="9"/>
        <v>-5991</v>
      </c>
      <c r="L118" s="5">
        <f t="shared" si="10"/>
        <v>-0.19326429884834995</v>
      </c>
      <c r="M118" s="4" t="str">
        <f t="shared" si="11"/>
        <v>Medium Ratings</v>
      </c>
      <c r="N118" s="34">
        <f t="array" ref="N118">MEDIAN(_xlfn._xlws.FILTER(Table4[Original Price],Table4[Brand-Renamed] = Table4[[#This Row],[Brand]]))</f>
        <v>50490</v>
      </c>
      <c r="O118" s="35">
        <f t="array" ref="O118">MEDIAN(_xlfn._xlws.FILTER(Table4[Selling Price],Table4[Brand-Renamed] =Table4[[#This Row],[Brand-Renamed]]))</f>
        <v>39499</v>
      </c>
    </row>
    <row r="119" spans="1:15" ht="13.8" x14ac:dyDescent="0.25">
      <c r="A119" s="6" t="s">
        <v>125</v>
      </c>
      <c r="B119" s="4" t="str">
        <f t="shared" si="6"/>
        <v>Samsung</v>
      </c>
      <c r="C119" s="6" t="s">
        <v>8</v>
      </c>
      <c r="D119" s="6">
        <v>43</v>
      </c>
      <c r="E119" s="6">
        <v>32999</v>
      </c>
      <c r="F119" s="6">
        <v>53900</v>
      </c>
      <c r="G119" s="6" t="s">
        <v>56</v>
      </c>
      <c r="H119" s="6">
        <v>4.4000000000000004</v>
      </c>
      <c r="I119" s="6">
        <f t="shared" si="7"/>
        <v>20901</v>
      </c>
      <c r="J119">
        <f t="shared" si="8"/>
        <v>0.38777365491651206</v>
      </c>
      <c r="K119" s="6">
        <f t="shared" si="9"/>
        <v>-20901</v>
      </c>
      <c r="L119" s="7">
        <f t="shared" si="10"/>
        <v>-0.63338282978272065</v>
      </c>
      <c r="M119" s="6" t="str">
        <f t="shared" si="11"/>
        <v>Medium Ratings</v>
      </c>
      <c r="N119" s="34">
        <f t="array" ref="N119">MEDIAN(_xlfn._xlws.FILTER(Table4[Original Price],Table4[Brand-Renamed] = Table4[[#This Row],[Brand]]))</f>
        <v>100945</v>
      </c>
      <c r="O119" s="35">
        <f t="array" ref="O119">MEDIAN(_xlfn._xlws.FILTER(Table4[Selling Price],Table4[Brand-Renamed] =Table4[[#This Row],[Brand-Renamed]]))</f>
        <v>74490</v>
      </c>
    </row>
    <row r="120" spans="1:15" ht="13.8" x14ac:dyDescent="0.25">
      <c r="A120" s="4" t="s">
        <v>125</v>
      </c>
      <c r="B120" s="4" t="str">
        <f t="shared" si="6"/>
        <v>Samsung</v>
      </c>
      <c r="C120" s="4" t="s">
        <v>8</v>
      </c>
      <c r="D120" s="4">
        <v>43</v>
      </c>
      <c r="E120" s="4">
        <v>36580</v>
      </c>
      <c r="F120" s="4">
        <v>39900</v>
      </c>
      <c r="G120" s="4" t="s">
        <v>56</v>
      </c>
      <c r="H120" s="4">
        <v>4.3</v>
      </c>
      <c r="I120" s="4">
        <f t="shared" si="7"/>
        <v>3320</v>
      </c>
      <c r="J120">
        <f t="shared" si="8"/>
        <v>8.3208020050125314E-2</v>
      </c>
      <c r="K120" s="4">
        <f t="shared" si="9"/>
        <v>-3320</v>
      </c>
      <c r="L120" s="5">
        <f t="shared" si="10"/>
        <v>-9.0759978130125749E-2</v>
      </c>
      <c r="M120" s="4" t="str">
        <f t="shared" si="11"/>
        <v>Medium Ratings</v>
      </c>
      <c r="N120" s="34">
        <f t="array" ref="N120">MEDIAN(_xlfn._xlws.FILTER(Table4[Original Price],Table4[Brand-Renamed] = Table4[[#This Row],[Brand]]))</f>
        <v>100945</v>
      </c>
      <c r="O120" s="35">
        <f t="array" ref="O120">MEDIAN(_xlfn._xlws.FILTER(Table4[Selling Price],Table4[Brand-Renamed] =Table4[[#This Row],[Brand-Renamed]]))</f>
        <v>74490</v>
      </c>
    </row>
    <row r="121" spans="1:15" ht="13.8" x14ac:dyDescent="0.25">
      <c r="A121" s="6" t="s">
        <v>127</v>
      </c>
      <c r="B121" s="4" t="str">
        <f t="shared" si="6"/>
        <v xml:space="preserve">Kodak </v>
      </c>
      <c r="C121" s="6" t="s">
        <v>19</v>
      </c>
      <c r="D121" s="6">
        <v>24</v>
      </c>
      <c r="E121" s="6">
        <v>8499</v>
      </c>
      <c r="F121" s="6">
        <v>10499</v>
      </c>
      <c r="G121" s="6" t="s">
        <v>54</v>
      </c>
      <c r="H121" s="6">
        <v>4</v>
      </c>
      <c r="I121" s="6">
        <f t="shared" si="7"/>
        <v>2000</v>
      </c>
      <c r="J121">
        <f t="shared" si="8"/>
        <v>0.1904943327935994</v>
      </c>
      <c r="K121" s="6">
        <f t="shared" si="9"/>
        <v>-2000</v>
      </c>
      <c r="L121" s="7">
        <f t="shared" si="10"/>
        <v>-0.23532180256500765</v>
      </c>
      <c r="M121" s="6" t="str">
        <f t="shared" si="11"/>
        <v>Medium Ratings</v>
      </c>
      <c r="N121" s="34">
        <f t="array" ref="N121">MEDIAN(_xlfn._xlws.FILTER(Table4[Original Price],Table4[Brand-Renamed] = Table4[[#This Row],[Brand]]))</f>
        <v>31990</v>
      </c>
      <c r="O121" s="35">
        <f t="array" ref="O121">MEDIAN(_xlfn._xlws.FILTER(Table4[Selling Price],Table4[Brand-Renamed] =Table4[[#This Row],[Brand-Renamed]]))</f>
        <v>22499</v>
      </c>
    </row>
    <row r="122" spans="1:15" ht="13.8" x14ac:dyDescent="0.25">
      <c r="A122" s="4" t="s">
        <v>88</v>
      </c>
      <c r="B122" s="4" t="str">
        <f t="shared" si="6"/>
        <v>Thomson</v>
      </c>
      <c r="C122" s="4" t="s">
        <v>32</v>
      </c>
      <c r="D122" s="4">
        <v>55</v>
      </c>
      <c r="E122" s="4">
        <v>34999</v>
      </c>
      <c r="F122" s="4">
        <v>46999</v>
      </c>
      <c r="G122" s="4" t="s">
        <v>54</v>
      </c>
      <c r="H122" s="4">
        <v>4.3</v>
      </c>
      <c r="I122" s="4">
        <f t="shared" si="7"/>
        <v>12000</v>
      </c>
      <c r="J122">
        <f t="shared" si="8"/>
        <v>0.25532458137407177</v>
      </c>
      <c r="K122" s="4">
        <f t="shared" si="9"/>
        <v>-12000</v>
      </c>
      <c r="L122" s="5">
        <f t="shared" si="10"/>
        <v>-0.34286693905540161</v>
      </c>
      <c r="M122" s="4" t="str">
        <f t="shared" si="11"/>
        <v>Medium Ratings</v>
      </c>
      <c r="N122" s="34">
        <f t="array" ref="N122">MEDIAN(_xlfn._xlws.FILTER(Table4[Original Price],Table4[Brand-Renamed] = Table4[[#This Row],[Brand]]))</f>
        <v>28999</v>
      </c>
      <c r="O122" s="35">
        <f t="array" ref="O122">MEDIAN(_xlfn._xlws.FILTER(Table4[Selling Price],Table4[Brand-Renamed] =Table4[[#This Row],[Brand-Renamed]]))</f>
        <v>21749</v>
      </c>
    </row>
    <row r="123" spans="1:15" ht="13.8" x14ac:dyDescent="0.25">
      <c r="A123" s="6" t="s">
        <v>126</v>
      </c>
      <c r="B123" s="4" t="str">
        <f t="shared" si="6"/>
        <v xml:space="preserve">Sony </v>
      </c>
      <c r="C123" s="6" t="s">
        <v>32</v>
      </c>
      <c r="D123" s="6">
        <v>43</v>
      </c>
      <c r="E123" s="6">
        <v>56720</v>
      </c>
      <c r="F123" s="6">
        <v>72900</v>
      </c>
      <c r="G123" s="6" t="s">
        <v>60</v>
      </c>
      <c r="H123" s="6">
        <v>4.8</v>
      </c>
      <c r="I123" s="6">
        <f t="shared" si="7"/>
        <v>16180</v>
      </c>
      <c r="J123">
        <f t="shared" si="8"/>
        <v>0.22194787379972566</v>
      </c>
      <c r="K123" s="6">
        <f t="shared" si="9"/>
        <v>-16180</v>
      </c>
      <c r="L123" s="7">
        <f t="shared" si="10"/>
        <v>-0.28526093088857546</v>
      </c>
      <c r="M123" s="6" t="str">
        <f t="shared" si="11"/>
        <v>Good Ratings</v>
      </c>
      <c r="N123" s="34">
        <f t="array" ref="N123">MEDIAN(_xlfn._xlws.FILTER(Table4[Original Price],Table4[Brand-Renamed] = Table4[[#This Row],[Brand]]))</f>
        <v>87400</v>
      </c>
      <c r="O123" s="35">
        <f t="array" ref="O123">MEDIAN(_xlfn._xlws.FILTER(Table4[Selling Price],Table4[Brand-Renamed] =Table4[[#This Row],[Brand-Renamed]]))</f>
        <v>64294.5</v>
      </c>
    </row>
    <row r="124" spans="1:15" ht="13.8" x14ac:dyDescent="0.25">
      <c r="A124" s="4" t="s">
        <v>90</v>
      </c>
      <c r="B124" s="4" t="str">
        <f t="shared" si="6"/>
        <v>T-Series</v>
      </c>
      <c r="C124" s="4" t="s">
        <v>19</v>
      </c>
      <c r="D124" s="4">
        <v>24</v>
      </c>
      <c r="E124" s="4">
        <v>9990</v>
      </c>
      <c r="F124" s="4">
        <v>12990</v>
      </c>
      <c r="G124" s="4" t="s">
        <v>54</v>
      </c>
      <c r="H124" s="4"/>
      <c r="I124" s="4">
        <f t="shared" si="7"/>
        <v>3000</v>
      </c>
      <c r="J124">
        <f t="shared" si="8"/>
        <v>0.23094688221709006</v>
      </c>
      <c r="K124" s="4">
        <f t="shared" si="9"/>
        <v>-3000</v>
      </c>
      <c r="L124" s="5">
        <f t="shared" si="10"/>
        <v>-0.3003003003003003</v>
      </c>
      <c r="M124" s="4" t="str">
        <f t="shared" si="11"/>
        <v>Ratings Not Given</v>
      </c>
      <c r="N124" s="34">
        <f t="array" ref="N124">MEDIAN(_xlfn._xlws.FILTER(Table4[Original Price],Table4[Brand-Renamed] = Table4[[#This Row],[Brand]]))</f>
        <v>20990</v>
      </c>
      <c r="O124" s="35">
        <f t="array" ref="O124">MEDIAN(_xlfn._xlws.FILTER(Table4[Selling Price],Table4[Brand-Renamed] =Table4[[#This Row],[Brand-Renamed]]))</f>
        <v>16499</v>
      </c>
    </row>
    <row r="125" spans="1:15" ht="13.8" x14ac:dyDescent="0.25">
      <c r="A125" s="6" t="s">
        <v>128</v>
      </c>
      <c r="B125" s="4" t="str">
        <f t="shared" si="6"/>
        <v>Motorola</v>
      </c>
      <c r="C125" s="6" t="s">
        <v>19</v>
      </c>
      <c r="D125" s="6">
        <v>32</v>
      </c>
      <c r="E125" s="6">
        <v>17999</v>
      </c>
      <c r="F125" s="6">
        <v>21799</v>
      </c>
      <c r="G125" s="6" t="s">
        <v>54</v>
      </c>
      <c r="H125" s="6">
        <v>4.3</v>
      </c>
      <c r="I125" s="6">
        <f t="shared" si="7"/>
        <v>3800</v>
      </c>
      <c r="J125">
        <f t="shared" si="8"/>
        <v>0.1743199229322446</v>
      </c>
      <c r="K125" s="6">
        <f t="shared" si="9"/>
        <v>-3800</v>
      </c>
      <c r="L125" s="7">
        <f t="shared" si="10"/>
        <v>-0.21112284015778654</v>
      </c>
      <c r="M125" s="6" t="str">
        <f t="shared" si="11"/>
        <v>Medium Ratings</v>
      </c>
      <c r="N125" s="34">
        <f t="array" ref="N125">MEDIAN(_xlfn._xlws.FILTER(Table4[Original Price],Table4[Brand-Renamed] = Table4[[#This Row],[Brand]]))</f>
        <v>54050</v>
      </c>
      <c r="O125" s="35">
        <f t="array" ref="O125">MEDIAN(_xlfn._xlws.FILTER(Table4[Selling Price],Table4[Brand-Renamed] =Table4[[#This Row],[Brand-Renamed]]))</f>
        <v>35999</v>
      </c>
    </row>
    <row r="126" spans="1:15" ht="13.8" x14ac:dyDescent="0.25">
      <c r="A126" s="4" t="s">
        <v>13</v>
      </c>
      <c r="B126" s="4" t="str">
        <f t="shared" si="6"/>
        <v>Panasonic</v>
      </c>
      <c r="C126" s="4" t="s">
        <v>32</v>
      </c>
      <c r="D126" s="4">
        <v>50</v>
      </c>
      <c r="E126" s="4">
        <v>37999</v>
      </c>
      <c r="F126" s="4">
        <v>42990</v>
      </c>
      <c r="G126" s="4" t="s">
        <v>54</v>
      </c>
      <c r="H126" s="4">
        <v>4.2</v>
      </c>
      <c r="I126" s="4">
        <f t="shared" si="7"/>
        <v>4991</v>
      </c>
      <c r="J126">
        <f t="shared" si="8"/>
        <v>0.1160967666899279</v>
      </c>
      <c r="K126" s="4">
        <f t="shared" si="9"/>
        <v>-4991</v>
      </c>
      <c r="L126" s="5">
        <f t="shared" si="10"/>
        <v>-0.13134556172530856</v>
      </c>
      <c r="M126" s="4" t="str">
        <f t="shared" si="11"/>
        <v>Medium Ratings</v>
      </c>
      <c r="N126" s="34">
        <f t="array" ref="N126">MEDIAN(_xlfn._xlws.FILTER(Table4[Original Price],Table4[Brand-Renamed] = Table4[[#This Row],[Brand]]))</f>
        <v>64195</v>
      </c>
      <c r="O126" s="35">
        <f t="array" ref="O126">MEDIAN(_xlfn._xlws.FILTER(Table4[Selling Price],Table4[Brand-Renamed] =Table4[[#This Row],[Brand-Renamed]]))</f>
        <v>43129</v>
      </c>
    </row>
    <row r="127" spans="1:15" ht="13.8" x14ac:dyDescent="0.25">
      <c r="A127" s="6" t="s">
        <v>128</v>
      </c>
      <c r="B127" s="4" t="str">
        <f t="shared" si="6"/>
        <v>Motorola</v>
      </c>
      <c r="C127" s="6" t="s">
        <v>29</v>
      </c>
      <c r="D127" s="6">
        <v>55</v>
      </c>
      <c r="E127" s="6">
        <v>55999</v>
      </c>
      <c r="F127" s="6">
        <v>63999</v>
      </c>
      <c r="G127" s="6" t="s">
        <v>54</v>
      </c>
      <c r="H127" s="6">
        <v>4.3</v>
      </c>
      <c r="I127" s="6">
        <f t="shared" si="7"/>
        <v>8000</v>
      </c>
      <c r="J127">
        <f t="shared" si="8"/>
        <v>0.12500195315551804</v>
      </c>
      <c r="K127" s="6">
        <f t="shared" si="9"/>
        <v>-8000</v>
      </c>
      <c r="L127" s="7">
        <f t="shared" si="10"/>
        <v>-0.14285969392310577</v>
      </c>
      <c r="M127" s="6" t="str">
        <f t="shared" si="11"/>
        <v>Medium Ratings</v>
      </c>
      <c r="N127" s="34">
        <f t="array" ref="N127">MEDIAN(_xlfn._xlws.FILTER(Table4[Original Price],Table4[Brand-Renamed] = Table4[[#This Row],[Brand]]))</f>
        <v>54050</v>
      </c>
      <c r="O127" s="35">
        <f t="array" ref="O127">MEDIAN(_xlfn._xlws.FILTER(Table4[Selling Price],Table4[Brand-Renamed] =Table4[[#This Row],[Brand-Renamed]]))</f>
        <v>35999</v>
      </c>
    </row>
    <row r="128" spans="1:15" ht="13.8" x14ac:dyDescent="0.25">
      <c r="A128" s="4" t="s">
        <v>119</v>
      </c>
      <c r="B128" s="4" t="str">
        <f t="shared" si="6"/>
        <v xml:space="preserve">Tcl </v>
      </c>
      <c r="C128" s="4" t="s">
        <v>8</v>
      </c>
      <c r="D128" s="4">
        <v>65</v>
      </c>
      <c r="E128" s="4">
        <v>63999</v>
      </c>
      <c r="F128" s="4">
        <v>159990</v>
      </c>
      <c r="G128" s="4" t="s">
        <v>54</v>
      </c>
      <c r="H128" s="4">
        <v>4.3</v>
      </c>
      <c r="I128" s="4">
        <f t="shared" si="7"/>
        <v>95991</v>
      </c>
      <c r="J128">
        <f t="shared" si="8"/>
        <v>0.59998124882805171</v>
      </c>
      <c r="K128" s="4">
        <f t="shared" si="9"/>
        <v>-95991</v>
      </c>
      <c r="L128" s="5">
        <f t="shared" si="10"/>
        <v>-1.4998828106689166</v>
      </c>
      <c r="M128" s="4" t="str">
        <f t="shared" si="11"/>
        <v>Medium Ratings</v>
      </c>
      <c r="N128" s="34">
        <f t="array" ref="N128">MEDIAN(_xlfn._xlws.FILTER(Table4[Original Price],Table4[Brand-Renamed] = Table4[[#This Row],[Brand]]))</f>
        <v>77990</v>
      </c>
      <c r="O128" s="35">
        <f t="array" ref="O128">MEDIAN(_xlfn._xlws.FILTER(Table4[Selling Price],Table4[Brand-Renamed] =Table4[[#This Row],[Brand-Renamed]]))</f>
        <v>40999</v>
      </c>
    </row>
    <row r="129" spans="1:15" ht="13.8" x14ac:dyDescent="0.25">
      <c r="A129" s="6" t="s">
        <v>44</v>
      </c>
      <c r="B129" s="4" t="str">
        <f t="shared" si="6"/>
        <v xml:space="preserve">Coocaa </v>
      </c>
      <c r="C129" s="6" t="s">
        <v>32</v>
      </c>
      <c r="D129" s="6">
        <v>43</v>
      </c>
      <c r="E129" s="6">
        <v>23999</v>
      </c>
      <c r="F129" s="6">
        <v>54990</v>
      </c>
      <c r="G129" s="6" t="s">
        <v>54</v>
      </c>
      <c r="H129" s="6">
        <v>4.3</v>
      </c>
      <c r="I129" s="6">
        <f t="shared" si="7"/>
        <v>30991</v>
      </c>
      <c r="J129">
        <f t="shared" si="8"/>
        <v>0.56357519549008905</v>
      </c>
      <c r="K129" s="6">
        <f t="shared" si="9"/>
        <v>-30991</v>
      </c>
      <c r="L129" s="7">
        <f t="shared" si="10"/>
        <v>-1.2913454727280302</v>
      </c>
      <c r="M129" s="6" t="str">
        <f t="shared" si="11"/>
        <v>Medium Ratings</v>
      </c>
      <c r="N129" s="34">
        <f t="array" ref="N129">MEDIAN(_xlfn._xlws.FILTER(Table4[Original Price],Table4[Brand-Renamed] = Table4[[#This Row],[Brand]]))</f>
        <v>54990</v>
      </c>
      <c r="O129" s="35">
        <f t="array" ref="O129">MEDIAN(_xlfn._xlws.FILTER(Table4[Selling Price],Table4[Brand-Renamed] =Table4[[#This Row],[Brand-Renamed]]))</f>
        <v>25999</v>
      </c>
    </row>
    <row r="130" spans="1:15" ht="13.8" x14ac:dyDescent="0.25">
      <c r="A130" s="4" t="s">
        <v>122</v>
      </c>
      <c r="B130" s="4" t="str">
        <f t="shared" ref="B130:B193" si="12">PROPER(A130)</f>
        <v xml:space="preserve">Lg </v>
      </c>
      <c r="C130" s="4" t="s">
        <v>32</v>
      </c>
      <c r="D130" s="4">
        <v>55</v>
      </c>
      <c r="E130" s="4">
        <v>65999</v>
      </c>
      <c r="F130" s="4">
        <v>109990</v>
      </c>
      <c r="G130" s="4" t="s">
        <v>58</v>
      </c>
      <c r="H130" s="4">
        <v>4.5</v>
      </c>
      <c r="I130" s="4">
        <f t="shared" ref="I130:I193" si="13">F130-E130</f>
        <v>43991</v>
      </c>
      <c r="J130">
        <f t="shared" ref="J130:J193" si="14">IF((F130-E130)/F130 = 0, "Discount Not Applied", (F130-E130)/F130)</f>
        <v>0.39995454132193836</v>
      </c>
      <c r="K130" s="4">
        <f t="shared" ref="K130:K193" si="15">E130-F130</f>
        <v>-43991</v>
      </c>
      <c r="L130" s="5">
        <f t="shared" ref="L130:L193" si="16">(E130-F130)/E130</f>
        <v>-0.66654040212730492</v>
      </c>
      <c r="M130" s="4" t="str">
        <f t="shared" ref="M130:M193" si="17">IF(ISBLANK(H130),"Ratings Not Given",IF(H130&gt;=4.5,"Good Ratings",IF(H130&lt;=3.7,"Bad Ratings","Medium Ratings")))</f>
        <v>Good Ratings</v>
      </c>
      <c r="N130" s="34">
        <f t="array" ref="N130">MEDIAN(_xlfn._xlws.FILTER(Table4[Original Price],Table4[Brand-Renamed] = Table4[[#This Row],[Brand]]))</f>
        <v>98990</v>
      </c>
      <c r="O130" s="35">
        <f t="array" ref="O130">MEDIAN(_xlfn._xlws.FILTER(Table4[Selling Price],Table4[Brand-Renamed] =Table4[[#This Row],[Brand-Renamed]]))</f>
        <v>76737</v>
      </c>
    </row>
    <row r="131" spans="1:15" ht="13.8" x14ac:dyDescent="0.25">
      <c r="A131" s="6" t="s">
        <v>44</v>
      </c>
      <c r="B131" s="4" t="str">
        <f t="shared" si="12"/>
        <v xml:space="preserve">Coocaa </v>
      </c>
      <c r="C131" s="6" t="s">
        <v>32</v>
      </c>
      <c r="D131" s="6">
        <v>50</v>
      </c>
      <c r="E131" s="6">
        <v>31499</v>
      </c>
      <c r="F131" s="6">
        <v>64990</v>
      </c>
      <c r="G131" s="6" t="s">
        <v>54</v>
      </c>
      <c r="H131" s="6">
        <v>4.3</v>
      </c>
      <c r="I131" s="6">
        <f t="shared" si="13"/>
        <v>33491</v>
      </c>
      <c r="J131">
        <f t="shared" si="14"/>
        <v>0.51532543468225878</v>
      </c>
      <c r="K131" s="6">
        <f t="shared" si="15"/>
        <v>-33491</v>
      </c>
      <c r="L131" s="7">
        <f t="shared" si="16"/>
        <v>-1.0632401028604084</v>
      </c>
      <c r="M131" s="6" t="str">
        <f t="shared" si="17"/>
        <v>Medium Ratings</v>
      </c>
      <c r="N131" s="34">
        <f t="array" ref="N131">MEDIAN(_xlfn._xlws.FILTER(Table4[Original Price],Table4[Brand-Renamed] = Table4[[#This Row],[Brand]]))</f>
        <v>54990</v>
      </c>
      <c r="O131" s="35">
        <f t="array" ref="O131">MEDIAN(_xlfn._xlws.FILTER(Table4[Selling Price],Table4[Brand-Renamed] =Table4[[#This Row],[Brand-Renamed]]))</f>
        <v>25999</v>
      </c>
    </row>
    <row r="132" spans="1:15" ht="13.8" x14ac:dyDescent="0.25">
      <c r="A132" s="4" t="s">
        <v>119</v>
      </c>
      <c r="B132" s="4" t="str">
        <f t="shared" si="12"/>
        <v xml:space="preserve">Tcl </v>
      </c>
      <c r="C132" s="4" t="s">
        <v>8</v>
      </c>
      <c r="D132" s="4">
        <v>43</v>
      </c>
      <c r="E132" s="4">
        <v>27190</v>
      </c>
      <c r="F132" s="4">
        <v>47990</v>
      </c>
      <c r="G132" s="4" t="s">
        <v>54</v>
      </c>
      <c r="H132" s="4">
        <v>4.3</v>
      </c>
      <c r="I132" s="4">
        <f t="shared" si="13"/>
        <v>20800</v>
      </c>
      <c r="J132">
        <f t="shared" si="14"/>
        <v>0.43342362992290062</v>
      </c>
      <c r="K132" s="4">
        <f t="shared" si="15"/>
        <v>-20800</v>
      </c>
      <c r="L132" s="5">
        <f t="shared" si="16"/>
        <v>-0.76498712762044874</v>
      </c>
      <c r="M132" s="4" t="str">
        <f t="shared" si="17"/>
        <v>Medium Ratings</v>
      </c>
      <c r="N132" s="34">
        <f t="array" ref="N132">MEDIAN(_xlfn._xlws.FILTER(Table4[Original Price],Table4[Brand-Renamed] = Table4[[#This Row],[Brand]]))</f>
        <v>77990</v>
      </c>
      <c r="O132" s="35">
        <f t="array" ref="O132">MEDIAN(_xlfn._xlws.FILTER(Table4[Selling Price],Table4[Brand-Renamed] =Table4[[#This Row],[Brand-Renamed]]))</f>
        <v>40999</v>
      </c>
    </row>
    <row r="133" spans="1:15" ht="13.8" x14ac:dyDescent="0.25">
      <c r="A133" s="6" t="s">
        <v>15</v>
      </c>
      <c r="B133" s="4" t="str">
        <f t="shared" si="12"/>
        <v>Vu</v>
      </c>
      <c r="C133" s="6" t="s">
        <v>32</v>
      </c>
      <c r="D133" s="6">
        <v>43</v>
      </c>
      <c r="E133" s="6">
        <v>30999</v>
      </c>
      <c r="F133" s="6">
        <v>36000</v>
      </c>
      <c r="G133" s="6" t="s">
        <v>54</v>
      </c>
      <c r="H133" s="6">
        <v>4.3</v>
      </c>
      <c r="I133" s="6">
        <f t="shared" si="13"/>
        <v>5001</v>
      </c>
      <c r="J133">
        <f t="shared" si="14"/>
        <v>0.13891666666666666</v>
      </c>
      <c r="K133" s="6">
        <f t="shared" si="15"/>
        <v>-5001</v>
      </c>
      <c r="L133" s="7">
        <f t="shared" si="16"/>
        <v>-0.16132778476725054</v>
      </c>
      <c r="M133" s="6" t="str">
        <f t="shared" si="17"/>
        <v>Medium Ratings</v>
      </c>
      <c r="N133" s="34">
        <f t="array" ref="N133">MEDIAN(_xlfn._xlws.FILTER(Table4[Original Price],Table4[Brand-Renamed] = Table4[[#This Row],[Brand]]))</f>
        <v>49990</v>
      </c>
      <c r="O133" s="35">
        <f t="array" ref="O133">MEDIAN(_xlfn._xlws.FILTER(Table4[Selling Price],Table4[Brand-Renamed] =Table4[[#This Row],[Brand-Renamed]]))</f>
        <v>30999</v>
      </c>
    </row>
    <row r="134" spans="1:15" ht="13.8" x14ac:dyDescent="0.25">
      <c r="A134" s="4" t="s">
        <v>118</v>
      </c>
      <c r="B134" s="4" t="str">
        <f t="shared" si="12"/>
        <v>Toshiba</v>
      </c>
      <c r="C134" s="4" t="s">
        <v>8</v>
      </c>
      <c r="D134" s="4">
        <v>43</v>
      </c>
      <c r="E134" s="4">
        <v>22499</v>
      </c>
      <c r="F134" s="4">
        <v>26990</v>
      </c>
      <c r="G134" s="4" t="s">
        <v>64</v>
      </c>
      <c r="H134" s="4">
        <v>4.4000000000000004</v>
      </c>
      <c r="I134" s="4">
        <f t="shared" si="13"/>
        <v>4491</v>
      </c>
      <c r="J134">
        <f t="shared" si="14"/>
        <v>0.16639496109670249</v>
      </c>
      <c r="K134" s="4">
        <f t="shared" si="15"/>
        <v>-4491</v>
      </c>
      <c r="L134" s="5">
        <f t="shared" si="16"/>
        <v>-0.19960887150540024</v>
      </c>
      <c r="M134" s="4" t="str">
        <f t="shared" si="17"/>
        <v>Medium Ratings</v>
      </c>
      <c r="N134" s="34">
        <f t="array" ref="N134">MEDIAN(_xlfn._xlws.FILTER(Table4[Original Price],Table4[Brand-Renamed] = Table4[[#This Row],[Brand]]))</f>
        <v>46990</v>
      </c>
      <c r="O134" s="35">
        <f t="array" ref="O134">MEDIAN(_xlfn._xlws.FILTER(Table4[Selling Price],Table4[Brand-Renamed] =Table4[[#This Row],[Brand-Renamed]]))</f>
        <v>29999</v>
      </c>
    </row>
    <row r="135" spans="1:15" ht="13.8" x14ac:dyDescent="0.25">
      <c r="A135" s="6" t="s">
        <v>18</v>
      </c>
      <c r="B135" s="4" t="str">
        <f t="shared" si="12"/>
        <v>Hisense</v>
      </c>
      <c r="C135" s="6" t="s">
        <v>32</v>
      </c>
      <c r="D135" s="6">
        <v>58</v>
      </c>
      <c r="E135" s="6">
        <v>41999</v>
      </c>
      <c r="F135" s="6">
        <v>50990</v>
      </c>
      <c r="G135" s="6" t="s">
        <v>54</v>
      </c>
      <c r="H135" s="6">
        <v>4.4000000000000004</v>
      </c>
      <c r="I135" s="6">
        <f t="shared" si="13"/>
        <v>8991</v>
      </c>
      <c r="J135">
        <f t="shared" si="14"/>
        <v>0.17632869190037262</v>
      </c>
      <c r="K135" s="6">
        <f t="shared" si="15"/>
        <v>-8991</v>
      </c>
      <c r="L135" s="7">
        <f t="shared" si="16"/>
        <v>-0.21407652563156265</v>
      </c>
      <c r="M135" s="6" t="str">
        <f t="shared" si="17"/>
        <v>Medium Ratings</v>
      </c>
      <c r="N135" s="34">
        <f t="array" ref="N135">MEDIAN(_xlfn._xlws.FILTER(Table4[Original Price],Table4[Brand-Renamed] = Table4[[#This Row],[Brand]]))</f>
        <v>50490</v>
      </c>
      <c r="O135" s="35">
        <f t="array" ref="O135">MEDIAN(_xlfn._xlws.FILTER(Table4[Selling Price],Table4[Brand-Renamed] =Table4[[#This Row],[Brand-Renamed]]))</f>
        <v>39499</v>
      </c>
    </row>
    <row r="136" spans="1:15" ht="13.8" x14ac:dyDescent="0.25">
      <c r="A136" s="4" t="s">
        <v>128</v>
      </c>
      <c r="B136" s="4" t="str">
        <f t="shared" si="12"/>
        <v>Motorola</v>
      </c>
      <c r="C136" s="4" t="s">
        <v>32</v>
      </c>
      <c r="D136" s="4">
        <v>65</v>
      </c>
      <c r="E136" s="4">
        <v>56999</v>
      </c>
      <c r="F136" s="4">
        <v>115399</v>
      </c>
      <c r="G136" s="4" t="s">
        <v>54</v>
      </c>
      <c r="H136" s="4">
        <v>4.3</v>
      </c>
      <c r="I136" s="4">
        <f t="shared" si="13"/>
        <v>58400</v>
      </c>
      <c r="J136">
        <f t="shared" si="14"/>
        <v>0.50607024324300909</v>
      </c>
      <c r="K136" s="4">
        <f t="shared" si="15"/>
        <v>-58400</v>
      </c>
      <c r="L136" s="5">
        <f t="shared" si="16"/>
        <v>-1.0245793785855892</v>
      </c>
      <c r="M136" s="4" t="str">
        <f t="shared" si="17"/>
        <v>Medium Ratings</v>
      </c>
      <c r="N136" s="34">
        <f t="array" ref="N136">MEDIAN(_xlfn._xlws.FILTER(Table4[Original Price],Table4[Brand-Renamed] = Table4[[#This Row],[Brand]]))</f>
        <v>54050</v>
      </c>
      <c r="O136" s="35">
        <f t="array" ref="O136">MEDIAN(_xlfn._xlws.FILTER(Table4[Selling Price],Table4[Brand-Renamed] =Table4[[#This Row],[Brand-Renamed]]))</f>
        <v>35999</v>
      </c>
    </row>
    <row r="137" spans="1:15" ht="13.8" x14ac:dyDescent="0.25">
      <c r="A137" s="6" t="s">
        <v>122</v>
      </c>
      <c r="B137" s="4" t="str">
        <f t="shared" si="12"/>
        <v xml:space="preserve">Lg </v>
      </c>
      <c r="C137" s="6" t="s">
        <v>19</v>
      </c>
      <c r="D137" s="6">
        <v>32</v>
      </c>
      <c r="E137" s="6">
        <v>24057</v>
      </c>
      <c r="F137" s="6">
        <v>29990</v>
      </c>
      <c r="G137" s="6" t="s">
        <v>58</v>
      </c>
      <c r="H137" s="6">
        <v>4.3</v>
      </c>
      <c r="I137" s="6">
        <f t="shared" si="13"/>
        <v>5933</v>
      </c>
      <c r="J137">
        <f t="shared" si="14"/>
        <v>0.19783261087029011</v>
      </c>
      <c r="K137" s="6">
        <f t="shared" si="15"/>
        <v>-5933</v>
      </c>
      <c r="L137" s="7">
        <f t="shared" si="16"/>
        <v>-0.24662260464729602</v>
      </c>
      <c r="M137" s="6" t="str">
        <f t="shared" si="17"/>
        <v>Medium Ratings</v>
      </c>
      <c r="N137" s="34">
        <f t="array" ref="N137">MEDIAN(_xlfn._xlws.FILTER(Table4[Original Price],Table4[Brand-Renamed] = Table4[[#This Row],[Brand]]))</f>
        <v>98990</v>
      </c>
      <c r="O137" s="35">
        <f t="array" ref="O137">MEDIAN(_xlfn._xlws.FILTER(Table4[Selling Price],Table4[Brand-Renamed] =Table4[[#This Row],[Brand-Renamed]]))</f>
        <v>76737</v>
      </c>
    </row>
    <row r="138" spans="1:15" ht="13.8" x14ac:dyDescent="0.25">
      <c r="A138" s="4" t="s">
        <v>125</v>
      </c>
      <c r="B138" s="4" t="str">
        <f t="shared" si="12"/>
        <v>Samsung</v>
      </c>
      <c r="C138" s="4" t="s">
        <v>29</v>
      </c>
      <c r="D138" s="4">
        <v>50</v>
      </c>
      <c r="E138" s="4">
        <v>73990</v>
      </c>
      <c r="F138" s="4">
        <v>119900</v>
      </c>
      <c r="G138" s="4" t="s">
        <v>56</v>
      </c>
      <c r="H138" s="4">
        <v>4.3</v>
      </c>
      <c r="I138" s="4">
        <f t="shared" si="13"/>
        <v>45910</v>
      </c>
      <c r="J138">
        <f t="shared" si="14"/>
        <v>0.38290241868223518</v>
      </c>
      <c r="K138" s="4">
        <f t="shared" si="15"/>
        <v>-45910</v>
      </c>
      <c r="L138" s="5">
        <f t="shared" si="16"/>
        <v>-0.62048925530477095</v>
      </c>
      <c r="M138" s="4" t="str">
        <f t="shared" si="17"/>
        <v>Medium Ratings</v>
      </c>
      <c r="N138" s="34">
        <f t="array" ref="N138">MEDIAN(_xlfn._xlws.FILTER(Table4[Original Price],Table4[Brand-Renamed] = Table4[[#This Row],[Brand]]))</f>
        <v>100945</v>
      </c>
      <c r="O138" s="35">
        <f t="array" ref="O138">MEDIAN(_xlfn._xlws.FILTER(Table4[Selling Price],Table4[Brand-Renamed] =Table4[[#This Row],[Brand-Renamed]]))</f>
        <v>74490</v>
      </c>
    </row>
    <row r="139" spans="1:15" ht="13.8" x14ac:dyDescent="0.25">
      <c r="A139" s="6" t="s">
        <v>73</v>
      </c>
      <c r="B139" s="4" t="str">
        <f t="shared" si="12"/>
        <v xml:space="preserve">Nokia </v>
      </c>
      <c r="C139" s="6" t="s">
        <v>8</v>
      </c>
      <c r="D139" s="6">
        <v>43</v>
      </c>
      <c r="E139" s="6">
        <v>26999</v>
      </c>
      <c r="F139" s="6">
        <v>39999</v>
      </c>
      <c r="G139" s="6" t="s">
        <v>54</v>
      </c>
      <c r="H139" s="6">
        <v>4.2</v>
      </c>
      <c r="I139" s="6">
        <f t="shared" si="13"/>
        <v>13000</v>
      </c>
      <c r="J139">
        <f t="shared" si="14"/>
        <v>0.3250081252031301</v>
      </c>
      <c r="K139" s="6">
        <f t="shared" si="15"/>
        <v>-13000</v>
      </c>
      <c r="L139" s="7">
        <f t="shared" si="16"/>
        <v>-0.48149931478943664</v>
      </c>
      <c r="M139" s="6" t="str">
        <f t="shared" si="17"/>
        <v>Medium Ratings</v>
      </c>
      <c r="N139" s="34">
        <f t="array" ref="N139">MEDIAN(_xlfn._xlws.FILTER(Table4[Original Price],Table4[Brand-Renamed] = Table4[[#This Row],[Brand]]))</f>
        <v>59999</v>
      </c>
      <c r="O139" s="35">
        <f t="array" ref="O139">MEDIAN(_xlfn._xlws.FILTER(Table4[Selling Price],Table4[Brand-Renamed] =Table4[[#This Row],[Brand-Renamed]]))</f>
        <v>39999</v>
      </c>
    </row>
    <row r="140" spans="1:15" ht="13.8" x14ac:dyDescent="0.25">
      <c r="A140" s="4" t="s">
        <v>21</v>
      </c>
      <c r="B140" s="4" t="str">
        <f t="shared" si="12"/>
        <v>Micromax</v>
      </c>
      <c r="C140" s="4" t="s">
        <v>19</v>
      </c>
      <c r="D140" s="4">
        <v>32</v>
      </c>
      <c r="E140" s="4">
        <v>13299</v>
      </c>
      <c r="F140" s="4">
        <v>19900</v>
      </c>
      <c r="G140" s="4" t="s">
        <v>54</v>
      </c>
      <c r="H140" s="4">
        <v>4.4000000000000004</v>
      </c>
      <c r="I140" s="4">
        <f t="shared" si="13"/>
        <v>6601</v>
      </c>
      <c r="J140">
        <f t="shared" si="14"/>
        <v>0.33170854271356787</v>
      </c>
      <c r="K140" s="4">
        <f t="shared" si="15"/>
        <v>-6601</v>
      </c>
      <c r="L140" s="5">
        <f t="shared" si="16"/>
        <v>-0.49635310925633508</v>
      </c>
      <c r="M140" s="4" t="str">
        <f t="shared" si="17"/>
        <v>Medium Ratings</v>
      </c>
      <c r="N140" s="34">
        <f t="array" ref="N140">MEDIAN(_xlfn._xlws.FILTER(Table4[Original Price],Table4[Brand-Renamed] = Table4[[#This Row],[Brand]]))</f>
        <v>24990</v>
      </c>
      <c r="O140" s="35">
        <f t="array" ref="O140">MEDIAN(_xlfn._xlws.FILTER(Table4[Selling Price],Table4[Brand-Renamed] =Table4[[#This Row],[Brand-Renamed]]))</f>
        <v>16825</v>
      </c>
    </row>
    <row r="141" spans="1:15" ht="13.8" x14ac:dyDescent="0.25">
      <c r="A141" s="6" t="s">
        <v>127</v>
      </c>
      <c r="B141" s="4" t="str">
        <f t="shared" si="12"/>
        <v xml:space="preserve">Kodak </v>
      </c>
      <c r="C141" s="6" t="s">
        <v>32</v>
      </c>
      <c r="D141" s="6">
        <v>50</v>
      </c>
      <c r="E141" s="6">
        <v>32999</v>
      </c>
      <c r="F141" s="6">
        <v>42999</v>
      </c>
      <c r="G141" s="6" t="s">
        <v>54</v>
      </c>
      <c r="H141" s="6">
        <v>4.4000000000000004</v>
      </c>
      <c r="I141" s="6">
        <f t="shared" si="13"/>
        <v>10000</v>
      </c>
      <c r="J141">
        <f t="shared" si="14"/>
        <v>0.23256354798948814</v>
      </c>
      <c r="K141" s="6">
        <f t="shared" si="15"/>
        <v>-10000</v>
      </c>
      <c r="L141" s="7">
        <f t="shared" si="16"/>
        <v>-0.30303948604503167</v>
      </c>
      <c r="M141" s="6" t="str">
        <f t="shared" si="17"/>
        <v>Medium Ratings</v>
      </c>
      <c r="N141" s="34">
        <f t="array" ref="N141">MEDIAN(_xlfn._xlws.FILTER(Table4[Original Price],Table4[Brand-Renamed] = Table4[[#This Row],[Brand]]))</f>
        <v>31990</v>
      </c>
      <c r="O141" s="35">
        <f t="array" ref="O141">MEDIAN(_xlfn._xlws.FILTER(Table4[Selling Price],Table4[Brand-Renamed] =Table4[[#This Row],[Brand-Renamed]]))</f>
        <v>22499</v>
      </c>
    </row>
    <row r="142" spans="1:15" ht="13.8" x14ac:dyDescent="0.25">
      <c r="A142" s="4" t="s">
        <v>21</v>
      </c>
      <c r="B142" s="4" t="str">
        <f t="shared" si="12"/>
        <v>Micromax</v>
      </c>
      <c r="C142" s="4" t="s">
        <v>19</v>
      </c>
      <c r="D142" s="4">
        <v>39</v>
      </c>
      <c r="E142" s="4">
        <v>18999</v>
      </c>
      <c r="F142" s="4">
        <v>24990</v>
      </c>
      <c r="G142" s="4" t="s">
        <v>54</v>
      </c>
      <c r="H142" s="4">
        <v>3.5</v>
      </c>
      <c r="I142" s="4">
        <f t="shared" si="13"/>
        <v>5991</v>
      </c>
      <c r="J142">
        <f t="shared" si="14"/>
        <v>0.23973589435774309</v>
      </c>
      <c r="K142" s="4">
        <f t="shared" si="15"/>
        <v>-5991</v>
      </c>
      <c r="L142" s="5">
        <f t="shared" si="16"/>
        <v>-0.31533238591504814</v>
      </c>
      <c r="M142" s="4" t="str">
        <f t="shared" si="17"/>
        <v>Bad Ratings</v>
      </c>
      <c r="N142" s="34">
        <f t="array" ref="N142">MEDIAN(_xlfn._xlws.FILTER(Table4[Original Price],Table4[Brand-Renamed] = Table4[[#This Row],[Brand]]))</f>
        <v>24990</v>
      </c>
      <c r="O142" s="35">
        <f t="array" ref="O142">MEDIAN(_xlfn._xlws.FILTER(Table4[Selling Price],Table4[Brand-Renamed] =Table4[[#This Row],[Brand-Renamed]]))</f>
        <v>16825</v>
      </c>
    </row>
    <row r="143" spans="1:15" ht="13.8" x14ac:dyDescent="0.25">
      <c r="A143" s="6" t="s">
        <v>127</v>
      </c>
      <c r="B143" s="4" t="str">
        <f t="shared" si="12"/>
        <v xml:space="preserve">Kodak </v>
      </c>
      <c r="C143" s="6" t="s">
        <v>32</v>
      </c>
      <c r="D143" s="6">
        <v>50</v>
      </c>
      <c r="E143" s="6">
        <v>30999</v>
      </c>
      <c r="F143" s="6">
        <v>33999</v>
      </c>
      <c r="G143" s="6" t="s">
        <v>54</v>
      </c>
      <c r="H143" s="6">
        <v>4.3</v>
      </c>
      <c r="I143" s="6">
        <f t="shared" si="13"/>
        <v>3000</v>
      </c>
      <c r="J143">
        <f t="shared" si="14"/>
        <v>8.8237889349686752E-2</v>
      </c>
      <c r="K143" s="6">
        <f t="shared" si="15"/>
        <v>-3000</v>
      </c>
      <c r="L143" s="7">
        <f t="shared" si="16"/>
        <v>-9.6777315397270885E-2</v>
      </c>
      <c r="M143" s="6" t="str">
        <f t="shared" si="17"/>
        <v>Medium Ratings</v>
      </c>
      <c r="N143" s="34">
        <f t="array" ref="N143">MEDIAN(_xlfn._xlws.FILTER(Table4[Original Price],Table4[Brand-Renamed] = Table4[[#This Row],[Brand]]))</f>
        <v>31990</v>
      </c>
      <c r="O143" s="35">
        <f t="array" ref="O143">MEDIAN(_xlfn._xlws.FILTER(Table4[Selling Price],Table4[Brand-Renamed] =Table4[[#This Row],[Brand-Renamed]]))</f>
        <v>22499</v>
      </c>
    </row>
    <row r="144" spans="1:15" ht="13.8" x14ac:dyDescent="0.25">
      <c r="A144" s="4" t="s">
        <v>73</v>
      </c>
      <c r="B144" s="4" t="str">
        <f t="shared" si="12"/>
        <v xml:space="preserve">Nokia </v>
      </c>
      <c r="C144" s="4" t="s">
        <v>32</v>
      </c>
      <c r="D144" s="4">
        <v>55</v>
      </c>
      <c r="E144" s="4">
        <v>44999</v>
      </c>
      <c r="F144" s="4">
        <v>59999</v>
      </c>
      <c r="G144" s="4" t="s">
        <v>54</v>
      </c>
      <c r="H144" s="4">
        <v>4.0999999999999996</v>
      </c>
      <c r="I144" s="4">
        <f t="shared" si="13"/>
        <v>15000</v>
      </c>
      <c r="J144">
        <f t="shared" si="14"/>
        <v>0.25000416673611225</v>
      </c>
      <c r="K144" s="4">
        <f t="shared" si="15"/>
        <v>-15000</v>
      </c>
      <c r="L144" s="5">
        <f t="shared" si="16"/>
        <v>-0.33334074090535343</v>
      </c>
      <c r="M144" s="4" t="str">
        <f t="shared" si="17"/>
        <v>Medium Ratings</v>
      </c>
      <c r="N144" s="34">
        <f t="array" ref="N144">MEDIAN(_xlfn._xlws.FILTER(Table4[Original Price],Table4[Brand-Renamed] = Table4[[#This Row],[Brand]]))</f>
        <v>59999</v>
      </c>
      <c r="O144" s="35">
        <f t="array" ref="O144">MEDIAN(_xlfn._xlws.FILTER(Table4[Selling Price],Table4[Brand-Renamed] =Table4[[#This Row],[Brand-Renamed]]))</f>
        <v>39999</v>
      </c>
    </row>
    <row r="145" spans="1:15" ht="13.8" x14ac:dyDescent="0.25">
      <c r="A145" s="6" t="s">
        <v>124</v>
      </c>
      <c r="B145" s="4" t="str">
        <f t="shared" si="12"/>
        <v>Iffalcon By Tcl</v>
      </c>
      <c r="C145" s="6" t="s">
        <v>32</v>
      </c>
      <c r="D145" s="6">
        <v>65</v>
      </c>
      <c r="E145" s="6">
        <v>53999</v>
      </c>
      <c r="F145" s="6">
        <v>106990</v>
      </c>
      <c r="G145" s="6" t="s">
        <v>54</v>
      </c>
      <c r="H145" s="6">
        <v>4.3</v>
      </c>
      <c r="I145" s="6">
        <f t="shared" si="13"/>
        <v>52991</v>
      </c>
      <c r="J145">
        <f t="shared" si="14"/>
        <v>0.49528927937190392</v>
      </c>
      <c r="K145" s="6">
        <f t="shared" si="15"/>
        <v>-52991</v>
      </c>
      <c r="L145" s="7">
        <f t="shared" si="16"/>
        <v>-0.98133298764791943</v>
      </c>
      <c r="M145" s="6" t="str">
        <f t="shared" si="17"/>
        <v>Medium Ratings</v>
      </c>
      <c r="N145" s="34">
        <f t="array" ref="N145">MEDIAN(_xlfn._xlws.FILTER(Table4[Original Price],Table4[Brand-Renamed] = Table4[[#This Row],[Brand]]))</f>
        <v>76990</v>
      </c>
      <c r="O145" s="35">
        <f t="array" ref="O145">MEDIAN(_xlfn._xlws.FILTER(Table4[Selling Price],Table4[Brand-Renamed] =Table4[[#This Row],[Brand-Renamed]]))</f>
        <v>36999</v>
      </c>
    </row>
    <row r="146" spans="1:15" ht="13.8" x14ac:dyDescent="0.25">
      <c r="A146" s="4" t="s">
        <v>129</v>
      </c>
      <c r="B146" s="4" t="str">
        <f t="shared" si="12"/>
        <v>Philips</v>
      </c>
      <c r="C146" s="4" t="s">
        <v>32</v>
      </c>
      <c r="D146" s="4">
        <v>58</v>
      </c>
      <c r="E146" s="4">
        <v>41999</v>
      </c>
      <c r="F146" s="4">
        <v>119990</v>
      </c>
      <c r="G146" s="4" t="s">
        <v>54</v>
      </c>
      <c r="H146" s="4">
        <v>4.2</v>
      </c>
      <c r="I146" s="4">
        <f t="shared" si="13"/>
        <v>77991</v>
      </c>
      <c r="J146">
        <f t="shared" si="14"/>
        <v>0.64997916493041086</v>
      </c>
      <c r="K146" s="4">
        <f t="shared" si="15"/>
        <v>-77991</v>
      </c>
      <c r="L146" s="5">
        <f t="shared" si="16"/>
        <v>-1.8569727850663111</v>
      </c>
      <c r="M146" s="4" t="str">
        <f t="shared" si="17"/>
        <v>Medium Ratings</v>
      </c>
      <c r="N146" s="34">
        <f t="array" ref="N146">MEDIAN(_xlfn._xlws.FILTER(Table4[Original Price],Table4[Brand-Renamed] = Table4[[#This Row],[Brand]]))</f>
        <v>44990</v>
      </c>
      <c r="O146" s="35">
        <f t="array" ref="O146">MEDIAN(_xlfn._xlws.FILTER(Table4[Selling Price],Table4[Brand-Renamed] =Table4[[#This Row],[Brand-Renamed]]))</f>
        <v>33459</v>
      </c>
    </row>
    <row r="147" spans="1:15" ht="13.8" x14ac:dyDescent="0.25">
      <c r="A147" s="6" t="s">
        <v>81</v>
      </c>
      <c r="B147" s="4" t="str">
        <f t="shared" si="12"/>
        <v xml:space="preserve">Sansui </v>
      </c>
      <c r="C147" s="6" t="s">
        <v>32</v>
      </c>
      <c r="D147" s="6">
        <v>50</v>
      </c>
      <c r="E147" s="6">
        <v>36990</v>
      </c>
      <c r="F147" s="6">
        <v>45190</v>
      </c>
      <c r="G147" s="6" t="s">
        <v>54</v>
      </c>
      <c r="H147" s="6">
        <v>4.5</v>
      </c>
      <c r="I147" s="6">
        <f t="shared" si="13"/>
        <v>8200</v>
      </c>
      <c r="J147">
        <f t="shared" si="14"/>
        <v>0.18145607435273289</v>
      </c>
      <c r="K147" s="6">
        <f t="shared" si="15"/>
        <v>-8200</v>
      </c>
      <c r="L147" s="7">
        <f t="shared" si="16"/>
        <v>-0.22168153555014869</v>
      </c>
      <c r="M147" s="6" t="str">
        <f t="shared" si="17"/>
        <v>Good Ratings</v>
      </c>
      <c r="N147" s="34">
        <f t="array" ref="N147">MEDIAN(_xlfn._xlws.FILTER(Table4[Original Price],Table4[Brand-Renamed] = Table4[[#This Row],[Brand]]))</f>
        <v>35174.5</v>
      </c>
      <c r="O147" s="35">
        <f t="array" ref="O147">MEDIAN(_xlfn._xlws.FILTER(Table4[Selling Price],Table4[Brand-Renamed] =Table4[[#This Row],[Brand-Renamed]]))</f>
        <v>29990</v>
      </c>
    </row>
    <row r="148" spans="1:15" ht="13.8" x14ac:dyDescent="0.25">
      <c r="A148" s="4" t="s">
        <v>125</v>
      </c>
      <c r="B148" s="4" t="str">
        <f t="shared" si="12"/>
        <v>Samsung</v>
      </c>
      <c r="C148" s="4" t="s">
        <v>29</v>
      </c>
      <c r="D148" s="4">
        <v>43</v>
      </c>
      <c r="E148" s="4">
        <v>59990</v>
      </c>
      <c r="F148" s="4">
        <v>94900</v>
      </c>
      <c r="G148" s="4" t="s">
        <v>56</v>
      </c>
      <c r="H148" s="4">
        <v>4.7</v>
      </c>
      <c r="I148" s="4">
        <f t="shared" si="13"/>
        <v>34910</v>
      </c>
      <c r="J148">
        <f t="shared" si="14"/>
        <v>0.36786090621707063</v>
      </c>
      <c r="K148" s="4">
        <f t="shared" si="15"/>
        <v>-34910</v>
      </c>
      <c r="L148" s="5">
        <f t="shared" si="16"/>
        <v>-0.58193032172028669</v>
      </c>
      <c r="M148" s="4" t="str">
        <f t="shared" si="17"/>
        <v>Good Ratings</v>
      </c>
      <c r="N148" s="34">
        <f t="array" ref="N148">MEDIAN(_xlfn._xlws.FILTER(Table4[Original Price],Table4[Brand-Renamed] = Table4[[#This Row],[Brand]]))</f>
        <v>100945</v>
      </c>
      <c r="O148" s="35">
        <f t="array" ref="O148">MEDIAN(_xlfn._xlws.FILTER(Table4[Selling Price],Table4[Brand-Renamed] =Table4[[#This Row],[Brand-Renamed]]))</f>
        <v>74490</v>
      </c>
    </row>
    <row r="149" spans="1:15" ht="13.8" x14ac:dyDescent="0.25">
      <c r="A149" s="6" t="s">
        <v>122</v>
      </c>
      <c r="B149" s="4" t="str">
        <f t="shared" si="12"/>
        <v xml:space="preserve">Lg </v>
      </c>
      <c r="C149" s="6" t="s">
        <v>19</v>
      </c>
      <c r="D149" s="6">
        <v>32</v>
      </c>
      <c r="E149" s="6">
        <v>19890</v>
      </c>
      <c r="F149" s="6">
        <v>27990</v>
      </c>
      <c r="G149" s="6" t="s">
        <v>60</v>
      </c>
      <c r="H149" s="6">
        <v>4.3</v>
      </c>
      <c r="I149" s="6">
        <f t="shared" si="13"/>
        <v>8100</v>
      </c>
      <c r="J149">
        <f t="shared" si="14"/>
        <v>0.28938906752411575</v>
      </c>
      <c r="K149" s="6">
        <f t="shared" si="15"/>
        <v>-8100</v>
      </c>
      <c r="L149" s="7">
        <f t="shared" si="16"/>
        <v>-0.40723981900452488</v>
      </c>
      <c r="M149" s="6" t="str">
        <f t="shared" si="17"/>
        <v>Medium Ratings</v>
      </c>
      <c r="N149" s="34">
        <f t="array" ref="N149">MEDIAN(_xlfn._xlws.FILTER(Table4[Original Price],Table4[Brand-Renamed] = Table4[[#This Row],[Brand]]))</f>
        <v>98990</v>
      </c>
      <c r="O149" s="35">
        <f t="array" ref="O149">MEDIAN(_xlfn._xlws.FILTER(Table4[Selling Price],Table4[Brand-Renamed] =Table4[[#This Row],[Brand-Renamed]]))</f>
        <v>76737</v>
      </c>
    </row>
    <row r="150" spans="1:15" ht="13.8" x14ac:dyDescent="0.25">
      <c r="A150" s="4" t="s">
        <v>121</v>
      </c>
      <c r="B150" s="4" t="str">
        <f t="shared" si="12"/>
        <v>Oneplus</v>
      </c>
      <c r="C150" s="4" t="s">
        <v>32</v>
      </c>
      <c r="D150" s="4">
        <v>55</v>
      </c>
      <c r="E150" s="4">
        <v>52999</v>
      </c>
      <c r="F150" s="4">
        <v>59999</v>
      </c>
      <c r="G150" s="4" t="s">
        <v>54</v>
      </c>
      <c r="H150" s="4">
        <v>4.3</v>
      </c>
      <c r="I150" s="4">
        <f t="shared" si="13"/>
        <v>7000</v>
      </c>
      <c r="J150">
        <f t="shared" si="14"/>
        <v>0.11666861114351906</v>
      </c>
      <c r="K150" s="4">
        <f t="shared" si="15"/>
        <v>-7000</v>
      </c>
      <c r="L150" s="5">
        <f t="shared" si="16"/>
        <v>-0.13207796373516481</v>
      </c>
      <c r="M150" s="4" t="str">
        <f t="shared" si="17"/>
        <v>Medium Ratings</v>
      </c>
      <c r="N150" s="34">
        <f t="array" ref="N150">MEDIAN(_xlfn._xlws.FILTER(Table4[Original Price],Table4[Brand-Renamed] = Table4[[#This Row],[Brand]]))</f>
        <v>59999</v>
      </c>
      <c r="O150" s="35">
        <f t="array" ref="O150">MEDIAN(_xlfn._xlws.FILTER(Table4[Selling Price],Table4[Brand-Renamed] =Table4[[#This Row],[Brand-Renamed]]))</f>
        <v>49999</v>
      </c>
    </row>
    <row r="151" spans="1:15" ht="13.8" x14ac:dyDescent="0.25">
      <c r="A151" s="6" t="s">
        <v>128</v>
      </c>
      <c r="B151" s="4" t="str">
        <f t="shared" si="12"/>
        <v>Motorola</v>
      </c>
      <c r="C151" s="6" t="s">
        <v>32</v>
      </c>
      <c r="D151" s="6">
        <v>43</v>
      </c>
      <c r="E151" s="6">
        <v>35999</v>
      </c>
      <c r="F151" s="6">
        <v>49999</v>
      </c>
      <c r="G151" s="6" t="s">
        <v>54</v>
      </c>
      <c r="H151" s="6">
        <v>4.4000000000000004</v>
      </c>
      <c r="I151" s="6">
        <f t="shared" si="13"/>
        <v>14000</v>
      </c>
      <c r="J151">
        <f t="shared" si="14"/>
        <v>0.28000560011200226</v>
      </c>
      <c r="K151" s="6">
        <f t="shared" si="15"/>
        <v>-14000</v>
      </c>
      <c r="L151" s="7">
        <f t="shared" si="16"/>
        <v>-0.38889969165810162</v>
      </c>
      <c r="M151" s="6" t="str">
        <f t="shared" si="17"/>
        <v>Medium Ratings</v>
      </c>
      <c r="N151" s="34">
        <f t="array" ref="N151">MEDIAN(_xlfn._xlws.FILTER(Table4[Original Price],Table4[Brand-Renamed] = Table4[[#This Row],[Brand]]))</f>
        <v>54050</v>
      </c>
      <c r="O151" s="35">
        <f t="array" ref="O151">MEDIAN(_xlfn._xlws.FILTER(Table4[Selling Price],Table4[Brand-Renamed] =Table4[[#This Row],[Brand-Renamed]]))</f>
        <v>35999</v>
      </c>
    </row>
    <row r="152" spans="1:15" ht="13.8" x14ac:dyDescent="0.25">
      <c r="A152" s="4" t="s">
        <v>126</v>
      </c>
      <c r="B152" s="4" t="str">
        <f t="shared" si="12"/>
        <v xml:space="preserve">Sony </v>
      </c>
      <c r="C152" s="4" t="s">
        <v>8</v>
      </c>
      <c r="D152" s="4">
        <v>43</v>
      </c>
      <c r="E152" s="4">
        <v>46799</v>
      </c>
      <c r="F152" s="4">
        <v>52900</v>
      </c>
      <c r="G152" s="4" t="s">
        <v>54</v>
      </c>
      <c r="H152" s="4">
        <v>4.7</v>
      </c>
      <c r="I152" s="4">
        <f t="shared" si="13"/>
        <v>6101</v>
      </c>
      <c r="J152">
        <f t="shared" si="14"/>
        <v>0.11533081285444234</v>
      </c>
      <c r="K152" s="4">
        <f t="shared" si="15"/>
        <v>-6101</v>
      </c>
      <c r="L152" s="5">
        <f t="shared" si="16"/>
        <v>-0.13036603346225348</v>
      </c>
      <c r="M152" s="4" t="str">
        <f t="shared" si="17"/>
        <v>Good Ratings</v>
      </c>
      <c r="N152" s="34">
        <f t="array" ref="N152">MEDIAN(_xlfn._xlws.FILTER(Table4[Original Price],Table4[Brand-Renamed] = Table4[[#This Row],[Brand]]))</f>
        <v>87400</v>
      </c>
      <c r="O152" s="35">
        <f t="array" ref="O152">MEDIAN(_xlfn._xlws.FILTER(Table4[Selling Price],Table4[Brand-Renamed] =Table4[[#This Row],[Brand-Renamed]]))</f>
        <v>64294.5</v>
      </c>
    </row>
    <row r="153" spans="1:15" ht="13.8" x14ac:dyDescent="0.25">
      <c r="A153" s="6" t="s">
        <v>119</v>
      </c>
      <c r="B153" s="4" t="str">
        <f t="shared" si="12"/>
        <v xml:space="preserve">Tcl </v>
      </c>
      <c r="C153" s="6" t="s">
        <v>8</v>
      </c>
      <c r="D153" s="6">
        <v>50</v>
      </c>
      <c r="E153" s="6">
        <v>34999</v>
      </c>
      <c r="F153" s="6">
        <v>89990</v>
      </c>
      <c r="G153" s="6" t="s">
        <v>54</v>
      </c>
      <c r="H153" s="6">
        <v>4.3</v>
      </c>
      <c r="I153" s="6">
        <f t="shared" si="13"/>
        <v>54991</v>
      </c>
      <c r="J153">
        <f t="shared" si="14"/>
        <v>0.61107900877875321</v>
      </c>
      <c r="K153" s="6">
        <f t="shared" si="15"/>
        <v>-54991</v>
      </c>
      <c r="L153" s="7">
        <f t="shared" si="16"/>
        <v>-1.571216320466299</v>
      </c>
      <c r="M153" s="6" t="str">
        <f t="shared" si="17"/>
        <v>Medium Ratings</v>
      </c>
      <c r="N153" s="34">
        <f t="array" ref="N153">MEDIAN(_xlfn._xlws.FILTER(Table4[Original Price],Table4[Brand-Renamed] = Table4[[#This Row],[Brand]]))</f>
        <v>77990</v>
      </c>
      <c r="O153" s="35">
        <f t="array" ref="O153">MEDIAN(_xlfn._xlws.FILTER(Table4[Selling Price],Table4[Brand-Renamed] =Table4[[#This Row],[Brand-Renamed]]))</f>
        <v>40999</v>
      </c>
    </row>
    <row r="154" spans="1:15" ht="13.8" x14ac:dyDescent="0.25">
      <c r="A154" s="4" t="s">
        <v>125</v>
      </c>
      <c r="B154" s="4" t="str">
        <f t="shared" si="12"/>
        <v>Samsung</v>
      </c>
      <c r="C154" s="4" t="s">
        <v>32</v>
      </c>
      <c r="D154" s="4">
        <v>43</v>
      </c>
      <c r="E154" s="4">
        <v>41900</v>
      </c>
      <c r="F154" s="4">
        <v>49990</v>
      </c>
      <c r="G154" s="4" t="s">
        <v>56</v>
      </c>
      <c r="H154" s="4"/>
      <c r="I154" s="4">
        <f t="shared" si="13"/>
        <v>8090</v>
      </c>
      <c r="J154">
        <f t="shared" si="14"/>
        <v>0.16183236647329466</v>
      </c>
      <c r="K154" s="4">
        <f t="shared" si="15"/>
        <v>-8090</v>
      </c>
      <c r="L154" s="5">
        <f t="shared" si="16"/>
        <v>-0.19307875894988066</v>
      </c>
      <c r="M154" s="4" t="str">
        <f t="shared" si="17"/>
        <v>Ratings Not Given</v>
      </c>
      <c r="N154" s="34">
        <f t="array" ref="N154">MEDIAN(_xlfn._xlws.FILTER(Table4[Original Price],Table4[Brand-Renamed] = Table4[[#This Row],[Brand]]))</f>
        <v>100945</v>
      </c>
      <c r="O154" s="35">
        <f t="array" ref="O154">MEDIAN(_xlfn._xlws.FILTER(Table4[Selling Price],Table4[Brand-Renamed] =Table4[[#This Row],[Brand-Renamed]]))</f>
        <v>74490</v>
      </c>
    </row>
    <row r="155" spans="1:15" ht="13.8" x14ac:dyDescent="0.25">
      <c r="A155" s="6" t="s">
        <v>13</v>
      </c>
      <c r="B155" s="4" t="str">
        <f t="shared" si="12"/>
        <v>Panasonic</v>
      </c>
      <c r="C155" s="6" t="s">
        <v>32</v>
      </c>
      <c r="D155" s="6">
        <v>55</v>
      </c>
      <c r="E155" s="6">
        <v>46999</v>
      </c>
      <c r="F155" s="6">
        <v>109900</v>
      </c>
      <c r="G155" s="6" t="s">
        <v>60</v>
      </c>
      <c r="H155" s="6">
        <v>4.2</v>
      </c>
      <c r="I155" s="6">
        <f t="shared" si="13"/>
        <v>62901</v>
      </c>
      <c r="J155">
        <f t="shared" si="14"/>
        <v>0.57234758871701552</v>
      </c>
      <c r="K155" s="6">
        <f t="shared" si="15"/>
        <v>-62901</v>
      </c>
      <c r="L155" s="7">
        <f t="shared" si="16"/>
        <v>-1.3383476244175407</v>
      </c>
      <c r="M155" s="6" t="str">
        <f t="shared" si="17"/>
        <v>Medium Ratings</v>
      </c>
      <c r="N155" s="34">
        <f t="array" ref="N155">MEDIAN(_xlfn._xlws.FILTER(Table4[Original Price],Table4[Brand-Renamed] = Table4[[#This Row],[Brand]]))</f>
        <v>64195</v>
      </c>
      <c r="O155" s="35">
        <f t="array" ref="O155">MEDIAN(_xlfn._xlws.FILTER(Table4[Selling Price],Table4[Brand-Renamed] =Table4[[#This Row],[Brand-Renamed]]))</f>
        <v>43129</v>
      </c>
    </row>
    <row r="156" spans="1:15" ht="13.8" x14ac:dyDescent="0.25">
      <c r="A156" s="4" t="s">
        <v>122</v>
      </c>
      <c r="B156" s="4" t="str">
        <f t="shared" si="12"/>
        <v xml:space="preserve">Lg </v>
      </c>
      <c r="C156" s="4" t="s">
        <v>32</v>
      </c>
      <c r="D156" s="4">
        <v>43</v>
      </c>
      <c r="E156" s="4">
        <v>41349</v>
      </c>
      <c r="F156" s="4">
        <v>57990</v>
      </c>
      <c r="G156" s="4" t="s">
        <v>58</v>
      </c>
      <c r="H156" s="4"/>
      <c r="I156" s="4">
        <f t="shared" si="13"/>
        <v>16641</v>
      </c>
      <c r="J156">
        <f t="shared" si="14"/>
        <v>0.28696326952922918</v>
      </c>
      <c r="K156" s="4">
        <f t="shared" si="15"/>
        <v>-16641</v>
      </c>
      <c r="L156" s="5">
        <f t="shared" si="16"/>
        <v>-0.40245229630704493</v>
      </c>
      <c r="M156" s="4" t="str">
        <f t="shared" si="17"/>
        <v>Ratings Not Given</v>
      </c>
      <c r="N156" s="34">
        <f t="array" ref="N156">MEDIAN(_xlfn._xlws.FILTER(Table4[Original Price],Table4[Brand-Renamed] = Table4[[#This Row],[Brand]]))</f>
        <v>98990</v>
      </c>
      <c r="O156" s="35">
        <f t="array" ref="O156">MEDIAN(_xlfn._xlws.FILTER(Table4[Selling Price],Table4[Brand-Renamed] =Table4[[#This Row],[Brand-Renamed]]))</f>
        <v>76737</v>
      </c>
    </row>
    <row r="157" spans="1:15" ht="13.8" x14ac:dyDescent="0.25">
      <c r="A157" s="6" t="s">
        <v>126</v>
      </c>
      <c r="B157" s="4" t="str">
        <f t="shared" si="12"/>
        <v xml:space="preserve">Sony </v>
      </c>
      <c r="C157" s="6" t="s">
        <v>32</v>
      </c>
      <c r="D157" s="6">
        <v>43</v>
      </c>
      <c r="E157" s="6">
        <v>67990</v>
      </c>
      <c r="F157" s="6">
        <v>74900</v>
      </c>
      <c r="G157" s="6" t="s">
        <v>60</v>
      </c>
      <c r="H157" s="6">
        <v>4.7</v>
      </c>
      <c r="I157" s="6">
        <f t="shared" si="13"/>
        <v>6910</v>
      </c>
      <c r="J157">
        <f t="shared" si="14"/>
        <v>9.2256341789052065E-2</v>
      </c>
      <c r="K157" s="6">
        <f t="shared" si="15"/>
        <v>-6910</v>
      </c>
      <c r="L157" s="7">
        <f t="shared" si="16"/>
        <v>-0.10163259302838652</v>
      </c>
      <c r="M157" s="6" t="str">
        <f t="shared" si="17"/>
        <v>Good Ratings</v>
      </c>
      <c r="N157" s="34">
        <f t="array" ref="N157">MEDIAN(_xlfn._xlws.FILTER(Table4[Original Price],Table4[Brand-Renamed] = Table4[[#This Row],[Brand]]))</f>
        <v>87400</v>
      </c>
      <c r="O157" s="35">
        <f t="array" ref="O157">MEDIAN(_xlfn._xlws.FILTER(Table4[Selling Price],Table4[Brand-Renamed] =Table4[[#This Row],[Brand-Renamed]]))</f>
        <v>64294.5</v>
      </c>
    </row>
    <row r="158" spans="1:15" ht="13.8" x14ac:dyDescent="0.25">
      <c r="A158" s="4" t="s">
        <v>125</v>
      </c>
      <c r="B158" s="4" t="str">
        <f t="shared" si="12"/>
        <v>Samsung</v>
      </c>
      <c r="C158" s="4" t="s">
        <v>19</v>
      </c>
      <c r="D158" s="4">
        <v>32</v>
      </c>
      <c r="E158" s="4">
        <v>21600</v>
      </c>
      <c r="F158" s="4">
        <v>22900</v>
      </c>
      <c r="G158" s="4" t="s">
        <v>56</v>
      </c>
      <c r="H158" s="4">
        <v>4.5</v>
      </c>
      <c r="I158" s="4">
        <f t="shared" si="13"/>
        <v>1300</v>
      </c>
      <c r="J158">
        <f t="shared" si="14"/>
        <v>5.6768558951965066E-2</v>
      </c>
      <c r="K158" s="4">
        <f t="shared" si="15"/>
        <v>-1300</v>
      </c>
      <c r="L158" s="5">
        <f t="shared" si="16"/>
        <v>-6.0185185185185182E-2</v>
      </c>
      <c r="M158" s="4" t="str">
        <f t="shared" si="17"/>
        <v>Good Ratings</v>
      </c>
      <c r="N158" s="34">
        <f t="array" ref="N158">MEDIAN(_xlfn._xlws.FILTER(Table4[Original Price],Table4[Brand-Renamed] = Table4[[#This Row],[Brand]]))</f>
        <v>100945</v>
      </c>
      <c r="O158" s="35">
        <f t="array" ref="O158">MEDIAN(_xlfn._xlws.FILTER(Table4[Selling Price],Table4[Brand-Renamed] =Table4[[#This Row],[Brand-Renamed]]))</f>
        <v>74490</v>
      </c>
    </row>
    <row r="159" spans="1:15" ht="13.8" x14ac:dyDescent="0.25">
      <c r="A159" s="6" t="s">
        <v>125</v>
      </c>
      <c r="B159" s="4" t="str">
        <f t="shared" si="12"/>
        <v>Samsung</v>
      </c>
      <c r="C159" s="6" t="s">
        <v>29</v>
      </c>
      <c r="D159" s="6">
        <v>65</v>
      </c>
      <c r="E159" s="6">
        <v>121990</v>
      </c>
      <c r="F159" s="6">
        <v>222900</v>
      </c>
      <c r="G159" s="6" t="s">
        <v>56</v>
      </c>
      <c r="H159" s="6">
        <v>4.3</v>
      </c>
      <c r="I159" s="6">
        <f t="shared" si="13"/>
        <v>100910</v>
      </c>
      <c r="J159">
        <f t="shared" si="14"/>
        <v>0.45271422162404668</v>
      </c>
      <c r="K159" s="6">
        <f t="shared" si="15"/>
        <v>-100910</v>
      </c>
      <c r="L159" s="7">
        <f t="shared" si="16"/>
        <v>-0.82719895073366667</v>
      </c>
      <c r="M159" s="6" t="str">
        <f t="shared" si="17"/>
        <v>Medium Ratings</v>
      </c>
      <c r="N159" s="34">
        <f t="array" ref="N159">MEDIAN(_xlfn._xlws.FILTER(Table4[Original Price],Table4[Brand-Renamed] = Table4[[#This Row],[Brand]]))</f>
        <v>100945</v>
      </c>
      <c r="O159" s="35">
        <f t="array" ref="O159">MEDIAN(_xlfn._xlws.FILTER(Table4[Selling Price],Table4[Brand-Renamed] =Table4[[#This Row],[Brand-Renamed]]))</f>
        <v>74490</v>
      </c>
    </row>
    <row r="160" spans="1:15" ht="13.8" x14ac:dyDescent="0.25">
      <c r="A160" s="4" t="s">
        <v>128</v>
      </c>
      <c r="B160" s="4" t="str">
        <f t="shared" si="12"/>
        <v>Motorola</v>
      </c>
      <c r="C160" s="4" t="s">
        <v>32</v>
      </c>
      <c r="D160" s="4">
        <v>65</v>
      </c>
      <c r="E160" s="4">
        <v>66999</v>
      </c>
      <c r="F160" s="4">
        <v>79999</v>
      </c>
      <c r="G160" s="4" t="s">
        <v>54</v>
      </c>
      <c r="H160" s="4">
        <v>4.4000000000000004</v>
      </c>
      <c r="I160" s="4">
        <f t="shared" si="13"/>
        <v>13000</v>
      </c>
      <c r="J160">
        <f t="shared" si="14"/>
        <v>0.16250203127539095</v>
      </c>
      <c r="K160" s="4">
        <f t="shared" si="15"/>
        <v>-13000</v>
      </c>
      <c r="L160" s="5">
        <f t="shared" si="16"/>
        <v>-0.19403274675741428</v>
      </c>
      <c r="M160" s="4" t="str">
        <f t="shared" si="17"/>
        <v>Medium Ratings</v>
      </c>
      <c r="N160" s="34">
        <f t="array" ref="N160">MEDIAN(_xlfn._xlws.FILTER(Table4[Original Price],Table4[Brand-Renamed] = Table4[[#This Row],[Brand]]))</f>
        <v>54050</v>
      </c>
      <c r="O160" s="35">
        <f t="array" ref="O160">MEDIAN(_xlfn._xlws.FILTER(Table4[Selling Price],Table4[Brand-Renamed] =Table4[[#This Row],[Brand-Renamed]]))</f>
        <v>35999</v>
      </c>
    </row>
    <row r="161" spans="1:15" ht="13.8" x14ac:dyDescent="0.25">
      <c r="A161" s="6" t="s">
        <v>122</v>
      </c>
      <c r="B161" s="4" t="str">
        <f t="shared" si="12"/>
        <v xml:space="preserve">Lg </v>
      </c>
      <c r="C161" s="6" t="s">
        <v>32</v>
      </c>
      <c r="D161" s="6">
        <v>65</v>
      </c>
      <c r="E161" s="6">
        <v>83599</v>
      </c>
      <c r="F161" s="6">
        <v>119990</v>
      </c>
      <c r="G161" s="6" t="s">
        <v>58</v>
      </c>
      <c r="H161" s="6">
        <v>4.4000000000000004</v>
      </c>
      <c r="I161" s="6">
        <f t="shared" si="13"/>
        <v>36391</v>
      </c>
      <c r="J161">
        <f t="shared" si="14"/>
        <v>0.30328360696724727</v>
      </c>
      <c r="K161" s="6">
        <f t="shared" si="15"/>
        <v>-36391</v>
      </c>
      <c r="L161" s="7">
        <f t="shared" si="16"/>
        <v>-0.43530425005083795</v>
      </c>
      <c r="M161" s="6" t="str">
        <f t="shared" si="17"/>
        <v>Medium Ratings</v>
      </c>
      <c r="N161" s="34">
        <f t="array" ref="N161">MEDIAN(_xlfn._xlws.FILTER(Table4[Original Price],Table4[Brand-Renamed] = Table4[[#This Row],[Brand]]))</f>
        <v>98990</v>
      </c>
      <c r="O161" s="35">
        <f t="array" ref="O161">MEDIAN(_xlfn._xlws.FILTER(Table4[Selling Price],Table4[Brand-Renamed] =Table4[[#This Row],[Brand-Renamed]]))</f>
        <v>76737</v>
      </c>
    </row>
    <row r="162" spans="1:15" ht="13.8" x14ac:dyDescent="0.25">
      <c r="A162" s="4" t="s">
        <v>125</v>
      </c>
      <c r="B162" s="4" t="str">
        <f t="shared" si="12"/>
        <v>Samsung</v>
      </c>
      <c r="C162" s="4" t="s">
        <v>29</v>
      </c>
      <c r="D162" s="4">
        <v>55</v>
      </c>
      <c r="E162" s="4">
        <v>128999</v>
      </c>
      <c r="F162" s="4">
        <v>169900</v>
      </c>
      <c r="G162" s="4" t="s">
        <v>56</v>
      </c>
      <c r="H162" s="4">
        <v>4.5999999999999996</v>
      </c>
      <c r="I162" s="4">
        <f t="shared" si="13"/>
        <v>40901</v>
      </c>
      <c r="J162">
        <f t="shared" si="14"/>
        <v>0.24073572689817541</v>
      </c>
      <c r="K162" s="4">
        <f t="shared" si="15"/>
        <v>-40901</v>
      </c>
      <c r="L162" s="5">
        <f t="shared" si="16"/>
        <v>-0.31706447336801058</v>
      </c>
      <c r="M162" s="4" t="str">
        <f t="shared" si="17"/>
        <v>Good Ratings</v>
      </c>
      <c r="N162" s="34">
        <f t="array" ref="N162">MEDIAN(_xlfn._xlws.FILTER(Table4[Original Price],Table4[Brand-Renamed] = Table4[[#This Row],[Brand]]))</f>
        <v>100945</v>
      </c>
      <c r="O162" s="35">
        <f t="array" ref="O162">MEDIAN(_xlfn._xlws.FILTER(Table4[Selling Price],Table4[Brand-Renamed] =Table4[[#This Row],[Brand-Renamed]]))</f>
        <v>74490</v>
      </c>
    </row>
    <row r="163" spans="1:15" ht="13.8" x14ac:dyDescent="0.25">
      <c r="A163" s="6" t="s">
        <v>126</v>
      </c>
      <c r="B163" s="4" t="str">
        <f t="shared" si="12"/>
        <v xml:space="preserve">Sony </v>
      </c>
      <c r="C163" s="6" t="s">
        <v>32</v>
      </c>
      <c r="D163" s="6">
        <v>49</v>
      </c>
      <c r="E163" s="6">
        <v>75099</v>
      </c>
      <c r="F163" s="6">
        <v>89900</v>
      </c>
      <c r="G163" s="6" t="s">
        <v>54</v>
      </c>
      <c r="H163" s="6">
        <v>4.4000000000000004</v>
      </c>
      <c r="I163" s="6">
        <f t="shared" si="13"/>
        <v>14801</v>
      </c>
      <c r="J163">
        <f t="shared" si="14"/>
        <v>0.16463848720800889</v>
      </c>
      <c r="K163" s="6">
        <f t="shared" si="15"/>
        <v>-14801</v>
      </c>
      <c r="L163" s="7">
        <f t="shared" si="16"/>
        <v>-0.197086512470206</v>
      </c>
      <c r="M163" s="6" t="str">
        <f t="shared" si="17"/>
        <v>Medium Ratings</v>
      </c>
      <c r="N163" s="34">
        <f t="array" ref="N163">MEDIAN(_xlfn._xlws.FILTER(Table4[Original Price],Table4[Brand-Renamed] = Table4[[#This Row],[Brand]]))</f>
        <v>87400</v>
      </c>
      <c r="O163" s="35">
        <f t="array" ref="O163">MEDIAN(_xlfn._xlws.FILTER(Table4[Selling Price],Table4[Brand-Renamed] =Table4[[#This Row],[Brand-Renamed]]))</f>
        <v>64294.5</v>
      </c>
    </row>
    <row r="164" spans="1:15" ht="13.8" x14ac:dyDescent="0.25">
      <c r="A164" s="4" t="s">
        <v>126</v>
      </c>
      <c r="B164" s="4" t="str">
        <f t="shared" si="12"/>
        <v xml:space="preserve">Sony </v>
      </c>
      <c r="C164" s="4" t="s">
        <v>32</v>
      </c>
      <c r="D164" s="4">
        <v>55</v>
      </c>
      <c r="E164" s="4">
        <v>73999</v>
      </c>
      <c r="F164" s="4">
        <v>99990</v>
      </c>
      <c r="G164" s="4" t="s">
        <v>60</v>
      </c>
      <c r="H164" s="4">
        <v>4.5</v>
      </c>
      <c r="I164" s="4">
        <f t="shared" si="13"/>
        <v>25991</v>
      </c>
      <c r="J164">
        <f t="shared" si="14"/>
        <v>0.25993599359935993</v>
      </c>
      <c r="K164" s="4">
        <f t="shared" si="15"/>
        <v>-25991</v>
      </c>
      <c r="L164" s="5">
        <f t="shared" si="16"/>
        <v>-0.3512344761415695</v>
      </c>
      <c r="M164" s="4" t="str">
        <f t="shared" si="17"/>
        <v>Good Ratings</v>
      </c>
      <c r="N164" s="34">
        <f t="array" ref="N164">MEDIAN(_xlfn._xlws.FILTER(Table4[Original Price],Table4[Brand-Renamed] = Table4[[#This Row],[Brand]]))</f>
        <v>87400</v>
      </c>
      <c r="O164" s="35">
        <f t="array" ref="O164">MEDIAN(_xlfn._xlws.FILTER(Table4[Selling Price],Table4[Brand-Renamed] =Table4[[#This Row],[Brand-Renamed]]))</f>
        <v>64294.5</v>
      </c>
    </row>
    <row r="165" spans="1:15" ht="13.8" x14ac:dyDescent="0.25">
      <c r="A165" s="6" t="s">
        <v>45</v>
      </c>
      <c r="B165" s="4" t="str">
        <f t="shared" si="12"/>
        <v xml:space="preserve">Croma </v>
      </c>
      <c r="C165" s="6" t="s">
        <v>19</v>
      </c>
      <c r="D165" s="6">
        <v>32</v>
      </c>
      <c r="E165" s="6">
        <v>10990</v>
      </c>
      <c r="F165" s="6">
        <v>20000</v>
      </c>
      <c r="G165" s="6" t="s">
        <v>54</v>
      </c>
      <c r="H165" s="6">
        <v>4.8</v>
      </c>
      <c r="I165" s="6">
        <f t="shared" si="13"/>
        <v>9010</v>
      </c>
      <c r="J165">
        <f t="shared" si="14"/>
        <v>0.45050000000000001</v>
      </c>
      <c r="K165" s="6">
        <f t="shared" si="15"/>
        <v>-9010</v>
      </c>
      <c r="L165" s="7">
        <f t="shared" si="16"/>
        <v>-0.81983621474067336</v>
      </c>
      <c r="M165" s="6" t="str">
        <f t="shared" si="17"/>
        <v>Good Ratings</v>
      </c>
      <c r="N165" s="34">
        <f t="array" ref="N165">MEDIAN(_xlfn._xlws.FILTER(Table4[Original Price],Table4[Brand-Renamed] = Table4[[#This Row],[Brand]]))</f>
        <v>25000</v>
      </c>
      <c r="O165" s="35">
        <f t="array" ref="O165">MEDIAN(_xlfn._xlws.FILTER(Table4[Selling Price],Table4[Brand-Renamed] =Table4[[#This Row],[Brand-Renamed]]))</f>
        <v>17740</v>
      </c>
    </row>
    <row r="166" spans="1:15" ht="13.8" x14ac:dyDescent="0.25">
      <c r="A166" s="4" t="s">
        <v>125</v>
      </c>
      <c r="B166" s="4" t="str">
        <f t="shared" si="12"/>
        <v>Samsung</v>
      </c>
      <c r="C166" s="4" t="s">
        <v>32</v>
      </c>
      <c r="D166" s="4">
        <v>50</v>
      </c>
      <c r="E166" s="4">
        <v>57989</v>
      </c>
      <c r="F166" s="4">
        <v>73900</v>
      </c>
      <c r="G166" s="4" t="s">
        <v>56</v>
      </c>
      <c r="H166" s="4">
        <v>4.7</v>
      </c>
      <c r="I166" s="4">
        <f t="shared" si="13"/>
        <v>15911</v>
      </c>
      <c r="J166">
        <f t="shared" si="14"/>
        <v>0.21530446549391069</v>
      </c>
      <c r="K166" s="4">
        <f t="shared" si="15"/>
        <v>-15911</v>
      </c>
      <c r="L166" s="5">
        <f t="shared" si="16"/>
        <v>-0.27437962372174035</v>
      </c>
      <c r="M166" s="4" t="str">
        <f t="shared" si="17"/>
        <v>Good Ratings</v>
      </c>
      <c r="N166" s="34">
        <f t="array" ref="N166">MEDIAN(_xlfn._xlws.FILTER(Table4[Original Price],Table4[Brand-Renamed] = Table4[[#This Row],[Brand]]))</f>
        <v>100945</v>
      </c>
      <c r="O166" s="35">
        <f t="array" ref="O166">MEDIAN(_xlfn._xlws.FILTER(Table4[Selling Price],Table4[Brand-Renamed] =Table4[[#This Row],[Brand-Renamed]]))</f>
        <v>74490</v>
      </c>
    </row>
    <row r="167" spans="1:15" ht="13.8" x14ac:dyDescent="0.25">
      <c r="A167" s="6" t="s">
        <v>122</v>
      </c>
      <c r="B167" s="4" t="str">
        <f t="shared" si="12"/>
        <v xml:space="preserve">Lg </v>
      </c>
      <c r="C167" s="6" t="s">
        <v>32</v>
      </c>
      <c r="D167" s="6">
        <v>65</v>
      </c>
      <c r="E167" s="6">
        <v>129999</v>
      </c>
      <c r="F167" s="6">
        <v>229900</v>
      </c>
      <c r="G167" s="6" t="s">
        <v>58</v>
      </c>
      <c r="H167" s="6">
        <v>5</v>
      </c>
      <c r="I167" s="6">
        <f t="shared" si="13"/>
        <v>99901</v>
      </c>
      <c r="J167">
        <f t="shared" si="14"/>
        <v>0.43454110482818614</v>
      </c>
      <c r="K167" s="6">
        <f t="shared" si="15"/>
        <v>-99901</v>
      </c>
      <c r="L167" s="7">
        <f t="shared" si="16"/>
        <v>-0.76847514211647783</v>
      </c>
      <c r="M167" s="6" t="str">
        <f t="shared" si="17"/>
        <v>Good Ratings</v>
      </c>
      <c r="N167" s="34">
        <f t="array" ref="N167">MEDIAN(_xlfn._xlws.FILTER(Table4[Original Price],Table4[Brand-Renamed] = Table4[[#This Row],[Brand]]))</f>
        <v>98990</v>
      </c>
      <c r="O167" s="35">
        <f t="array" ref="O167">MEDIAN(_xlfn._xlws.FILTER(Table4[Selling Price],Table4[Brand-Renamed] =Table4[[#This Row],[Brand-Renamed]]))</f>
        <v>76737</v>
      </c>
    </row>
    <row r="168" spans="1:15" ht="13.8" x14ac:dyDescent="0.25">
      <c r="A168" s="4" t="s">
        <v>125</v>
      </c>
      <c r="B168" s="4" t="str">
        <f t="shared" si="12"/>
        <v>Samsung</v>
      </c>
      <c r="C168" s="4" t="s">
        <v>29</v>
      </c>
      <c r="D168" s="4">
        <v>55</v>
      </c>
      <c r="E168" s="4">
        <v>84990</v>
      </c>
      <c r="F168" s="4">
        <v>134900</v>
      </c>
      <c r="G168" s="4" t="s">
        <v>56</v>
      </c>
      <c r="H168" s="4">
        <v>4.7</v>
      </c>
      <c r="I168" s="4">
        <f t="shared" si="13"/>
        <v>49910</v>
      </c>
      <c r="J168">
        <f t="shared" si="14"/>
        <v>0.36997776130467014</v>
      </c>
      <c r="K168" s="4">
        <f t="shared" si="15"/>
        <v>-49910</v>
      </c>
      <c r="L168" s="5">
        <f t="shared" si="16"/>
        <v>-0.58724555830097658</v>
      </c>
      <c r="M168" s="4" t="str">
        <f t="shared" si="17"/>
        <v>Good Ratings</v>
      </c>
      <c r="N168" s="34">
        <f t="array" ref="N168">MEDIAN(_xlfn._xlws.FILTER(Table4[Original Price],Table4[Brand-Renamed] = Table4[[#This Row],[Brand]]))</f>
        <v>100945</v>
      </c>
      <c r="O168" s="35">
        <f t="array" ref="O168">MEDIAN(_xlfn._xlws.FILTER(Table4[Selling Price],Table4[Brand-Renamed] =Table4[[#This Row],[Brand-Renamed]]))</f>
        <v>74490</v>
      </c>
    </row>
    <row r="169" spans="1:15" ht="13.8" x14ac:dyDescent="0.25">
      <c r="A169" s="6" t="s">
        <v>125</v>
      </c>
      <c r="B169" s="4" t="str">
        <f t="shared" si="12"/>
        <v>Samsung</v>
      </c>
      <c r="C169" s="6" t="s">
        <v>32</v>
      </c>
      <c r="D169" s="6">
        <v>43</v>
      </c>
      <c r="E169" s="6">
        <v>45400</v>
      </c>
      <c r="F169" s="6">
        <v>56900</v>
      </c>
      <c r="G169" s="6" t="s">
        <v>60</v>
      </c>
      <c r="H169" s="6">
        <v>4.3</v>
      </c>
      <c r="I169" s="6">
        <f t="shared" si="13"/>
        <v>11500</v>
      </c>
      <c r="J169">
        <f t="shared" si="14"/>
        <v>0.20210896309314588</v>
      </c>
      <c r="K169" s="6">
        <f t="shared" si="15"/>
        <v>-11500</v>
      </c>
      <c r="L169" s="7">
        <f t="shared" si="16"/>
        <v>-0.25330396475770928</v>
      </c>
      <c r="M169" s="6" t="str">
        <f t="shared" si="17"/>
        <v>Medium Ratings</v>
      </c>
      <c r="N169" s="34">
        <f t="array" ref="N169">MEDIAN(_xlfn._xlws.FILTER(Table4[Original Price],Table4[Brand-Renamed] = Table4[[#This Row],[Brand]]))</f>
        <v>100945</v>
      </c>
      <c r="O169" s="35">
        <f t="array" ref="O169">MEDIAN(_xlfn._xlws.FILTER(Table4[Selling Price],Table4[Brand-Renamed] =Table4[[#This Row],[Brand-Renamed]]))</f>
        <v>74490</v>
      </c>
    </row>
    <row r="170" spans="1:15" ht="13.8" x14ac:dyDescent="0.25">
      <c r="A170" s="4" t="s">
        <v>45</v>
      </c>
      <c r="B170" s="4" t="str">
        <f t="shared" si="12"/>
        <v xml:space="preserve">Croma </v>
      </c>
      <c r="C170" s="4" t="s">
        <v>19</v>
      </c>
      <c r="D170" s="4">
        <v>24</v>
      </c>
      <c r="E170" s="4">
        <v>7990</v>
      </c>
      <c r="F170" s="4">
        <v>15000</v>
      </c>
      <c r="G170" s="4" t="s">
        <v>54</v>
      </c>
      <c r="H170" s="4"/>
      <c r="I170" s="4">
        <f t="shared" si="13"/>
        <v>7010</v>
      </c>
      <c r="J170">
        <f t="shared" si="14"/>
        <v>0.46733333333333332</v>
      </c>
      <c r="K170" s="4">
        <f t="shared" si="15"/>
        <v>-7010</v>
      </c>
      <c r="L170" s="5">
        <f t="shared" si="16"/>
        <v>-0.87734668335419275</v>
      </c>
      <c r="M170" s="4" t="str">
        <f t="shared" si="17"/>
        <v>Ratings Not Given</v>
      </c>
      <c r="N170" s="34">
        <f t="array" ref="N170">MEDIAN(_xlfn._xlws.FILTER(Table4[Original Price],Table4[Brand-Renamed] = Table4[[#This Row],[Brand]]))</f>
        <v>25000</v>
      </c>
      <c r="O170" s="35">
        <f t="array" ref="O170">MEDIAN(_xlfn._xlws.FILTER(Table4[Selling Price],Table4[Brand-Renamed] =Table4[[#This Row],[Brand-Renamed]]))</f>
        <v>17740</v>
      </c>
    </row>
    <row r="171" spans="1:15" ht="13.8" x14ac:dyDescent="0.25">
      <c r="A171" s="6" t="s">
        <v>122</v>
      </c>
      <c r="B171" s="4" t="str">
        <f t="shared" si="12"/>
        <v xml:space="preserve">Lg </v>
      </c>
      <c r="C171" s="6" t="s">
        <v>32</v>
      </c>
      <c r="D171" s="6">
        <v>55</v>
      </c>
      <c r="E171" s="6">
        <v>137490</v>
      </c>
      <c r="F171" s="6">
        <v>299990</v>
      </c>
      <c r="G171" s="6" t="s">
        <v>58</v>
      </c>
      <c r="H171" s="6"/>
      <c r="I171" s="6">
        <f t="shared" si="13"/>
        <v>162500</v>
      </c>
      <c r="J171">
        <f t="shared" si="14"/>
        <v>0.54168472282409419</v>
      </c>
      <c r="K171" s="6">
        <f t="shared" si="15"/>
        <v>-162500</v>
      </c>
      <c r="L171" s="7">
        <f t="shared" si="16"/>
        <v>-1.1819041384827988</v>
      </c>
      <c r="M171" s="6" t="str">
        <f t="shared" si="17"/>
        <v>Ratings Not Given</v>
      </c>
      <c r="N171" s="34">
        <f t="array" ref="N171">MEDIAN(_xlfn._xlws.FILTER(Table4[Original Price],Table4[Brand-Renamed] = Table4[[#This Row],[Brand]]))</f>
        <v>98990</v>
      </c>
      <c r="O171" s="35">
        <f t="array" ref="O171">MEDIAN(_xlfn._xlws.FILTER(Table4[Selling Price],Table4[Brand-Renamed] =Table4[[#This Row],[Brand-Renamed]]))</f>
        <v>76737</v>
      </c>
    </row>
    <row r="172" spans="1:15" ht="13.8" x14ac:dyDescent="0.25">
      <c r="A172" s="4" t="s">
        <v>125</v>
      </c>
      <c r="B172" s="4" t="str">
        <f t="shared" si="12"/>
        <v>Samsung</v>
      </c>
      <c r="C172" s="4" t="s">
        <v>19</v>
      </c>
      <c r="D172" s="4">
        <v>32</v>
      </c>
      <c r="E172" s="4">
        <v>29900</v>
      </c>
      <c r="F172" s="4">
        <v>29900</v>
      </c>
      <c r="G172" s="4" t="s">
        <v>56</v>
      </c>
      <c r="H172" s="4">
        <v>3.8</v>
      </c>
      <c r="I172" s="4">
        <f t="shared" si="13"/>
        <v>0</v>
      </c>
      <c r="J172" t="str">
        <f t="shared" si="14"/>
        <v>Discount Not Applied</v>
      </c>
      <c r="K172" s="4">
        <f t="shared" si="15"/>
        <v>0</v>
      </c>
      <c r="L172" s="5">
        <f t="shared" si="16"/>
        <v>0</v>
      </c>
      <c r="M172" s="4" t="str">
        <f t="shared" si="17"/>
        <v>Medium Ratings</v>
      </c>
      <c r="N172" s="34">
        <f t="array" ref="N172">MEDIAN(_xlfn._xlws.FILTER(Table4[Original Price],Table4[Brand-Renamed] = Table4[[#This Row],[Brand]]))</f>
        <v>100945</v>
      </c>
      <c r="O172" s="35">
        <f t="array" ref="O172">MEDIAN(_xlfn._xlws.FILTER(Table4[Selling Price],Table4[Brand-Renamed] =Table4[[#This Row],[Brand-Renamed]]))</f>
        <v>74490</v>
      </c>
    </row>
    <row r="173" spans="1:15" ht="13.8" x14ac:dyDescent="0.25">
      <c r="A173" s="6" t="s">
        <v>119</v>
      </c>
      <c r="B173" s="4" t="str">
        <f t="shared" si="12"/>
        <v xml:space="preserve">Tcl </v>
      </c>
      <c r="C173" s="6" t="s">
        <v>19</v>
      </c>
      <c r="D173" s="6">
        <v>32</v>
      </c>
      <c r="E173" s="6">
        <v>14339</v>
      </c>
      <c r="F173" s="6">
        <v>22990</v>
      </c>
      <c r="G173" s="6" t="s">
        <v>54</v>
      </c>
      <c r="H173" s="6">
        <v>4.3</v>
      </c>
      <c r="I173" s="6">
        <f t="shared" si="13"/>
        <v>8651</v>
      </c>
      <c r="J173">
        <f t="shared" si="14"/>
        <v>0.37629404088734231</v>
      </c>
      <c r="K173" s="6">
        <f t="shared" si="15"/>
        <v>-8651</v>
      </c>
      <c r="L173" s="7">
        <f t="shared" si="16"/>
        <v>-0.6033196178255108</v>
      </c>
      <c r="M173" s="6" t="str">
        <f t="shared" si="17"/>
        <v>Medium Ratings</v>
      </c>
      <c r="N173" s="34">
        <f t="array" ref="N173">MEDIAN(_xlfn._xlws.FILTER(Table4[Original Price],Table4[Brand-Renamed] = Table4[[#This Row],[Brand]]))</f>
        <v>77990</v>
      </c>
      <c r="O173" s="35">
        <f t="array" ref="O173">MEDIAN(_xlfn._xlws.FILTER(Table4[Selling Price],Table4[Brand-Renamed] =Table4[[#This Row],[Brand-Renamed]]))</f>
        <v>40999</v>
      </c>
    </row>
    <row r="174" spans="1:15" ht="13.8" x14ac:dyDescent="0.25">
      <c r="A174" s="4" t="s">
        <v>122</v>
      </c>
      <c r="B174" s="4" t="str">
        <f t="shared" si="12"/>
        <v xml:space="preserve">Lg </v>
      </c>
      <c r="C174" s="4" t="s">
        <v>32</v>
      </c>
      <c r="D174" s="4">
        <v>48</v>
      </c>
      <c r="E174" s="4">
        <v>89999</v>
      </c>
      <c r="F174" s="4">
        <v>169990</v>
      </c>
      <c r="G174" s="4" t="s">
        <v>58</v>
      </c>
      <c r="H174" s="4">
        <v>2.7</v>
      </c>
      <c r="I174" s="4">
        <f t="shared" si="13"/>
        <v>79991</v>
      </c>
      <c r="J174">
        <f t="shared" si="14"/>
        <v>0.47056297429260546</v>
      </c>
      <c r="K174" s="4">
        <f t="shared" si="15"/>
        <v>-79991</v>
      </c>
      <c r="L174" s="5">
        <f t="shared" si="16"/>
        <v>-0.88879876443071593</v>
      </c>
      <c r="M174" s="4" t="str">
        <f t="shared" si="17"/>
        <v>Bad Ratings</v>
      </c>
      <c r="N174" s="34">
        <f t="array" ref="N174">MEDIAN(_xlfn._xlws.FILTER(Table4[Original Price],Table4[Brand-Renamed] = Table4[[#This Row],[Brand]]))</f>
        <v>98990</v>
      </c>
      <c r="O174" s="35">
        <f t="array" ref="O174">MEDIAN(_xlfn._xlws.FILTER(Table4[Selling Price],Table4[Brand-Renamed] =Table4[[#This Row],[Brand-Renamed]]))</f>
        <v>76737</v>
      </c>
    </row>
    <row r="175" spans="1:15" ht="13.8" x14ac:dyDescent="0.25">
      <c r="A175" s="6" t="s">
        <v>119</v>
      </c>
      <c r="B175" s="4" t="str">
        <f t="shared" si="12"/>
        <v xml:space="preserve">Tcl </v>
      </c>
      <c r="C175" s="6" t="s">
        <v>32</v>
      </c>
      <c r="D175" s="6">
        <v>65</v>
      </c>
      <c r="E175" s="6">
        <v>146999</v>
      </c>
      <c r="F175" s="6">
        <v>299990</v>
      </c>
      <c r="G175" s="6" t="s">
        <v>54</v>
      </c>
      <c r="H175" s="6"/>
      <c r="I175" s="6">
        <f t="shared" si="13"/>
        <v>152991</v>
      </c>
      <c r="J175">
        <f t="shared" si="14"/>
        <v>0.50998699956665228</v>
      </c>
      <c r="K175" s="6">
        <f t="shared" si="15"/>
        <v>-152991</v>
      </c>
      <c r="L175" s="7">
        <f t="shared" si="16"/>
        <v>-1.0407621820556603</v>
      </c>
      <c r="M175" s="6" t="str">
        <f t="shared" si="17"/>
        <v>Ratings Not Given</v>
      </c>
      <c r="N175" s="34">
        <f t="array" ref="N175">MEDIAN(_xlfn._xlws.FILTER(Table4[Original Price],Table4[Brand-Renamed] = Table4[[#This Row],[Brand]]))</f>
        <v>77990</v>
      </c>
      <c r="O175" s="35">
        <f t="array" ref="O175">MEDIAN(_xlfn._xlws.FILTER(Table4[Selling Price],Table4[Brand-Renamed] =Table4[[#This Row],[Brand-Renamed]]))</f>
        <v>40999</v>
      </c>
    </row>
    <row r="176" spans="1:15" ht="13.8" x14ac:dyDescent="0.25">
      <c r="A176" s="4" t="s">
        <v>122</v>
      </c>
      <c r="B176" s="4" t="str">
        <f t="shared" si="12"/>
        <v xml:space="preserve">Lg </v>
      </c>
      <c r="C176" s="4" t="s">
        <v>32</v>
      </c>
      <c r="D176" s="4">
        <v>43</v>
      </c>
      <c r="E176" s="4">
        <v>54990</v>
      </c>
      <c r="F176" s="4">
        <v>54990</v>
      </c>
      <c r="G176" s="4" t="s">
        <v>58</v>
      </c>
      <c r="H176" s="4">
        <v>4.4000000000000004</v>
      </c>
      <c r="I176" s="4">
        <f t="shared" si="13"/>
        <v>0</v>
      </c>
      <c r="J176" t="str">
        <f t="shared" si="14"/>
        <v>Discount Not Applied</v>
      </c>
      <c r="K176" s="4">
        <f t="shared" si="15"/>
        <v>0</v>
      </c>
      <c r="L176" s="5">
        <f t="shared" si="16"/>
        <v>0</v>
      </c>
      <c r="M176" s="4" t="str">
        <f t="shared" si="17"/>
        <v>Medium Ratings</v>
      </c>
      <c r="N176" s="34">
        <f t="array" ref="N176">MEDIAN(_xlfn._xlws.FILTER(Table4[Original Price],Table4[Brand-Renamed] = Table4[[#This Row],[Brand]]))</f>
        <v>98990</v>
      </c>
      <c r="O176" s="35">
        <f t="array" ref="O176">MEDIAN(_xlfn._xlws.FILTER(Table4[Selling Price],Table4[Brand-Renamed] =Table4[[#This Row],[Brand-Renamed]]))</f>
        <v>76737</v>
      </c>
    </row>
    <row r="177" spans="1:15" ht="13.8" x14ac:dyDescent="0.25">
      <c r="A177" s="6" t="s">
        <v>122</v>
      </c>
      <c r="B177" s="4" t="str">
        <f t="shared" si="12"/>
        <v xml:space="preserve">Lg </v>
      </c>
      <c r="C177" s="6" t="s">
        <v>32</v>
      </c>
      <c r="D177" s="6">
        <v>55</v>
      </c>
      <c r="E177" s="6">
        <v>64999</v>
      </c>
      <c r="F177" s="6">
        <v>93990</v>
      </c>
      <c r="G177" s="6" t="s">
        <v>58</v>
      </c>
      <c r="H177" s="6">
        <v>4.3</v>
      </c>
      <c r="I177" s="6">
        <f t="shared" si="13"/>
        <v>28991</v>
      </c>
      <c r="J177">
        <f t="shared" si="14"/>
        <v>0.30844770720289394</v>
      </c>
      <c r="K177" s="6">
        <f t="shared" si="15"/>
        <v>-28991</v>
      </c>
      <c r="L177" s="7">
        <f t="shared" si="16"/>
        <v>-0.44602224649609995</v>
      </c>
      <c r="M177" s="6" t="str">
        <f t="shared" si="17"/>
        <v>Medium Ratings</v>
      </c>
      <c r="N177" s="34">
        <f t="array" ref="N177">MEDIAN(_xlfn._xlws.FILTER(Table4[Original Price],Table4[Brand-Renamed] = Table4[[#This Row],[Brand]]))</f>
        <v>98990</v>
      </c>
      <c r="O177" s="35">
        <f t="array" ref="O177">MEDIAN(_xlfn._xlws.FILTER(Table4[Selling Price],Table4[Brand-Renamed] =Table4[[#This Row],[Brand-Renamed]]))</f>
        <v>76737</v>
      </c>
    </row>
    <row r="178" spans="1:15" ht="13.8" x14ac:dyDescent="0.25">
      <c r="A178" s="4" t="s">
        <v>122</v>
      </c>
      <c r="B178" s="4" t="str">
        <f t="shared" si="12"/>
        <v xml:space="preserve">Lg </v>
      </c>
      <c r="C178" s="4" t="s">
        <v>19</v>
      </c>
      <c r="D178" s="4">
        <v>32</v>
      </c>
      <c r="E178" s="4">
        <v>28401</v>
      </c>
      <c r="F178" s="4">
        <v>30990</v>
      </c>
      <c r="G178" s="4" t="s">
        <v>58</v>
      </c>
      <c r="H178" s="4">
        <v>4.4000000000000004</v>
      </c>
      <c r="I178" s="4">
        <f t="shared" si="13"/>
        <v>2589</v>
      </c>
      <c r="J178">
        <f t="shared" si="14"/>
        <v>8.35430784123911E-2</v>
      </c>
      <c r="K178" s="4">
        <f t="shared" si="15"/>
        <v>-2589</v>
      </c>
      <c r="L178" s="5">
        <f t="shared" si="16"/>
        <v>-9.1158762015421987E-2</v>
      </c>
      <c r="M178" s="4" t="str">
        <f t="shared" si="17"/>
        <v>Medium Ratings</v>
      </c>
      <c r="N178" s="34">
        <f t="array" ref="N178">MEDIAN(_xlfn._xlws.FILTER(Table4[Original Price],Table4[Brand-Renamed] = Table4[[#This Row],[Brand]]))</f>
        <v>98990</v>
      </c>
      <c r="O178" s="35">
        <f t="array" ref="O178">MEDIAN(_xlfn._xlws.FILTER(Table4[Selling Price],Table4[Brand-Renamed] =Table4[[#This Row],[Brand-Renamed]]))</f>
        <v>76737</v>
      </c>
    </row>
    <row r="179" spans="1:15" ht="13.8" x14ac:dyDescent="0.25">
      <c r="A179" s="6" t="s">
        <v>81</v>
      </c>
      <c r="B179" s="4" t="str">
        <f t="shared" si="12"/>
        <v xml:space="preserve">Sansui </v>
      </c>
      <c r="C179" s="6" t="s">
        <v>8</v>
      </c>
      <c r="D179" s="6">
        <v>43</v>
      </c>
      <c r="E179" s="6">
        <v>27490</v>
      </c>
      <c r="F179" s="6">
        <v>33990</v>
      </c>
      <c r="G179" s="6" t="s">
        <v>54</v>
      </c>
      <c r="H179" s="6">
        <v>4.0999999999999996</v>
      </c>
      <c r="I179" s="6">
        <f t="shared" si="13"/>
        <v>6500</v>
      </c>
      <c r="J179">
        <f t="shared" si="14"/>
        <v>0.19123271550456017</v>
      </c>
      <c r="K179" s="6">
        <f t="shared" si="15"/>
        <v>-6500</v>
      </c>
      <c r="L179" s="7">
        <f t="shared" si="16"/>
        <v>-0.23644961804292469</v>
      </c>
      <c r="M179" s="6" t="str">
        <f t="shared" si="17"/>
        <v>Medium Ratings</v>
      </c>
      <c r="N179" s="34">
        <f t="array" ref="N179">MEDIAN(_xlfn._xlws.FILTER(Table4[Original Price],Table4[Brand-Renamed] = Table4[[#This Row],[Brand]]))</f>
        <v>35174.5</v>
      </c>
      <c r="O179" s="35">
        <f t="array" ref="O179">MEDIAN(_xlfn._xlws.FILTER(Table4[Selling Price],Table4[Brand-Renamed] =Table4[[#This Row],[Brand-Renamed]]))</f>
        <v>29990</v>
      </c>
    </row>
    <row r="180" spans="1:15" ht="13.8" x14ac:dyDescent="0.25">
      <c r="A180" s="4" t="s">
        <v>122</v>
      </c>
      <c r="B180" s="4" t="str">
        <f t="shared" si="12"/>
        <v xml:space="preserve">Lg </v>
      </c>
      <c r="C180" s="4" t="s">
        <v>32</v>
      </c>
      <c r="D180" s="4">
        <v>43</v>
      </c>
      <c r="E180" s="4">
        <v>43599</v>
      </c>
      <c r="F180" s="4">
        <v>59990</v>
      </c>
      <c r="G180" s="4" t="s">
        <v>58</v>
      </c>
      <c r="H180" s="4"/>
      <c r="I180" s="4">
        <f t="shared" si="13"/>
        <v>16391</v>
      </c>
      <c r="J180">
        <f t="shared" si="14"/>
        <v>0.27322887147857977</v>
      </c>
      <c r="K180" s="4">
        <f t="shared" si="15"/>
        <v>-16391</v>
      </c>
      <c r="L180" s="5">
        <f t="shared" si="16"/>
        <v>-0.37594898965572604</v>
      </c>
      <c r="M180" s="4" t="str">
        <f t="shared" si="17"/>
        <v>Ratings Not Given</v>
      </c>
      <c r="N180" s="34">
        <f t="array" ref="N180">MEDIAN(_xlfn._xlws.FILTER(Table4[Original Price],Table4[Brand-Renamed] = Table4[[#This Row],[Brand]]))</f>
        <v>98990</v>
      </c>
      <c r="O180" s="35">
        <f t="array" ref="O180">MEDIAN(_xlfn._xlws.FILTER(Table4[Selling Price],Table4[Brand-Renamed] =Table4[[#This Row],[Brand-Renamed]]))</f>
        <v>76737</v>
      </c>
    </row>
    <row r="181" spans="1:15" ht="13.8" x14ac:dyDescent="0.25">
      <c r="A181" s="6" t="s">
        <v>125</v>
      </c>
      <c r="B181" s="4" t="str">
        <f t="shared" si="12"/>
        <v>Samsung</v>
      </c>
      <c r="C181" s="6" t="s">
        <v>32</v>
      </c>
      <c r="D181" s="6">
        <v>55</v>
      </c>
      <c r="E181" s="6">
        <v>59990</v>
      </c>
      <c r="F181" s="6">
        <v>88900</v>
      </c>
      <c r="G181" s="6" t="s">
        <v>56</v>
      </c>
      <c r="H181" s="6"/>
      <c r="I181" s="6">
        <f t="shared" si="13"/>
        <v>28910</v>
      </c>
      <c r="J181">
        <f t="shared" si="14"/>
        <v>0.32519685039370078</v>
      </c>
      <c r="K181" s="6">
        <f t="shared" si="15"/>
        <v>-28910</v>
      </c>
      <c r="L181" s="7">
        <f t="shared" si="16"/>
        <v>-0.48191365227537925</v>
      </c>
      <c r="M181" s="6" t="str">
        <f t="shared" si="17"/>
        <v>Ratings Not Given</v>
      </c>
      <c r="N181" s="34">
        <f t="array" ref="N181">MEDIAN(_xlfn._xlws.FILTER(Table4[Original Price],Table4[Brand-Renamed] = Table4[[#This Row],[Brand]]))</f>
        <v>100945</v>
      </c>
      <c r="O181" s="35">
        <f t="array" ref="O181">MEDIAN(_xlfn._xlws.FILTER(Table4[Selling Price],Table4[Brand-Renamed] =Table4[[#This Row],[Brand-Renamed]]))</f>
        <v>74490</v>
      </c>
    </row>
    <row r="182" spans="1:15" ht="13.8" x14ac:dyDescent="0.25">
      <c r="A182" s="4" t="s">
        <v>122</v>
      </c>
      <c r="B182" s="4" t="str">
        <f t="shared" si="12"/>
        <v xml:space="preserve">Lg </v>
      </c>
      <c r="C182" s="4" t="s">
        <v>32</v>
      </c>
      <c r="D182" s="4">
        <v>55</v>
      </c>
      <c r="E182" s="4">
        <v>76197</v>
      </c>
      <c r="F182" s="4">
        <v>129990</v>
      </c>
      <c r="G182" s="4" t="s">
        <v>58</v>
      </c>
      <c r="H182" s="4">
        <v>4.8</v>
      </c>
      <c r="I182" s="4">
        <f t="shared" si="13"/>
        <v>53793</v>
      </c>
      <c r="J182">
        <f t="shared" si="14"/>
        <v>0.41382414031848602</v>
      </c>
      <c r="K182" s="4">
        <f t="shared" si="15"/>
        <v>-53793</v>
      </c>
      <c r="L182" s="5">
        <f t="shared" si="16"/>
        <v>-0.70597267608960979</v>
      </c>
      <c r="M182" s="4" t="str">
        <f t="shared" si="17"/>
        <v>Good Ratings</v>
      </c>
      <c r="N182" s="34">
        <f t="array" ref="N182">MEDIAN(_xlfn._xlws.FILTER(Table4[Original Price],Table4[Brand-Renamed] = Table4[[#This Row],[Brand]]))</f>
        <v>98990</v>
      </c>
      <c r="O182" s="35">
        <f t="array" ref="O182">MEDIAN(_xlfn._xlws.FILTER(Table4[Selling Price],Table4[Brand-Renamed] =Table4[[#This Row],[Brand-Renamed]]))</f>
        <v>76737</v>
      </c>
    </row>
    <row r="183" spans="1:15" ht="13.8" x14ac:dyDescent="0.25">
      <c r="A183" s="6" t="s">
        <v>120</v>
      </c>
      <c r="B183" s="4" t="str">
        <f t="shared" si="12"/>
        <v xml:space="preserve">Realme </v>
      </c>
      <c r="C183" s="6" t="s">
        <v>8</v>
      </c>
      <c r="D183" s="6">
        <v>32</v>
      </c>
      <c r="E183" s="6">
        <v>17999</v>
      </c>
      <c r="F183" s="6">
        <v>23999</v>
      </c>
      <c r="G183" s="6" t="s">
        <v>54</v>
      </c>
      <c r="H183" s="6">
        <v>4.2</v>
      </c>
      <c r="I183" s="6">
        <f t="shared" si="13"/>
        <v>6000</v>
      </c>
      <c r="J183">
        <f t="shared" si="14"/>
        <v>0.25001041710071253</v>
      </c>
      <c r="K183" s="6">
        <f t="shared" si="15"/>
        <v>-6000</v>
      </c>
      <c r="L183" s="7">
        <f t="shared" si="16"/>
        <v>-0.33335185288071562</v>
      </c>
      <c r="M183" s="6" t="str">
        <f t="shared" si="17"/>
        <v>Medium Ratings</v>
      </c>
      <c r="N183" s="34">
        <f t="array" ref="N183">MEDIAN(_xlfn._xlws.FILTER(Table4[Original Price],Table4[Brand-Renamed] = Table4[[#This Row],[Brand]]))</f>
        <v>23999</v>
      </c>
      <c r="O183" s="35">
        <f t="array" ref="O183">MEDIAN(_xlfn._xlws.FILTER(Table4[Selling Price],Table4[Brand-Renamed] =Table4[[#This Row],[Brand-Renamed]]))</f>
        <v>17999</v>
      </c>
    </row>
    <row r="184" spans="1:15" ht="13.8" x14ac:dyDescent="0.25">
      <c r="A184" s="4" t="s">
        <v>21</v>
      </c>
      <c r="B184" s="4" t="str">
        <f t="shared" si="12"/>
        <v>Micromax</v>
      </c>
      <c r="C184" s="4" t="s">
        <v>8</v>
      </c>
      <c r="D184" s="4">
        <v>43</v>
      </c>
      <c r="E184" s="4">
        <v>22999</v>
      </c>
      <c r="F184" s="4">
        <v>26990</v>
      </c>
      <c r="G184" s="4" t="s">
        <v>54</v>
      </c>
      <c r="H184" s="4">
        <v>3.9</v>
      </c>
      <c r="I184" s="4">
        <f t="shared" si="13"/>
        <v>3991</v>
      </c>
      <c r="J184">
        <f t="shared" si="14"/>
        <v>0.1478695813264172</v>
      </c>
      <c r="K184" s="4">
        <f t="shared" si="15"/>
        <v>-3991</v>
      </c>
      <c r="L184" s="5">
        <f t="shared" si="16"/>
        <v>-0.17352928388190791</v>
      </c>
      <c r="M184" s="4" t="str">
        <f t="shared" si="17"/>
        <v>Medium Ratings</v>
      </c>
      <c r="N184" s="34">
        <f t="array" ref="N184">MEDIAN(_xlfn._xlws.FILTER(Table4[Original Price],Table4[Brand-Renamed] = Table4[[#This Row],[Brand]]))</f>
        <v>24990</v>
      </c>
      <c r="O184" s="35">
        <f t="array" ref="O184">MEDIAN(_xlfn._xlws.FILTER(Table4[Selling Price],Table4[Brand-Renamed] =Table4[[#This Row],[Brand-Renamed]]))</f>
        <v>16825</v>
      </c>
    </row>
    <row r="185" spans="1:15" ht="13.8" x14ac:dyDescent="0.25">
      <c r="A185" s="6" t="s">
        <v>125</v>
      </c>
      <c r="B185" s="4" t="str">
        <f t="shared" si="12"/>
        <v>Samsung</v>
      </c>
      <c r="C185" s="6" t="s">
        <v>29</v>
      </c>
      <c r="D185" s="6">
        <v>55</v>
      </c>
      <c r="E185" s="6">
        <v>159500</v>
      </c>
      <c r="F185" s="6">
        <v>244900</v>
      </c>
      <c r="G185" s="6" t="s">
        <v>56</v>
      </c>
      <c r="H185" s="6">
        <v>4.4000000000000004</v>
      </c>
      <c r="I185" s="6">
        <f t="shared" si="13"/>
        <v>85400</v>
      </c>
      <c r="J185">
        <f t="shared" si="14"/>
        <v>0.34871376071866067</v>
      </c>
      <c r="K185" s="6">
        <f t="shared" si="15"/>
        <v>-85400</v>
      </c>
      <c r="L185" s="7">
        <f t="shared" si="16"/>
        <v>-0.53542319749216305</v>
      </c>
      <c r="M185" s="6" t="str">
        <f t="shared" si="17"/>
        <v>Medium Ratings</v>
      </c>
      <c r="N185" s="34">
        <f t="array" ref="N185">MEDIAN(_xlfn._xlws.FILTER(Table4[Original Price],Table4[Brand-Renamed] = Table4[[#This Row],[Brand]]))</f>
        <v>100945</v>
      </c>
      <c r="O185" s="35">
        <f t="array" ref="O185">MEDIAN(_xlfn._xlws.FILTER(Table4[Selling Price],Table4[Brand-Renamed] =Table4[[#This Row],[Brand-Renamed]]))</f>
        <v>74490</v>
      </c>
    </row>
    <row r="186" spans="1:15" ht="13.8" x14ac:dyDescent="0.25">
      <c r="A186" s="4" t="s">
        <v>21</v>
      </c>
      <c r="B186" s="4" t="str">
        <f t="shared" si="12"/>
        <v>Micromax</v>
      </c>
      <c r="C186" s="4" t="s">
        <v>8</v>
      </c>
      <c r="D186" s="4">
        <v>43</v>
      </c>
      <c r="E186" s="4">
        <v>23990</v>
      </c>
      <c r="F186" s="4">
        <v>33000</v>
      </c>
      <c r="G186" s="4" t="s">
        <v>54</v>
      </c>
      <c r="H186" s="4">
        <v>4.3</v>
      </c>
      <c r="I186" s="4">
        <f t="shared" si="13"/>
        <v>9010</v>
      </c>
      <c r="J186">
        <f t="shared" si="14"/>
        <v>0.27303030303030301</v>
      </c>
      <c r="K186" s="4">
        <f t="shared" si="15"/>
        <v>-9010</v>
      </c>
      <c r="L186" s="5">
        <f t="shared" si="16"/>
        <v>-0.37557315548145059</v>
      </c>
      <c r="M186" s="4" t="str">
        <f t="shared" si="17"/>
        <v>Medium Ratings</v>
      </c>
      <c r="N186" s="34">
        <f t="array" ref="N186">MEDIAN(_xlfn._xlws.FILTER(Table4[Original Price],Table4[Brand-Renamed] = Table4[[#This Row],[Brand]]))</f>
        <v>24990</v>
      </c>
      <c r="O186" s="35">
        <f t="array" ref="O186">MEDIAN(_xlfn._xlws.FILTER(Table4[Selling Price],Table4[Brand-Renamed] =Table4[[#This Row],[Brand-Renamed]]))</f>
        <v>16825</v>
      </c>
    </row>
    <row r="187" spans="1:15" ht="13.8" x14ac:dyDescent="0.25">
      <c r="A187" s="6" t="s">
        <v>122</v>
      </c>
      <c r="B187" s="4" t="str">
        <f t="shared" si="12"/>
        <v xml:space="preserve">Lg </v>
      </c>
      <c r="C187" s="6" t="s">
        <v>32</v>
      </c>
      <c r="D187" s="6">
        <v>43</v>
      </c>
      <c r="E187" s="6">
        <v>47499</v>
      </c>
      <c r="F187" s="6">
        <v>75343</v>
      </c>
      <c r="G187" s="6" t="s">
        <v>58</v>
      </c>
      <c r="H187" s="6">
        <v>4.5</v>
      </c>
      <c r="I187" s="6">
        <f t="shared" si="13"/>
        <v>27844</v>
      </c>
      <c r="J187">
        <f t="shared" si="14"/>
        <v>0.36956319764278034</v>
      </c>
      <c r="K187" s="6">
        <f t="shared" si="15"/>
        <v>-27844</v>
      </c>
      <c r="L187" s="7">
        <f t="shared" si="16"/>
        <v>-0.58620181477504785</v>
      </c>
      <c r="M187" s="6" t="str">
        <f t="shared" si="17"/>
        <v>Good Ratings</v>
      </c>
      <c r="N187" s="34">
        <f t="array" ref="N187">MEDIAN(_xlfn._xlws.FILTER(Table4[Original Price],Table4[Brand-Renamed] = Table4[[#This Row],[Brand]]))</f>
        <v>98990</v>
      </c>
      <c r="O187" s="35">
        <f t="array" ref="O187">MEDIAN(_xlfn._xlws.FILTER(Table4[Selling Price],Table4[Brand-Renamed] =Table4[[#This Row],[Brand-Renamed]]))</f>
        <v>76737</v>
      </c>
    </row>
    <row r="188" spans="1:15" ht="13.8" x14ac:dyDescent="0.25">
      <c r="A188" s="4" t="s">
        <v>122</v>
      </c>
      <c r="B188" s="4" t="str">
        <f t="shared" si="12"/>
        <v xml:space="preserve">Lg </v>
      </c>
      <c r="C188" s="4" t="s">
        <v>32</v>
      </c>
      <c r="D188" s="4">
        <v>43</v>
      </c>
      <c r="E188" s="4">
        <v>46969</v>
      </c>
      <c r="F188" s="4">
        <v>64990</v>
      </c>
      <c r="G188" s="4" t="s">
        <v>58</v>
      </c>
      <c r="H188" s="4"/>
      <c r="I188" s="4">
        <f t="shared" si="13"/>
        <v>18021</v>
      </c>
      <c r="J188">
        <f t="shared" si="14"/>
        <v>0.27728881366364055</v>
      </c>
      <c r="K188" s="4">
        <f t="shared" si="15"/>
        <v>-18021</v>
      </c>
      <c r="L188" s="5">
        <f t="shared" si="16"/>
        <v>-0.38367859652110969</v>
      </c>
      <c r="M188" s="4" t="str">
        <f t="shared" si="17"/>
        <v>Ratings Not Given</v>
      </c>
      <c r="N188" s="34">
        <f t="array" ref="N188">MEDIAN(_xlfn._xlws.FILTER(Table4[Original Price],Table4[Brand-Renamed] = Table4[[#This Row],[Brand]]))</f>
        <v>98990</v>
      </c>
      <c r="O188" s="35">
        <f t="array" ref="O188">MEDIAN(_xlfn._xlws.FILTER(Table4[Selling Price],Table4[Brand-Renamed] =Table4[[#This Row],[Brand-Renamed]]))</f>
        <v>76737</v>
      </c>
    </row>
    <row r="189" spans="1:15" ht="13.8" x14ac:dyDescent="0.25">
      <c r="A189" s="6" t="s">
        <v>119</v>
      </c>
      <c r="B189" s="4" t="str">
        <f t="shared" si="12"/>
        <v xml:space="preserve">Tcl </v>
      </c>
      <c r="C189" s="6" t="s">
        <v>8</v>
      </c>
      <c r="D189" s="6">
        <v>75</v>
      </c>
      <c r="E189" s="6">
        <v>144790</v>
      </c>
      <c r="F189" s="6">
        <v>259990</v>
      </c>
      <c r="G189" s="6" t="s">
        <v>54</v>
      </c>
      <c r="H189" s="6">
        <v>4.3</v>
      </c>
      <c r="I189" s="6">
        <f t="shared" si="13"/>
        <v>115200</v>
      </c>
      <c r="J189">
        <f t="shared" si="14"/>
        <v>0.44309396515250588</v>
      </c>
      <c r="K189" s="6">
        <f t="shared" si="15"/>
        <v>-115200</v>
      </c>
      <c r="L189" s="7">
        <f t="shared" si="16"/>
        <v>-0.79563505766972853</v>
      </c>
      <c r="M189" s="6" t="str">
        <f t="shared" si="17"/>
        <v>Medium Ratings</v>
      </c>
      <c r="N189" s="34">
        <f t="array" ref="N189">MEDIAN(_xlfn._xlws.FILTER(Table4[Original Price],Table4[Brand-Renamed] = Table4[[#This Row],[Brand]]))</f>
        <v>77990</v>
      </c>
      <c r="O189" s="35">
        <f t="array" ref="O189">MEDIAN(_xlfn._xlws.FILTER(Table4[Selling Price],Table4[Brand-Renamed] =Table4[[#This Row],[Brand-Renamed]]))</f>
        <v>40999</v>
      </c>
    </row>
    <row r="190" spans="1:15" ht="13.8" x14ac:dyDescent="0.25">
      <c r="A190" s="4" t="s">
        <v>122</v>
      </c>
      <c r="B190" s="4" t="str">
        <f t="shared" si="12"/>
        <v xml:space="preserve">Lg </v>
      </c>
      <c r="C190" s="4" t="s">
        <v>19</v>
      </c>
      <c r="D190" s="4">
        <v>32</v>
      </c>
      <c r="E190" s="4">
        <v>22200</v>
      </c>
      <c r="F190" s="4">
        <v>25999</v>
      </c>
      <c r="G190" s="4" t="s">
        <v>58</v>
      </c>
      <c r="H190" s="4">
        <v>4.3</v>
      </c>
      <c r="I190" s="4">
        <f t="shared" si="13"/>
        <v>3799</v>
      </c>
      <c r="J190">
        <f t="shared" si="14"/>
        <v>0.14612100465402517</v>
      </c>
      <c r="K190" s="4">
        <f t="shared" si="15"/>
        <v>-3799</v>
      </c>
      <c r="L190" s="5">
        <f t="shared" si="16"/>
        <v>-0.17112612612612613</v>
      </c>
      <c r="M190" s="4" t="str">
        <f t="shared" si="17"/>
        <v>Medium Ratings</v>
      </c>
      <c r="N190" s="34">
        <f t="array" ref="N190">MEDIAN(_xlfn._xlws.FILTER(Table4[Original Price],Table4[Brand-Renamed] = Table4[[#This Row],[Brand]]))</f>
        <v>98990</v>
      </c>
      <c r="O190" s="35">
        <f t="array" ref="O190">MEDIAN(_xlfn._xlws.FILTER(Table4[Selling Price],Table4[Brand-Renamed] =Table4[[#This Row],[Brand-Renamed]]))</f>
        <v>76737</v>
      </c>
    </row>
    <row r="191" spans="1:15" ht="13.8" x14ac:dyDescent="0.25">
      <c r="A191" s="6" t="s">
        <v>41</v>
      </c>
      <c r="B191" s="4" t="str">
        <f t="shared" si="12"/>
        <v xml:space="preserve">Candes </v>
      </c>
      <c r="C191" s="6" t="s">
        <v>19</v>
      </c>
      <c r="D191" s="6">
        <v>24</v>
      </c>
      <c r="E191" s="6">
        <v>9999</v>
      </c>
      <c r="F191" s="6">
        <v>17990</v>
      </c>
      <c r="G191" s="6" t="s">
        <v>54</v>
      </c>
      <c r="H191" s="6">
        <v>4.0999999999999996</v>
      </c>
      <c r="I191" s="6">
        <f t="shared" si="13"/>
        <v>7991</v>
      </c>
      <c r="J191">
        <f t="shared" si="14"/>
        <v>0.44419121734296829</v>
      </c>
      <c r="K191" s="6">
        <f t="shared" si="15"/>
        <v>-7991</v>
      </c>
      <c r="L191" s="7">
        <f t="shared" si="16"/>
        <v>-0.79917991799179922</v>
      </c>
      <c r="M191" s="6" t="str">
        <f t="shared" si="17"/>
        <v>Medium Ratings</v>
      </c>
      <c r="N191" s="34">
        <f t="array" ref="N191">MEDIAN(_xlfn._xlws.FILTER(Table4[Original Price],Table4[Brand-Renamed] = Table4[[#This Row],[Brand]]))</f>
        <v>26340</v>
      </c>
      <c r="O191" s="35">
        <f t="array" ref="O191">MEDIAN(_xlfn._xlws.FILTER(Table4[Selling Price],Table4[Brand-Renamed] =Table4[[#This Row],[Brand-Renamed]]))</f>
        <v>13649</v>
      </c>
    </row>
    <row r="192" spans="1:15" ht="13.8" x14ac:dyDescent="0.25">
      <c r="A192" s="4" t="s">
        <v>125</v>
      </c>
      <c r="B192" s="4" t="str">
        <f t="shared" si="12"/>
        <v>Samsung</v>
      </c>
      <c r="C192" s="4" t="s">
        <v>32</v>
      </c>
      <c r="D192" s="4">
        <v>50</v>
      </c>
      <c r="E192" s="4">
        <v>55790</v>
      </c>
      <c r="F192" s="4">
        <v>69900</v>
      </c>
      <c r="G192" s="4" t="s">
        <v>56</v>
      </c>
      <c r="H192" s="4"/>
      <c r="I192" s="4">
        <f t="shared" si="13"/>
        <v>14110</v>
      </c>
      <c r="J192">
        <f t="shared" si="14"/>
        <v>0.20185979971387696</v>
      </c>
      <c r="K192" s="4">
        <f t="shared" si="15"/>
        <v>-14110</v>
      </c>
      <c r="L192" s="5">
        <f t="shared" si="16"/>
        <v>-0.25291270837067575</v>
      </c>
      <c r="M192" s="4" t="str">
        <f t="shared" si="17"/>
        <v>Ratings Not Given</v>
      </c>
      <c r="N192" s="34">
        <f t="array" ref="N192">MEDIAN(_xlfn._xlws.FILTER(Table4[Original Price],Table4[Brand-Renamed] = Table4[[#This Row],[Brand]]))</f>
        <v>100945</v>
      </c>
      <c r="O192" s="35">
        <f t="array" ref="O192">MEDIAN(_xlfn._xlws.FILTER(Table4[Selling Price],Table4[Brand-Renamed] =Table4[[#This Row],[Brand-Renamed]]))</f>
        <v>74490</v>
      </c>
    </row>
    <row r="193" spans="1:15" ht="13.8" x14ac:dyDescent="0.25">
      <c r="A193" s="6" t="s">
        <v>125</v>
      </c>
      <c r="B193" s="4" t="str">
        <f t="shared" si="12"/>
        <v>Samsung</v>
      </c>
      <c r="C193" s="6" t="s">
        <v>29</v>
      </c>
      <c r="D193" s="6">
        <v>55</v>
      </c>
      <c r="E193" s="6">
        <v>89390</v>
      </c>
      <c r="F193" s="6">
        <v>134900</v>
      </c>
      <c r="G193" s="6" t="s">
        <v>56</v>
      </c>
      <c r="H193" s="6"/>
      <c r="I193" s="6">
        <f t="shared" si="13"/>
        <v>45510</v>
      </c>
      <c r="J193">
        <f t="shared" si="14"/>
        <v>0.33736100815418829</v>
      </c>
      <c r="K193" s="6">
        <f t="shared" si="15"/>
        <v>-45510</v>
      </c>
      <c r="L193" s="7">
        <f t="shared" si="16"/>
        <v>-0.50911735093410893</v>
      </c>
      <c r="M193" s="6" t="str">
        <f t="shared" si="17"/>
        <v>Ratings Not Given</v>
      </c>
      <c r="N193" s="34">
        <f t="array" ref="N193">MEDIAN(_xlfn._xlws.FILTER(Table4[Original Price],Table4[Brand-Renamed] = Table4[[#This Row],[Brand]]))</f>
        <v>100945</v>
      </c>
      <c r="O193" s="35">
        <f t="array" ref="O193">MEDIAN(_xlfn._xlws.FILTER(Table4[Selling Price],Table4[Brand-Renamed] =Table4[[#This Row],[Brand-Renamed]]))</f>
        <v>74490</v>
      </c>
    </row>
    <row r="194" spans="1:15" ht="13.8" x14ac:dyDescent="0.25">
      <c r="A194" s="4" t="s">
        <v>122</v>
      </c>
      <c r="B194" s="4" t="str">
        <f t="shared" ref="B194:B257" si="18">PROPER(A194)</f>
        <v xml:space="preserve">Lg </v>
      </c>
      <c r="C194" s="4" t="s">
        <v>32</v>
      </c>
      <c r="D194" s="4">
        <v>43</v>
      </c>
      <c r="E194" s="4">
        <v>46590</v>
      </c>
      <c r="F194" s="4">
        <v>59990</v>
      </c>
      <c r="G194" s="4" t="s">
        <v>58</v>
      </c>
      <c r="H194" s="4">
        <v>4.5</v>
      </c>
      <c r="I194" s="4">
        <f t="shared" ref="I194:I257" si="19">F194-E194</f>
        <v>13400</v>
      </c>
      <c r="J194">
        <f t="shared" ref="J194:J257" si="20">IF((F194-E194)/F194 = 0, "Discount Not Applied", (F194-E194)/F194)</f>
        <v>0.22337056176029338</v>
      </c>
      <c r="K194" s="4">
        <f t="shared" ref="K194:K257" si="21">E194-F194</f>
        <v>-13400</v>
      </c>
      <c r="L194" s="5">
        <f t="shared" ref="L194:L257" si="22">(E194-F194)/E194</f>
        <v>-0.28761536810474353</v>
      </c>
      <c r="M194" s="4" t="str">
        <f t="shared" ref="M194:M257" si="23">IF(ISBLANK(H194),"Ratings Not Given",IF(H194&gt;=4.5,"Good Ratings",IF(H194&lt;=3.7,"Bad Ratings","Medium Ratings")))</f>
        <v>Good Ratings</v>
      </c>
      <c r="N194" s="34">
        <f t="array" ref="N194">MEDIAN(_xlfn._xlws.FILTER(Table4[Original Price],Table4[Brand-Renamed] = Table4[[#This Row],[Brand]]))</f>
        <v>98990</v>
      </c>
      <c r="O194" s="35">
        <f t="array" ref="O194">MEDIAN(_xlfn._xlws.FILTER(Table4[Selling Price],Table4[Brand-Renamed] =Table4[[#This Row],[Brand-Renamed]]))</f>
        <v>76737</v>
      </c>
    </row>
    <row r="195" spans="1:15" ht="13.8" x14ac:dyDescent="0.25">
      <c r="A195" s="6" t="s">
        <v>122</v>
      </c>
      <c r="B195" s="4" t="str">
        <f t="shared" si="18"/>
        <v xml:space="preserve">Lg </v>
      </c>
      <c r="C195" s="6" t="s">
        <v>8</v>
      </c>
      <c r="D195" s="6">
        <v>55</v>
      </c>
      <c r="E195" s="6">
        <v>103990</v>
      </c>
      <c r="F195" s="6">
        <v>103990</v>
      </c>
      <c r="G195" s="6" t="s">
        <v>58</v>
      </c>
      <c r="H195" s="6">
        <v>4.2</v>
      </c>
      <c r="I195" s="6">
        <f t="shared" si="19"/>
        <v>0</v>
      </c>
      <c r="J195" t="str">
        <f t="shared" si="20"/>
        <v>Discount Not Applied</v>
      </c>
      <c r="K195" s="6">
        <f t="shared" si="21"/>
        <v>0</v>
      </c>
      <c r="L195" s="7">
        <f t="shared" si="22"/>
        <v>0</v>
      </c>
      <c r="M195" s="6" t="str">
        <f t="shared" si="23"/>
        <v>Medium Ratings</v>
      </c>
      <c r="N195" s="34">
        <f t="array" ref="N195">MEDIAN(_xlfn._xlws.FILTER(Table4[Original Price],Table4[Brand-Renamed] = Table4[[#This Row],[Brand]]))</f>
        <v>98990</v>
      </c>
      <c r="O195" s="35">
        <f t="array" ref="O195">MEDIAN(_xlfn._xlws.FILTER(Table4[Selling Price],Table4[Brand-Renamed] =Table4[[#This Row],[Brand-Renamed]]))</f>
        <v>76737</v>
      </c>
    </row>
    <row r="196" spans="1:15" ht="13.8" x14ac:dyDescent="0.25">
      <c r="A196" s="4" t="s">
        <v>125</v>
      </c>
      <c r="B196" s="4" t="str">
        <f t="shared" si="18"/>
        <v>Samsung</v>
      </c>
      <c r="C196" s="4" t="s">
        <v>32</v>
      </c>
      <c r="D196" s="4">
        <v>65</v>
      </c>
      <c r="E196" s="4">
        <v>85990</v>
      </c>
      <c r="F196" s="4">
        <v>116900</v>
      </c>
      <c r="G196" s="4" t="s">
        <v>56</v>
      </c>
      <c r="H196" s="4">
        <v>4.3</v>
      </c>
      <c r="I196" s="4">
        <f t="shared" si="19"/>
        <v>30910</v>
      </c>
      <c r="J196">
        <f t="shared" si="20"/>
        <v>0.26441402908468775</v>
      </c>
      <c r="K196" s="4">
        <f t="shared" si="21"/>
        <v>-30910</v>
      </c>
      <c r="L196" s="5">
        <f t="shared" si="22"/>
        <v>-0.35946040237236887</v>
      </c>
      <c r="M196" s="4" t="str">
        <f t="shared" si="23"/>
        <v>Medium Ratings</v>
      </c>
      <c r="N196" s="34">
        <f t="array" ref="N196">MEDIAN(_xlfn._xlws.FILTER(Table4[Original Price],Table4[Brand-Renamed] = Table4[[#This Row],[Brand]]))</f>
        <v>100945</v>
      </c>
      <c r="O196" s="35">
        <f t="array" ref="O196">MEDIAN(_xlfn._xlws.FILTER(Table4[Selling Price],Table4[Brand-Renamed] =Table4[[#This Row],[Brand-Renamed]]))</f>
        <v>74490</v>
      </c>
    </row>
    <row r="197" spans="1:15" ht="13.8" x14ac:dyDescent="0.25">
      <c r="A197" s="6" t="s">
        <v>125</v>
      </c>
      <c r="B197" s="4" t="str">
        <f t="shared" si="18"/>
        <v>Samsung</v>
      </c>
      <c r="C197" s="6" t="s">
        <v>29</v>
      </c>
      <c r="D197" s="6">
        <v>65</v>
      </c>
      <c r="E197" s="6">
        <v>318700</v>
      </c>
      <c r="F197" s="6">
        <v>399900</v>
      </c>
      <c r="G197" s="6" t="s">
        <v>56</v>
      </c>
      <c r="H197" s="6"/>
      <c r="I197" s="6">
        <f t="shared" si="19"/>
        <v>81200</v>
      </c>
      <c r="J197">
        <f t="shared" si="20"/>
        <v>0.20305076269067268</v>
      </c>
      <c r="K197" s="6">
        <f t="shared" si="21"/>
        <v>-81200</v>
      </c>
      <c r="L197" s="7">
        <f t="shared" si="22"/>
        <v>-0.25478506432381548</v>
      </c>
      <c r="M197" s="6" t="str">
        <f t="shared" si="23"/>
        <v>Ratings Not Given</v>
      </c>
      <c r="N197" s="34">
        <f t="array" ref="N197">MEDIAN(_xlfn._xlws.FILTER(Table4[Original Price],Table4[Brand-Renamed] = Table4[[#This Row],[Brand]]))</f>
        <v>100945</v>
      </c>
      <c r="O197" s="35">
        <f t="array" ref="O197">MEDIAN(_xlfn._xlws.FILTER(Table4[Selling Price],Table4[Brand-Renamed] =Table4[[#This Row],[Brand-Renamed]]))</f>
        <v>74490</v>
      </c>
    </row>
    <row r="198" spans="1:15" ht="13.8" x14ac:dyDescent="0.25">
      <c r="A198" s="4" t="s">
        <v>125</v>
      </c>
      <c r="B198" s="4" t="str">
        <f t="shared" si="18"/>
        <v>Samsung</v>
      </c>
      <c r="C198" s="4" t="s">
        <v>32</v>
      </c>
      <c r="D198" s="4">
        <v>43</v>
      </c>
      <c r="E198" s="4">
        <v>44870</v>
      </c>
      <c r="F198" s="4">
        <v>54900</v>
      </c>
      <c r="G198" s="4" t="s">
        <v>56</v>
      </c>
      <c r="H198" s="4"/>
      <c r="I198" s="4">
        <f t="shared" si="19"/>
        <v>10030</v>
      </c>
      <c r="J198">
        <f t="shared" si="20"/>
        <v>0.18269581056466302</v>
      </c>
      <c r="K198" s="4">
        <f t="shared" si="21"/>
        <v>-10030</v>
      </c>
      <c r="L198" s="5">
        <f t="shared" si="22"/>
        <v>-0.22353465567194117</v>
      </c>
      <c r="M198" s="4" t="str">
        <f t="shared" si="23"/>
        <v>Ratings Not Given</v>
      </c>
      <c r="N198" s="34">
        <f t="array" ref="N198">MEDIAN(_xlfn._xlws.FILTER(Table4[Original Price],Table4[Brand-Renamed] = Table4[[#This Row],[Brand]]))</f>
        <v>100945</v>
      </c>
      <c r="O198" s="35">
        <f t="array" ref="O198">MEDIAN(_xlfn._xlws.FILTER(Table4[Selling Price],Table4[Brand-Renamed] =Table4[[#This Row],[Brand-Renamed]]))</f>
        <v>74490</v>
      </c>
    </row>
    <row r="199" spans="1:15" ht="13.8" x14ac:dyDescent="0.25">
      <c r="A199" s="6" t="s">
        <v>125</v>
      </c>
      <c r="B199" s="4" t="str">
        <f t="shared" si="18"/>
        <v>Samsung</v>
      </c>
      <c r="C199" s="6" t="s">
        <v>32</v>
      </c>
      <c r="D199" s="6">
        <v>43</v>
      </c>
      <c r="E199" s="6">
        <v>38999</v>
      </c>
      <c r="F199" s="6">
        <v>48900</v>
      </c>
      <c r="G199" s="6" t="s">
        <v>56</v>
      </c>
      <c r="H199" s="6">
        <v>4.3</v>
      </c>
      <c r="I199" s="6">
        <f t="shared" si="19"/>
        <v>9901</v>
      </c>
      <c r="J199">
        <f t="shared" si="20"/>
        <v>0.20247443762781187</v>
      </c>
      <c r="K199" s="6">
        <f t="shared" si="21"/>
        <v>-9901</v>
      </c>
      <c r="L199" s="7">
        <f t="shared" si="22"/>
        <v>-0.25387830457191213</v>
      </c>
      <c r="M199" s="6" t="str">
        <f t="shared" si="23"/>
        <v>Medium Ratings</v>
      </c>
      <c r="N199" s="34">
        <f t="array" ref="N199">MEDIAN(_xlfn._xlws.FILTER(Table4[Original Price],Table4[Brand-Renamed] = Table4[[#This Row],[Brand]]))</f>
        <v>100945</v>
      </c>
      <c r="O199" s="35">
        <f t="array" ref="O199">MEDIAN(_xlfn._xlws.FILTER(Table4[Selling Price],Table4[Brand-Renamed] =Table4[[#This Row],[Brand-Renamed]]))</f>
        <v>74490</v>
      </c>
    </row>
    <row r="200" spans="1:15" ht="13.8" x14ac:dyDescent="0.25">
      <c r="A200" s="4" t="s">
        <v>70</v>
      </c>
      <c r="B200" s="4" t="str">
        <f t="shared" si="18"/>
        <v xml:space="preserve">Mi </v>
      </c>
      <c r="C200" s="4" t="s">
        <v>19</v>
      </c>
      <c r="D200" s="4">
        <v>32</v>
      </c>
      <c r="E200" s="4">
        <v>14999</v>
      </c>
      <c r="F200" s="4">
        <v>14999</v>
      </c>
      <c r="G200" s="4" t="s">
        <v>54</v>
      </c>
      <c r="H200" s="4">
        <v>4.4000000000000004</v>
      </c>
      <c r="I200" s="4">
        <f t="shared" si="19"/>
        <v>0</v>
      </c>
      <c r="J200" t="str">
        <f t="shared" si="20"/>
        <v>Discount Not Applied</v>
      </c>
      <c r="K200" s="4">
        <f t="shared" si="21"/>
        <v>0</v>
      </c>
      <c r="L200" s="5">
        <f t="shared" si="22"/>
        <v>0</v>
      </c>
      <c r="M200" s="4" t="str">
        <f t="shared" si="23"/>
        <v>Medium Ratings</v>
      </c>
      <c r="N200" s="34">
        <f t="array" ref="N200">MEDIAN(_xlfn._xlws.FILTER(Table4[Original Price],Table4[Brand-Renamed] = Table4[[#This Row],[Brand]]))</f>
        <v>34999</v>
      </c>
      <c r="O200" s="35">
        <f t="array" ref="O200">MEDIAN(_xlfn._xlws.FILTER(Table4[Selling Price],Table4[Brand-Renamed] =Table4[[#This Row],[Brand-Renamed]]))</f>
        <v>27999</v>
      </c>
    </row>
    <row r="201" spans="1:15" ht="13.8" x14ac:dyDescent="0.25">
      <c r="A201" s="6" t="s">
        <v>122</v>
      </c>
      <c r="B201" s="4" t="str">
        <f t="shared" si="18"/>
        <v xml:space="preserve">Lg </v>
      </c>
      <c r="C201" s="6" t="s">
        <v>32</v>
      </c>
      <c r="D201" s="6">
        <v>55</v>
      </c>
      <c r="E201" s="6">
        <v>57200</v>
      </c>
      <c r="F201" s="6">
        <v>84990</v>
      </c>
      <c r="G201" s="6" t="s">
        <v>58</v>
      </c>
      <c r="H201" s="6"/>
      <c r="I201" s="6">
        <f t="shared" si="19"/>
        <v>27790</v>
      </c>
      <c r="J201">
        <f t="shared" si="20"/>
        <v>0.32697964466407814</v>
      </c>
      <c r="K201" s="6">
        <f t="shared" si="21"/>
        <v>-27790</v>
      </c>
      <c r="L201" s="7">
        <f t="shared" si="22"/>
        <v>-0.48583916083916084</v>
      </c>
      <c r="M201" s="6" t="str">
        <f t="shared" si="23"/>
        <v>Ratings Not Given</v>
      </c>
      <c r="N201" s="34">
        <f t="array" ref="N201">MEDIAN(_xlfn._xlws.FILTER(Table4[Original Price],Table4[Brand-Renamed] = Table4[[#This Row],[Brand]]))</f>
        <v>98990</v>
      </c>
      <c r="O201" s="35">
        <f t="array" ref="O201">MEDIAN(_xlfn._xlws.FILTER(Table4[Selling Price],Table4[Brand-Renamed] =Table4[[#This Row],[Brand-Renamed]]))</f>
        <v>76737</v>
      </c>
    </row>
    <row r="202" spans="1:15" ht="13.8" x14ac:dyDescent="0.25">
      <c r="A202" s="4" t="s">
        <v>122</v>
      </c>
      <c r="B202" s="4" t="str">
        <f t="shared" si="18"/>
        <v xml:space="preserve">Lg </v>
      </c>
      <c r="C202" s="4" t="s">
        <v>32</v>
      </c>
      <c r="D202" s="4">
        <v>65</v>
      </c>
      <c r="E202" s="4">
        <v>139999</v>
      </c>
      <c r="F202" s="4">
        <v>254990</v>
      </c>
      <c r="G202" s="4" t="s">
        <v>58</v>
      </c>
      <c r="H202" s="4"/>
      <c r="I202" s="4">
        <f t="shared" si="19"/>
        <v>114991</v>
      </c>
      <c r="J202">
        <f t="shared" si="20"/>
        <v>0.45096278285422958</v>
      </c>
      <c r="K202" s="4">
        <f t="shared" si="21"/>
        <v>-114991</v>
      </c>
      <c r="L202" s="5">
        <f t="shared" si="22"/>
        <v>-0.82137015264394742</v>
      </c>
      <c r="M202" s="4" t="str">
        <f t="shared" si="23"/>
        <v>Ratings Not Given</v>
      </c>
      <c r="N202" s="34">
        <f t="array" ref="N202">MEDIAN(_xlfn._xlws.FILTER(Table4[Original Price],Table4[Brand-Renamed] = Table4[[#This Row],[Brand]]))</f>
        <v>98990</v>
      </c>
      <c r="O202" s="35">
        <f t="array" ref="O202">MEDIAN(_xlfn._xlws.FILTER(Table4[Selling Price],Table4[Brand-Renamed] =Table4[[#This Row],[Brand-Renamed]]))</f>
        <v>76737</v>
      </c>
    </row>
    <row r="203" spans="1:15" ht="13.8" x14ac:dyDescent="0.25">
      <c r="A203" s="6" t="s">
        <v>48</v>
      </c>
      <c r="B203" s="4" t="str">
        <f t="shared" si="18"/>
        <v>Dyanora</v>
      </c>
      <c r="C203" s="6" t="s">
        <v>8</v>
      </c>
      <c r="D203" s="6">
        <v>42</v>
      </c>
      <c r="E203" s="6">
        <v>18499</v>
      </c>
      <c r="F203" s="6">
        <v>32999</v>
      </c>
      <c r="G203" s="6" t="s">
        <v>54</v>
      </c>
      <c r="H203" s="6"/>
      <c r="I203" s="6">
        <f t="shared" si="19"/>
        <v>14500</v>
      </c>
      <c r="J203">
        <f t="shared" si="20"/>
        <v>0.43940725476529591</v>
      </c>
      <c r="K203" s="6">
        <f t="shared" si="21"/>
        <v>-14500</v>
      </c>
      <c r="L203" s="7">
        <f t="shared" si="22"/>
        <v>-0.78382615276501433</v>
      </c>
      <c r="M203" s="6" t="str">
        <f t="shared" si="23"/>
        <v>Ratings Not Given</v>
      </c>
      <c r="N203" s="34">
        <f t="array" ref="N203">MEDIAN(_xlfn._xlws.FILTER(Table4[Original Price],Table4[Brand-Renamed] = Table4[[#This Row],[Brand]]))</f>
        <v>21499</v>
      </c>
      <c r="O203" s="35">
        <f t="array" ref="O203">MEDIAN(_xlfn._xlws.FILTER(Table4[Selling Price],Table4[Brand-Renamed] =Table4[[#This Row],[Brand-Renamed]]))</f>
        <v>13999</v>
      </c>
    </row>
    <row r="204" spans="1:15" ht="13.8" x14ac:dyDescent="0.25">
      <c r="A204" s="4" t="s">
        <v>126</v>
      </c>
      <c r="B204" s="4" t="str">
        <f t="shared" si="18"/>
        <v xml:space="preserve">Sony </v>
      </c>
      <c r="C204" s="4" t="s">
        <v>32</v>
      </c>
      <c r="D204" s="4">
        <v>65</v>
      </c>
      <c r="E204" s="4">
        <v>169900</v>
      </c>
      <c r="F204" s="4">
        <v>239900</v>
      </c>
      <c r="G204" s="4" t="s">
        <v>60</v>
      </c>
      <c r="H204" s="4"/>
      <c r="I204" s="4">
        <f t="shared" si="19"/>
        <v>70000</v>
      </c>
      <c r="J204">
        <f t="shared" si="20"/>
        <v>0.29178824510212586</v>
      </c>
      <c r="K204" s="4">
        <f t="shared" si="21"/>
        <v>-70000</v>
      </c>
      <c r="L204" s="5">
        <f t="shared" si="22"/>
        <v>-0.41200706297822248</v>
      </c>
      <c r="M204" s="4" t="str">
        <f t="shared" si="23"/>
        <v>Ratings Not Given</v>
      </c>
      <c r="N204" s="34">
        <f t="array" ref="N204">MEDIAN(_xlfn._xlws.FILTER(Table4[Original Price],Table4[Brand-Renamed] = Table4[[#This Row],[Brand]]))</f>
        <v>87400</v>
      </c>
      <c r="O204" s="35">
        <f t="array" ref="O204">MEDIAN(_xlfn._xlws.FILTER(Table4[Selling Price],Table4[Brand-Renamed] =Table4[[#This Row],[Brand-Renamed]]))</f>
        <v>64294.5</v>
      </c>
    </row>
    <row r="205" spans="1:15" ht="13.8" x14ac:dyDescent="0.25">
      <c r="A205" s="6" t="s">
        <v>124</v>
      </c>
      <c r="B205" s="4" t="str">
        <f t="shared" si="18"/>
        <v>Iffalcon By Tcl</v>
      </c>
      <c r="C205" s="6" t="s">
        <v>29</v>
      </c>
      <c r="D205" s="6">
        <v>65</v>
      </c>
      <c r="E205" s="6">
        <v>84999</v>
      </c>
      <c r="F205" s="6">
        <v>229990</v>
      </c>
      <c r="G205" s="6" t="s">
        <v>54</v>
      </c>
      <c r="H205" s="6">
        <v>4.3</v>
      </c>
      <c r="I205" s="6">
        <f t="shared" si="19"/>
        <v>144991</v>
      </c>
      <c r="J205">
        <f t="shared" si="20"/>
        <v>0.63042306187225527</v>
      </c>
      <c r="K205" s="6">
        <f t="shared" si="21"/>
        <v>-144991</v>
      </c>
      <c r="L205" s="7">
        <f t="shared" si="22"/>
        <v>-1.7057965387828091</v>
      </c>
      <c r="M205" s="6" t="str">
        <f t="shared" si="23"/>
        <v>Medium Ratings</v>
      </c>
      <c r="N205" s="34">
        <f t="array" ref="N205">MEDIAN(_xlfn._xlws.FILTER(Table4[Original Price],Table4[Brand-Renamed] = Table4[[#This Row],[Brand]]))</f>
        <v>76990</v>
      </c>
      <c r="O205" s="35">
        <f t="array" ref="O205">MEDIAN(_xlfn._xlws.FILTER(Table4[Selling Price],Table4[Brand-Renamed] =Table4[[#This Row],[Brand-Renamed]]))</f>
        <v>36999</v>
      </c>
    </row>
    <row r="206" spans="1:15" ht="13.8" x14ac:dyDescent="0.25">
      <c r="A206" s="4" t="s">
        <v>126</v>
      </c>
      <c r="B206" s="4" t="str">
        <f t="shared" si="18"/>
        <v xml:space="preserve">Sony </v>
      </c>
      <c r="C206" s="4" t="s">
        <v>32</v>
      </c>
      <c r="D206" s="4">
        <v>55</v>
      </c>
      <c r="E206" s="4">
        <v>102290</v>
      </c>
      <c r="F206" s="4">
        <v>139900</v>
      </c>
      <c r="G206" s="4" t="s">
        <v>54</v>
      </c>
      <c r="H206" s="4"/>
      <c r="I206" s="4">
        <f t="shared" si="19"/>
        <v>37610</v>
      </c>
      <c r="J206">
        <f t="shared" si="20"/>
        <v>0.26883488205861328</v>
      </c>
      <c r="K206" s="4">
        <f t="shared" si="21"/>
        <v>-37610</v>
      </c>
      <c r="L206" s="5">
        <f t="shared" si="22"/>
        <v>-0.36768012513442172</v>
      </c>
      <c r="M206" s="4" t="str">
        <f t="shared" si="23"/>
        <v>Ratings Not Given</v>
      </c>
      <c r="N206" s="34">
        <f t="array" ref="N206">MEDIAN(_xlfn._xlws.FILTER(Table4[Original Price],Table4[Brand-Renamed] = Table4[[#This Row],[Brand]]))</f>
        <v>87400</v>
      </c>
      <c r="O206" s="35">
        <f t="array" ref="O206">MEDIAN(_xlfn._xlws.FILTER(Table4[Selling Price],Table4[Brand-Renamed] =Table4[[#This Row],[Brand-Renamed]]))</f>
        <v>64294.5</v>
      </c>
    </row>
    <row r="207" spans="1:15" ht="13.8" x14ac:dyDescent="0.25">
      <c r="A207" s="6" t="s">
        <v>48</v>
      </c>
      <c r="B207" s="4" t="str">
        <f t="shared" si="18"/>
        <v>Dyanora</v>
      </c>
      <c r="C207" s="6" t="s">
        <v>19</v>
      </c>
      <c r="D207" s="6">
        <v>32</v>
      </c>
      <c r="E207" s="6">
        <v>10999</v>
      </c>
      <c r="F207" s="6">
        <v>15999</v>
      </c>
      <c r="G207" s="6" t="s">
        <v>54</v>
      </c>
      <c r="H207" s="6">
        <v>4.3</v>
      </c>
      <c r="I207" s="6">
        <f t="shared" si="19"/>
        <v>5000</v>
      </c>
      <c r="J207">
        <f t="shared" si="20"/>
        <v>0.3125195324707794</v>
      </c>
      <c r="K207" s="6">
        <f t="shared" si="21"/>
        <v>-5000</v>
      </c>
      <c r="L207" s="7">
        <f t="shared" si="22"/>
        <v>-0.45458678061641966</v>
      </c>
      <c r="M207" s="6" t="str">
        <f t="shared" si="23"/>
        <v>Medium Ratings</v>
      </c>
      <c r="N207" s="34">
        <f t="array" ref="N207">MEDIAN(_xlfn._xlws.FILTER(Table4[Original Price],Table4[Brand-Renamed] = Table4[[#This Row],[Brand]]))</f>
        <v>21499</v>
      </c>
      <c r="O207" s="35">
        <f t="array" ref="O207">MEDIAN(_xlfn._xlws.FILTER(Table4[Selling Price],Table4[Brand-Renamed] =Table4[[#This Row],[Brand-Renamed]]))</f>
        <v>13999</v>
      </c>
    </row>
    <row r="208" spans="1:15" ht="13.8" x14ac:dyDescent="0.25">
      <c r="A208" s="4" t="s">
        <v>122</v>
      </c>
      <c r="B208" s="4" t="str">
        <f t="shared" si="18"/>
        <v xml:space="preserve">Lg </v>
      </c>
      <c r="C208" s="4" t="s">
        <v>32</v>
      </c>
      <c r="D208" s="4">
        <v>65</v>
      </c>
      <c r="E208" s="4">
        <v>199999</v>
      </c>
      <c r="F208" s="4">
        <v>349990</v>
      </c>
      <c r="G208" s="4" t="s">
        <v>58</v>
      </c>
      <c r="H208" s="4">
        <v>4.4000000000000004</v>
      </c>
      <c r="I208" s="4">
        <f t="shared" si="19"/>
        <v>149991</v>
      </c>
      <c r="J208">
        <f t="shared" si="20"/>
        <v>0.4285579587988228</v>
      </c>
      <c r="K208" s="4">
        <f t="shared" si="21"/>
        <v>-149991</v>
      </c>
      <c r="L208" s="5">
        <f t="shared" si="22"/>
        <v>-0.74995874979374899</v>
      </c>
      <c r="M208" s="4" t="str">
        <f t="shared" si="23"/>
        <v>Medium Ratings</v>
      </c>
      <c r="N208" s="34">
        <f t="array" ref="N208">MEDIAN(_xlfn._xlws.FILTER(Table4[Original Price],Table4[Brand-Renamed] = Table4[[#This Row],[Brand]]))</f>
        <v>98990</v>
      </c>
      <c r="O208" s="35">
        <f t="array" ref="O208">MEDIAN(_xlfn._xlws.FILTER(Table4[Selling Price],Table4[Brand-Renamed] =Table4[[#This Row],[Brand-Renamed]]))</f>
        <v>76737</v>
      </c>
    </row>
    <row r="209" spans="1:15" ht="13.8" x14ac:dyDescent="0.25">
      <c r="A209" s="6" t="s">
        <v>122</v>
      </c>
      <c r="B209" s="4" t="str">
        <f t="shared" si="18"/>
        <v xml:space="preserve">Lg </v>
      </c>
      <c r="C209" s="6" t="s">
        <v>32</v>
      </c>
      <c r="D209" s="6">
        <v>55</v>
      </c>
      <c r="E209" s="6">
        <v>99999</v>
      </c>
      <c r="F209" s="6">
        <v>166990</v>
      </c>
      <c r="G209" s="6" t="s">
        <v>58</v>
      </c>
      <c r="H209" s="6"/>
      <c r="I209" s="6">
        <f t="shared" si="19"/>
        <v>66991</v>
      </c>
      <c r="J209">
        <f t="shared" si="20"/>
        <v>0.40116773459488592</v>
      </c>
      <c r="K209" s="6">
        <f t="shared" si="21"/>
        <v>-66991</v>
      </c>
      <c r="L209" s="7">
        <f t="shared" si="22"/>
        <v>-0.6699166991669917</v>
      </c>
      <c r="M209" s="6" t="str">
        <f t="shared" si="23"/>
        <v>Ratings Not Given</v>
      </c>
      <c r="N209" s="34">
        <f t="array" ref="N209">MEDIAN(_xlfn._xlws.FILTER(Table4[Original Price],Table4[Brand-Renamed] = Table4[[#This Row],[Brand]]))</f>
        <v>98990</v>
      </c>
      <c r="O209" s="35">
        <f t="array" ref="O209">MEDIAN(_xlfn._xlws.FILTER(Table4[Selling Price],Table4[Brand-Renamed] =Table4[[#This Row],[Brand-Renamed]]))</f>
        <v>76737</v>
      </c>
    </row>
    <row r="210" spans="1:15" ht="13.8" x14ac:dyDescent="0.25">
      <c r="A210" s="4" t="s">
        <v>122</v>
      </c>
      <c r="B210" s="4" t="str">
        <f t="shared" si="18"/>
        <v xml:space="preserve">Lg </v>
      </c>
      <c r="C210" s="4" t="s">
        <v>32</v>
      </c>
      <c r="D210" s="4">
        <v>55</v>
      </c>
      <c r="E210" s="4">
        <v>155879</v>
      </c>
      <c r="F210" s="4">
        <v>226990</v>
      </c>
      <c r="G210" s="4" t="s">
        <v>58</v>
      </c>
      <c r="H210" s="4"/>
      <c r="I210" s="4">
        <f t="shared" si="19"/>
        <v>71111</v>
      </c>
      <c r="J210">
        <f t="shared" si="20"/>
        <v>0.31327811797876559</v>
      </c>
      <c r="K210" s="4">
        <f t="shared" si="21"/>
        <v>-71111</v>
      </c>
      <c r="L210" s="5">
        <f t="shared" si="22"/>
        <v>-0.4561935860507188</v>
      </c>
      <c r="M210" s="4" t="str">
        <f t="shared" si="23"/>
        <v>Ratings Not Given</v>
      </c>
      <c r="N210" s="34">
        <f t="array" ref="N210">MEDIAN(_xlfn._xlws.FILTER(Table4[Original Price],Table4[Brand-Renamed] = Table4[[#This Row],[Brand]]))</f>
        <v>98990</v>
      </c>
      <c r="O210" s="35">
        <f t="array" ref="O210">MEDIAN(_xlfn._xlws.FILTER(Table4[Selling Price],Table4[Brand-Renamed] =Table4[[#This Row],[Brand-Renamed]]))</f>
        <v>76737</v>
      </c>
    </row>
    <row r="211" spans="1:15" ht="13.8" x14ac:dyDescent="0.25">
      <c r="A211" s="6" t="s">
        <v>122</v>
      </c>
      <c r="B211" s="4" t="str">
        <f t="shared" si="18"/>
        <v xml:space="preserve">Lg </v>
      </c>
      <c r="C211" s="6" t="s">
        <v>32</v>
      </c>
      <c r="D211" s="6">
        <v>65</v>
      </c>
      <c r="E211" s="6">
        <v>279990</v>
      </c>
      <c r="F211" s="6">
        <v>399990</v>
      </c>
      <c r="G211" s="6" t="s">
        <v>58</v>
      </c>
      <c r="H211" s="6"/>
      <c r="I211" s="6">
        <f t="shared" si="19"/>
        <v>120000</v>
      </c>
      <c r="J211">
        <f t="shared" si="20"/>
        <v>0.30000750018750466</v>
      </c>
      <c r="K211" s="6">
        <f t="shared" si="21"/>
        <v>-120000</v>
      </c>
      <c r="L211" s="7">
        <f t="shared" si="22"/>
        <v>-0.4285867352405443</v>
      </c>
      <c r="M211" s="6" t="str">
        <f t="shared" si="23"/>
        <v>Ratings Not Given</v>
      </c>
      <c r="N211" s="34">
        <f t="array" ref="N211">MEDIAN(_xlfn._xlws.FILTER(Table4[Original Price],Table4[Brand-Renamed] = Table4[[#This Row],[Brand]]))</f>
        <v>98990</v>
      </c>
      <c r="O211" s="35">
        <f t="array" ref="O211">MEDIAN(_xlfn._xlws.FILTER(Table4[Selling Price],Table4[Brand-Renamed] =Table4[[#This Row],[Brand-Renamed]]))</f>
        <v>76737</v>
      </c>
    </row>
    <row r="212" spans="1:15" ht="13.8" x14ac:dyDescent="0.25">
      <c r="A212" s="4" t="s">
        <v>125</v>
      </c>
      <c r="B212" s="4" t="str">
        <f t="shared" si="18"/>
        <v>Samsung</v>
      </c>
      <c r="C212" s="4" t="s">
        <v>32</v>
      </c>
      <c r="D212" s="4">
        <v>55</v>
      </c>
      <c r="E212" s="4">
        <v>64299</v>
      </c>
      <c r="F212" s="4">
        <v>86900</v>
      </c>
      <c r="G212" s="4" t="s">
        <v>56</v>
      </c>
      <c r="H212" s="4">
        <v>4.5999999999999996</v>
      </c>
      <c r="I212" s="4">
        <f t="shared" si="19"/>
        <v>22601</v>
      </c>
      <c r="J212">
        <f t="shared" si="20"/>
        <v>0.26008055235903338</v>
      </c>
      <c r="K212" s="4">
        <f t="shared" si="21"/>
        <v>-22601</v>
      </c>
      <c r="L212" s="5">
        <f t="shared" si="22"/>
        <v>-0.35149846809437163</v>
      </c>
      <c r="M212" s="4" t="str">
        <f t="shared" si="23"/>
        <v>Good Ratings</v>
      </c>
      <c r="N212" s="34">
        <f t="array" ref="N212">MEDIAN(_xlfn._xlws.FILTER(Table4[Original Price],Table4[Brand-Renamed] = Table4[[#This Row],[Brand]]))</f>
        <v>100945</v>
      </c>
      <c r="O212" s="35">
        <f t="array" ref="O212">MEDIAN(_xlfn._xlws.FILTER(Table4[Selling Price],Table4[Brand-Renamed] =Table4[[#This Row],[Brand-Renamed]]))</f>
        <v>74490</v>
      </c>
    </row>
    <row r="213" spans="1:15" ht="13.8" x14ac:dyDescent="0.25">
      <c r="A213" s="6" t="s">
        <v>126</v>
      </c>
      <c r="B213" s="4" t="str">
        <f t="shared" si="18"/>
        <v xml:space="preserve">Sony </v>
      </c>
      <c r="C213" s="6" t="s">
        <v>32</v>
      </c>
      <c r="D213" s="6">
        <v>75</v>
      </c>
      <c r="E213" s="6">
        <v>199491</v>
      </c>
      <c r="F213" s="6">
        <v>299900</v>
      </c>
      <c r="G213" s="6" t="s">
        <v>60</v>
      </c>
      <c r="H213" s="6">
        <v>4.7</v>
      </c>
      <c r="I213" s="6">
        <f t="shared" si="19"/>
        <v>100409</v>
      </c>
      <c r="J213">
        <f t="shared" si="20"/>
        <v>0.33480826942314107</v>
      </c>
      <c r="K213" s="6">
        <f t="shared" si="21"/>
        <v>-100409</v>
      </c>
      <c r="L213" s="7">
        <f t="shared" si="22"/>
        <v>-0.50332596457985568</v>
      </c>
      <c r="M213" s="6" t="str">
        <f t="shared" si="23"/>
        <v>Good Ratings</v>
      </c>
      <c r="N213" s="34">
        <f t="array" ref="N213">MEDIAN(_xlfn._xlws.FILTER(Table4[Original Price],Table4[Brand-Renamed] = Table4[[#This Row],[Brand]]))</f>
        <v>87400</v>
      </c>
      <c r="O213" s="35">
        <f t="array" ref="O213">MEDIAN(_xlfn._xlws.FILTER(Table4[Selling Price],Table4[Brand-Renamed] =Table4[[#This Row],[Brand-Renamed]]))</f>
        <v>64294.5</v>
      </c>
    </row>
    <row r="214" spans="1:15" ht="13.8" x14ac:dyDescent="0.25">
      <c r="A214" s="4" t="s">
        <v>125</v>
      </c>
      <c r="B214" s="4" t="str">
        <f t="shared" si="18"/>
        <v>Samsung</v>
      </c>
      <c r="C214" s="4" t="s">
        <v>29</v>
      </c>
      <c r="D214" s="4">
        <v>65</v>
      </c>
      <c r="E214" s="4">
        <v>224999</v>
      </c>
      <c r="F214" s="4">
        <v>279900</v>
      </c>
      <c r="G214" s="4" t="s">
        <v>56</v>
      </c>
      <c r="H214" s="4">
        <v>5</v>
      </c>
      <c r="I214" s="4">
        <f t="shared" si="19"/>
        <v>54901</v>
      </c>
      <c r="J214">
        <f t="shared" si="20"/>
        <v>0.19614505180421579</v>
      </c>
      <c r="K214" s="4">
        <f t="shared" si="21"/>
        <v>-54901</v>
      </c>
      <c r="L214" s="5">
        <f t="shared" si="22"/>
        <v>-0.24400552891346183</v>
      </c>
      <c r="M214" s="4" t="str">
        <f t="shared" si="23"/>
        <v>Good Ratings</v>
      </c>
      <c r="N214" s="34">
        <f t="array" ref="N214">MEDIAN(_xlfn._xlws.FILTER(Table4[Original Price],Table4[Brand-Renamed] = Table4[[#This Row],[Brand]]))</f>
        <v>100945</v>
      </c>
      <c r="O214" s="35">
        <f t="array" ref="O214">MEDIAN(_xlfn._xlws.FILTER(Table4[Selling Price],Table4[Brand-Renamed] =Table4[[#This Row],[Brand-Renamed]]))</f>
        <v>74490</v>
      </c>
    </row>
    <row r="215" spans="1:15" ht="13.8" x14ac:dyDescent="0.25">
      <c r="A215" s="6" t="s">
        <v>125</v>
      </c>
      <c r="B215" s="4" t="str">
        <f t="shared" si="18"/>
        <v>Samsung</v>
      </c>
      <c r="C215" s="6" t="s">
        <v>32</v>
      </c>
      <c r="D215" s="6">
        <v>55</v>
      </c>
      <c r="E215" s="6">
        <v>104900</v>
      </c>
      <c r="F215" s="6">
        <v>104900</v>
      </c>
      <c r="G215" s="6" t="s">
        <v>56</v>
      </c>
      <c r="H215" s="6">
        <v>4.4000000000000004</v>
      </c>
      <c r="I215" s="6">
        <f t="shared" si="19"/>
        <v>0</v>
      </c>
      <c r="J215" t="str">
        <f t="shared" si="20"/>
        <v>Discount Not Applied</v>
      </c>
      <c r="K215" s="6">
        <f t="shared" si="21"/>
        <v>0</v>
      </c>
      <c r="L215" s="7">
        <f t="shared" si="22"/>
        <v>0</v>
      </c>
      <c r="M215" s="6" t="str">
        <f t="shared" si="23"/>
        <v>Medium Ratings</v>
      </c>
      <c r="N215" s="34">
        <f t="array" ref="N215">MEDIAN(_xlfn._xlws.FILTER(Table4[Original Price],Table4[Brand-Renamed] = Table4[[#This Row],[Brand]]))</f>
        <v>100945</v>
      </c>
      <c r="O215" s="35">
        <f t="array" ref="O215">MEDIAN(_xlfn._xlws.FILTER(Table4[Selling Price],Table4[Brand-Renamed] =Table4[[#This Row],[Brand-Renamed]]))</f>
        <v>74490</v>
      </c>
    </row>
    <row r="216" spans="1:15" ht="13.8" x14ac:dyDescent="0.25">
      <c r="A216" s="4" t="s">
        <v>122</v>
      </c>
      <c r="B216" s="4" t="str">
        <f t="shared" si="18"/>
        <v xml:space="preserve">Lg </v>
      </c>
      <c r="C216" s="4" t="s">
        <v>32</v>
      </c>
      <c r="D216" s="4">
        <v>43</v>
      </c>
      <c r="E216" s="4">
        <v>43599</v>
      </c>
      <c r="F216" s="4">
        <v>59990</v>
      </c>
      <c r="G216" s="4" t="s">
        <v>58</v>
      </c>
      <c r="H216" s="4"/>
      <c r="I216" s="4">
        <f t="shared" si="19"/>
        <v>16391</v>
      </c>
      <c r="J216">
        <f t="shared" si="20"/>
        <v>0.27322887147857977</v>
      </c>
      <c r="K216" s="4">
        <f t="shared" si="21"/>
        <v>-16391</v>
      </c>
      <c r="L216" s="5">
        <f t="shared" si="22"/>
        <v>-0.37594898965572604</v>
      </c>
      <c r="M216" s="4" t="str">
        <f t="shared" si="23"/>
        <v>Ratings Not Given</v>
      </c>
      <c r="N216" s="34">
        <f t="array" ref="N216">MEDIAN(_xlfn._xlws.FILTER(Table4[Original Price],Table4[Brand-Renamed] = Table4[[#This Row],[Brand]]))</f>
        <v>98990</v>
      </c>
      <c r="O216" s="35">
        <f t="array" ref="O216">MEDIAN(_xlfn._xlws.FILTER(Table4[Selling Price],Table4[Brand-Renamed] =Table4[[#This Row],[Brand-Renamed]]))</f>
        <v>76737</v>
      </c>
    </row>
    <row r="217" spans="1:15" ht="13.8" x14ac:dyDescent="0.25">
      <c r="A217" s="6" t="s">
        <v>18</v>
      </c>
      <c r="B217" s="4" t="str">
        <f t="shared" si="18"/>
        <v>Hisense</v>
      </c>
      <c r="C217" s="6" t="s">
        <v>19</v>
      </c>
      <c r="D217" s="6">
        <v>32</v>
      </c>
      <c r="E217" s="6">
        <v>18490</v>
      </c>
      <c r="F217" s="6">
        <v>24990</v>
      </c>
      <c r="G217" s="6" t="s">
        <v>54</v>
      </c>
      <c r="H217" s="6"/>
      <c r="I217" s="6">
        <f t="shared" si="19"/>
        <v>6500</v>
      </c>
      <c r="J217">
        <f t="shared" si="20"/>
        <v>0.26010404161664669</v>
      </c>
      <c r="K217" s="6">
        <f t="shared" si="21"/>
        <v>-6500</v>
      </c>
      <c r="L217" s="7">
        <f t="shared" si="22"/>
        <v>-0.35154137371552191</v>
      </c>
      <c r="M217" s="6" t="str">
        <f t="shared" si="23"/>
        <v>Ratings Not Given</v>
      </c>
      <c r="N217" s="34">
        <f t="array" ref="N217">MEDIAN(_xlfn._xlws.FILTER(Table4[Original Price],Table4[Brand-Renamed] = Table4[[#This Row],[Brand]]))</f>
        <v>50490</v>
      </c>
      <c r="O217" s="35">
        <f t="array" ref="O217">MEDIAN(_xlfn._xlws.FILTER(Table4[Selling Price],Table4[Brand-Renamed] =Table4[[#This Row],[Brand-Renamed]]))</f>
        <v>39499</v>
      </c>
    </row>
    <row r="218" spans="1:15" ht="13.8" x14ac:dyDescent="0.25">
      <c r="A218" s="4" t="s">
        <v>122</v>
      </c>
      <c r="B218" s="4" t="str">
        <f t="shared" si="18"/>
        <v xml:space="preserve">Lg </v>
      </c>
      <c r="C218" s="4" t="s">
        <v>8</v>
      </c>
      <c r="D218" s="4">
        <v>43</v>
      </c>
      <c r="E218" s="4">
        <v>36499</v>
      </c>
      <c r="F218" s="4">
        <v>41990</v>
      </c>
      <c r="G218" s="4" t="s">
        <v>58</v>
      </c>
      <c r="H218" s="4">
        <v>4.4000000000000004</v>
      </c>
      <c r="I218" s="4">
        <f t="shared" si="19"/>
        <v>5491</v>
      </c>
      <c r="J218">
        <f t="shared" si="20"/>
        <v>0.13076923076923078</v>
      </c>
      <c r="K218" s="4">
        <f t="shared" si="21"/>
        <v>-5491</v>
      </c>
      <c r="L218" s="5">
        <f t="shared" si="22"/>
        <v>-0.15044247787610621</v>
      </c>
      <c r="M218" s="4" t="str">
        <f t="shared" si="23"/>
        <v>Medium Ratings</v>
      </c>
      <c r="N218" s="34">
        <f t="array" ref="N218">MEDIAN(_xlfn._xlws.FILTER(Table4[Original Price],Table4[Brand-Renamed] = Table4[[#This Row],[Brand]]))</f>
        <v>98990</v>
      </c>
      <c r="O218" s="35">
        <f t="array" ref="O218">MEDIAN(_xlfn._xlws.FILTER(Table4[Selling Price],Table4[Brand-Renamed] =Table4[[#This Row],[Brand-Renamed]]))</f>
        <v>76737</v>
      </c>
    </row>
    <row r="219" spans="1:15" ht="13.8" x14ac:dyDescent="0.25">
      <c r="A219" s="6" t="s">
        <v>125</v>
      </c>
      <c r="B219" s="4" t="str">
        <f t="shared" si="18"/>
        <v>Samsung</v>
      </c>
      <c r="C219" s="6" t="s">
        <v>29</v>
      </c>
      <c r="D219" s="6">
        <v>55</v>
      </c>
      <c r="E219" s="6">
        <v>144990</v>
      </c>
      <c r="F219" s="6">
        <v>199990</v>
      </c>
      <c r="G219" s="6" t="s">
        <v>56</v>
      </c>
      <c r="H219" s="6"/>
      <c r="I219" s="6">
        <f t="shared" si="19"/>
        <v>55000</v>
      </c>
      <c r="J219">
        <f t="shared" si="20"/>
        <v>0.27501375068753436</v>
      </c>
      <c r="K219" s="6">
        <f t="shared" si="21"/>
        <v>-55000</v>
      </c>
      <c r="L219" s="7">
        <f t="shared" si="22"/>
        <v>-0.37933650596592866</v>
      </c>
      <c r="M219" s="6" t="str">
        <f t="shared" si="23"/>
        <v>Ratings Not Given</v>
      </c>
      <c r="N219" s="34">
        <f t="array" ref="N219">MEDIAN(_xlfn._xlws.FILTER(Table4[Original Price],Table4[Brand-Renamed] = Table4[[#This Row],[Brand]]))</f>
        <v>100945</v>
      </c>
      <c r="O219" s="35">
        <f t="array" ref="O219">MEDIAN(_xlfn._xlws.FILTER(Table4[Selling Price],Table4[Brand-Renamed] =Table4[[#This Row],[Brand-Renamed]]))</f>
        <v>74490</v>
      </c>
    </row>
    <row r="220" spans="1:15" ht="13.8" x14ac:dyDescent="0.25">
      <c r="A220" s="4" t="s">
        <v>122</v>
      </c>
      <c r="B220" s="4" t="str">
        <f t="shared" si="18"/>
        <v xml:space="preserve">Lg </v>
      </c>
      <c r="C220" s="4" t="s">
        <v>32</v>
      </c>
      <c r="D220" s="4">
        <v>55</v>
      </c>
      <c r="E220" s="4">
        <v>128100</v>
      </c>
      <c r="F220" s="4">
        <v>209990</v>
      </c>
      <c r="G220" s="4" t="s">
        <v>58</v>
      </c>
      <c r="H220" s="4"/>
      <c r="I220" s="4">
        <f t="shared" si="19"/>
        <v>81890</v>
      </c>
      <c r="J220">
        <f t="shared" si="20"/>
        <v>0.38997095099766654</v>
      </c>
      <c r="K220" s="4">
        <f t="shared" si="21"/>
        <v>-81890</v>
      </c>
      <c r="L220" s="5">
        <f t="shared" si="22"/>
        <v>-0.63926619828259168</v>
      </c>
      <c r="M220" s="4" t="str">
        <f t="shared" si="23"/>
        <v>Ratings Not Given</v>
      </c>
      <c r="N220" s="34">
        <f t="array" ref="N220">MEDIAN(_xlfn._xlws.FILTER(Table4[Original Price],Table4[Brand-Renamed] = Table4[[#This Row],[Brand]]))</f>
        <v>98990</v>
      </c>
      <c r="O220" s="35">
        <f t="array" ref="O220">MEDIAN(_xlfn._xlws.FILTER(Table4[Selling Price],Table4[Brand-Renamed] =Table4[[#This Row],[Brand-Renamed]]))</f>
        <v>76737</v>
      </c>
    </row>
    <row r="221" spans="1:15" ht="13.8" x14ac:dyDescent="0.25">
      <c r="A221" s="6" t="s">
        <v>119</v>
      </c>
      <c r="B221" s="4" t="str">
        <f t="shared" si="18"/>
        <v xml:space="preserve">Tcl </v>
      </c>
      <c r="C221" s="6" t="s">
        <v>32</v>
      </c>
      <c r="D221" s="6">
        <v>55</v>
      </c>
      <c r="E221" s="6">
        <v>55499</v>
      </c>
      <c r="F221" s="6">
        <v>89900</v>
      </c>
      <c r="G221" s="6" t="s">
        <v>54</v>
      </c>
      <c r="H221" s="6">
        <v>4.3</v>
      </c>
      <c r="I221" s="6">
        <f t="shared" si="19"/>
        <v>34401</v>
      </c>
      <c r="J221">
        <f t="shared" si="20"/>
        <v>0.38265850945494995</v>
      </c>
      <c r="K221" s="6">
        <f t="shared" si="21"/>
        <v>-34401</v>
      </c>
      <c r="L221" s="7">
        <f t="shared" si="22"/>
        <v>-0.61984900628840156</v>
      </c>
      <c r="M221" s="6" t="str">
        <f t="shared" si="23"/>
        <v>Medium Ratings</v>
      </c>
      <c r="N221" s="34">
        <f t="array" ref="N221">MEDIAN(_xlfn._xlws.FILTER(Table4[Original Price],Table4[Brand-Renamed] = Table4[[#This Row],[Brand]]))</f>
        <v>77990</v>
      </c>
      <c r="O221" s="35">
        <f t="array" ref="O221">MEDIAN(_xlfn._xlws.FILTER(Table4[Selling Price],Table4[Brand-Renamed] =Table4[[#This Row],[Brand-Renamed]]))</f>
        <v>40999</v>
      </c>
    </row>
    <row r="222" spans="1:15" ht="13.8" x14ac:dyDescent="0.25">
      <c r="A222" s="4" t="s">
        <v>21</v>
      </c>
      <c r="B222" s="4" t="str">
        <f t="shared" si="18"/>
        <v>Micromax</v>
      </c>
      <c r="C222" s="4" t="s">
        <v>32</v>
      </c>
      <c r="D222" s="4">
        <v>49</v>
      </c>
      <c r="E222" s="4">
        <v>42490</v>
      </c>
      <c r="F222" s="4">
        <v>59990</v>
      </c>
      <c r="G222" s="4" t="s">
        <v>54</v>
      </c>
      <c r="H222" s="4">
        <v>4.2</v>
      </c>
      <c r="I222" s="4">
        <f t="shared" si="19"/>
        <v>17500</v>
      </c>
      <c r="J222">
        <f t="shared" si="20"/>
        <v>0.29171528588098017</v>
      </c>
      <c r="K222" s="4">
        <f t="shared" si="21"/>
        <v>-17500</v>
      </c>
      <c r="L222" s="5">
        <f t="shared" si="22"/>
        <v>-0.41186161449752884</v>
      </c>
      <c r="M222" s="4" t="str">
        <f t="shared" si="23"/>
        <v>Medium Ratings</v>
      </c>
      <c r="N222" s="34">
        <f t="array" ref="N222">MEDIAN(_xlfn._xlws.FILTER(Table4[Original Price],Table4[Brand-Renamed] = Table4[[#This Row],[Brand]]))</f>
        <v>24990</v>
      </c>
      <c r="O222" s="35">
        <f t="array" ref="O222">MEDIAN(_xlfn._xlws.FILTER(Table4[Selling Price],Table4[Brand-Renamed] =Table4[[#This Row],[Brand-Renamed]]))</f>
        <v>16825</v>
      </c>
    </row>
    <row r="223" spans="1:15" ht="13.8" x14ac:dyDescent="0.25">
      <c r="A223" s="6" t="s">
        <v>122</v>
      </c>
      <c r="B223" s="4" t="str">
        <f t="shared" si="18"/>
        <v xml:space="preserve">Lg </v>
      </c>
      <c r="C223" s="6" t="s">
        <v>32</v>
      </c>
      <c r="D223" s="6">
        <v>55</v>
      </c>
      <c r="E223" s="6">
        <v>63990</v>
      </c>
      <c r="F223" s="6">
        <v>91990</v>
      </c>
      <c r="G223" s="6" t="s">
        <v>58</v>
      </c>
      <c r="H223" s="6">
        <v>4.7</v>
      </c>
      <c r="I223" s="6">
        <f t="shared" si="19"/>
        <v>28000</v>
      </c>
      <c r="J223">
        <f t="shared" si="20"/>
        <v>0.30438091096858355</v>
      </c>
      <c r="K223" s="6">
        <f t="shared" si="21"/>
        <v>-28000</v>
      </c>
      <c r="L223" s="7">
        <f t="shared" si="22"/>
        <v>-0.43756837005782151</v>
      </c>
      <c r="M223" s="6" t="str">
        <f t="shared" si="23"/>
        <v>Good Ratings</v>
      </c>
      <c r="N223" s="34">
        <f t="array" ref="N223">MEDIAN(_xlfn._xlws.FILTER(Table4[Original Price],Table4[Brand-Renamed] = Table4[[#This Row],[Brand]]))</f>
        <v>98990</v>
      </c>
      <c r="O223" s="35">
        <f t="array" ref="O223">MEDIAN(_xlfn._xlws.FILTER(Table4[Selling Price],Table4[Brand-Renamed] =Table4[[#This Row],[Brand-Renamed]]))</f>
        <v>76737</v>
      </c>
    </row>
    <row r="224" spans="1:15" ht="13.8" x14ac:dyDescent="0.25">
      <c r="A224" s="4" t="s">
        <v>125</v>
      </c>
      <c r="B224" s="4" t="str">
        <f t="shared" si="18"/>
        <v>Samsung</v>
      </c>
      <c r="C224" s="4" t="s">
        <v>29</v>
      </c>
      <c r="D224" s="4">
        <v>55</v>
      </c>
      <c r="E224" s="4">
        <v>163738</v>
      </c>
      <c r="F224" s="4">
        <v>211900</v>
      </c>
      <c r="G224" s="4" t="s">
        <v>56</v>
      </c>
      <c r="H224" s="4"/>
      <c r="I224" s="4">
        <f t="shared" si="19"/>
        <v>48162</v>
      </c>
      <c r="J224">
        <f t="shared" si="20"/>
        <v>0.22728645587541293</v>
      </c>
      <c r="K224" s="4">
        <f t="shared" si="21"/>
        <v>-48162</v>
      </c>
      <c r="L224" s="5">
        <f t="shared" si="22"/>
        <v>-0.29414063931402606</v>
      </c>
      <c r="M224" s="4" t="str">
        <f t="shared" si="23"/>
        <v>Ratings Not Given</v>
      </c>
      <c r="N224" s="34">
        <f t="array" ref="N224">MEDIAN(_xlfn._xlws.FILTER(Table4[Original Price],Table4[Brand-Renamed] = Table4[[#This Row],[Brand]]))</f>
        <v>100945</v>
      </c>
      <c r="O224" s="35">
        <f t="array" ref="O224">MEDIAN(_xlfn._xlws.FILTER(Table4[Selling Price],Table4[Brand-Renamed] =Table4[[#This Row],[Brand-Renamed]]))</f>
        <v>74490</v>
      </c>
    </row>
    <row r="225" spans="1:15" ht="13.8" x14ac:dyDescent="0.25">
      <c r="A225" s="6" t="s">
        <v>39</v>
      </c>
      <c r="B225" s="4" t="str">
        <f t="shared" si="18"/>
        <v>Blaupunkt</v>
      </c>
      <c r="C225" s="6" t="s">
        <v>32</v>
      </c>
      <c r="D225" s="6">
        <v>65</v>
      </c>
      <c r="E225" s="6">
        <v>55999</v>
      </c>
      <c r="F225" s="6">
        <v>75999</v>
      </c>
      <c r="G225" s="6" t="s">
        <v>54</v>
      </c>
      <c r="H225" s="6"/>
      <c r="I225" s="6">
        <f t="shared" si="19"/>
        <v>20000</v>
      </c>
      <c r="J225">
        <f t="shared" si="20"/>
        <v>0.26316135738628138</v>
      </c>
      <c r="K225" s="6">
        <f t="shared" si="21"/>
        <v>-20000</v>
      </c>
      <c r="L225" s="7">
        <f t="shared" si="22"/>
        <v>-0.35714923480776445</v>
      </c>
      <c r="M225" s="6" t="str">
        <f t="shared" si="23"/>
        <v>Ratings Not Given</v>
      </c>
      <c r="N225" s="34">
        <f t="array" ref="N225">MEDIAN(_xlfn._xlws.FILTER(Table4[Original Price],Table4[Brand-Renamed] = Table4[[#This Row],[Brand]]))</f>
        <v>40000</v>
      </c>
      <c r="O225" s="35">
        <f t="array" ref="O225">MEDIAN(_xlfn._xlws.FILTER(Table4[Selling Price],Table4[Brand-Renamed] =Table4[[#This Row],[Brand-Renamed]]))</f>
        <v>21999</v>
      </c>
    </row>
    <row r="226" spans="1:15" ht="13.8" x14ac:dyDescent="0.25">
      <c r="A226" s="4" t="s">
        <v>124</v>
      </c>
      <c r="B226" s="4" t="str">
        <f t="shared" si="18"/>
        <v>Iffalcon By Tcl</v>
      </c>
      <c r="C226" s="4" t="s">
        <v>32</v>
      </c>
      <c r="D226" s="4">
        <v>55</v>
      </c>
      <c r="E226" s="4">
        <v>36999</v>
      </c>
      <c r="F226" s="4">
        <v>59990</v>
      </c>
      <c r="G226" s="4" t="s">
        <v>54</v>
      </c>
      <c r="H226" s="4">
        <v>4.3</v>
      </c>
      <c r="I226" s="4">
        <f t="shared" si="19"/>
        <v>22991</v>
      </c>
      <c r="J226">
        <f t="shared" si="20"/>
        <v>0.383247207867978</v>
      </c>
      <c r="K226" s="4">
        <f t="shared" si="21"/>
        <v>-22991</v>
      </c>
      <c r="L226" s="5">
        <f t="shared" si="22"/>
        <v>-0.62139517284250922</v>
      </c>
      <c r="M226" s="4" t="str">
        <f t="shared" si="23"/>
        <v>Medium Ratings</v>
      </c>
      <c r="N226" s="34">
        <f t="array" ref="N226">MEDIAN(_xlfn._xlws.FILTER(Table4[Original Price],Table4[Brand-Renamed] = Table4[[#This Row],[Brand]]))</f>
        <v>76990</v>
      </c>
      <c r="O226" s="35">
        <f t="array" ref="O226">MEDIAN(_xlfn._xlws.FILTER(Table4[Selling Price],Table4[Brand-Renamed] =Table4[[#This Row],[Brand-Renamed]]))</f>
        <v>36999</v>
      </c>
    </row>
    <row r="227" spans="1:15" ht="13.8" x14ac:dyDescent="0.25">
      <c r="A227" s="6" t="s">
        <v>126</v>
      </c>
      <c r="B227" s="4" t="str">
        <f t="shared" si="18"/>
        <v xml:space="preserve">Sony </v>
      </c>
      <c r="C227" s="6" t="s">
        <v>32</v>
      </c>
      <c r="D227" s="6">
        <v>65</v>
      </c>
      <c r="E227" s="6">
        <v>113999</v>
      </c>
      <c r="F227" s="6">
        <v>179900</v>
      </c>
      <c r="G227" s="6" t="s">
        <v>54</v>
      </c>
      <c r="H227" s="6">
        <v>4.4000000000000004</v>
      </c>
      <c r="I227" s="6">
        <f t="shared" si="19"/>
        <v>65901</v>
      </c>
      <c r="J227">
        <f t="shared" si="20"/>
        <v>0.3663201778765981</v>
      </c>
      <c r="K227" s="6">
        <f t="shared" si="21"/>
        <v>-65901</v>
      </c>
      <c r="L227" s="7">
        <f t="shared" si="22"/>
        <v>-0.57808401828086209</v>
      </c>
      <c r="M227" s="6" t="str">
        <f t="shared" si="23"/>
        <v>Medium Ratings</v>
      </c>
      <c r="N227" s="34">
        <f t="array" ref="N227">MEDIAN(_xlfn._xlws.FILTER(Table4[Original Price],Table4[Brand-Renamed] = Table4[[#This Row],[Brand]]))</f>
        <v>87400</v>
      </c>
      <c r="O227" s="35">
        <f t="array" ref="O227">MEDIAN(_xlfn._xlws.FILTER(Table4[Selling Price],Table4[Brand-Renamed] =Table4[[#This Row],[Brand-Renamed]]))</f>
        <v>64294.5</v>
      </c>
    </row>
    <row r="228" spans="1:15" ht="13.8" x14ac:dyDescent="0.25">
      <c r="A228" s="4" t="s">
        <v>50</v>
      </c>
      <c r="B228" s="4" t="str">
        <f t="shared" si="18"/>
        <v xml:space="preserve">Haier </v>
      </c>
      <c r="C228" s="4" t="s">
        <v>8</v>
      </c>
      <c r="D228" s="4">
        <v>42</v>
      </c>
      <c r="E228" s="4">
        <v>28240</v>
      </c>
      <c r="F228" s="4">
        <v>43990</v>
      </c>
      <c r="G228" s="4" t="s">
        <v>54</v>
      </c>
      <c r="H228" s="4">
        <v>5</v>
      </c>
      <c r="I228" s="4">
        <f t="shared" si="19"/>
        <v>15750</v>
      </c>
      <c r="J228">
        <f t="shared" si="20"/>
        <v>0.35803591725392137</v>
      </c>
      <c r="K228" s="4">
        <f t="shared" si="21"/>
        <v>-15750</v>
      </c>
      <c r="L228" s="5">
        <f t="shared" si="22"/>
        <v>-0.55771954674220958</v>
      </c>
      <c r="M228" s="4" t="str">
        <f t="shared" si="23"/>
        <v>Good Ratings</v>
      </c>
      <c r="N228" s="34">
        <f t="array" ref="N228">MEDIAN(_xlfn._xlws.FILTER(Table4[Original Price],Table4[Brand-Renamed] = Table4[[#This Row],[Brand]]))</f>
        <v>43990</v>
      </c>
      <c r="O228" s="35">
        <f t="array" ref="O228">MEDIAN(_xlfn._xlws.FILTER(Table4[Selling Price],Table4[Brand-Renamed] =Table4[[#This Row],[Brand-Renamed]]))</f>
        <v>30994.5</v>
      </c>
    </row>
    <row r="229" spans="1:15" ht="13.8" x14ac:dyDescent="0.25">
      <c r="A229" s="6" t="s">
        <v>125</v>
      </c>
      <c r="B229" s="4" t="str">
        <f t="shared" si="18"/>
        <v>Samsung</v>
      </c>
      <c r="C229" s="6" t="s">
        <v>32</v>
      </c>
      <c r="D229" s="6">
        <v>65</v>
      </c>
      <c r="E229" s="6">
        <v>295900</v>
      </c>
      <c r="F229" s="6">
        <v>295900</v>
      </c>
      <c r="G229" s="6" t="s">
        <v>56</v>
      </c>
      <c r="H229" s="6"/>
      <c r="I229" s="6">
        <f t="shared" si="19"/>
        <v>0</v>
      </c>
      <c r="J229" t="str">
        <f t="shared" si="20"/>
        <v>Discount Not Applied</v>
      </c>
      <c r="K229" s="6">
        <f t="shared" si="21"/>
        <v>0</v>
      </c>
      <c r="L229" s="7">
        <f t="shared" si="22"/>
        <v>0</v>
      </c>
      <c r="M229" s="6" t="str">
        <f t="shared" si="23"/>
        <v>Ratings Not Given</v>
      </c>
      <c r="N229" s="34">
        <f t="array" ref="N229">MEDIAN(_xlfn._xlws.FILTER(Table4[Original Price],Table4[Brand-Renamed] = Table4[[#This Row],[Brand]]))</f>
        <v>100945</v>
      </c>
      <c r="O229" s="35">
        <f t="array" ref="O229">MEDIAN(_xlfn._xlws.FILTER(Table4[Selling Price],Table4[Brand-Renamed] =Table4[[#This Row],[Brand-Renamed]]))</f>
        <v>74490</v>
      </c>
    </row>
    <row r="230" spans="1:15" ht="13.8" x14ac:dyDescent="0.25">
      <c r="A230" s="4" t="s">
        <v>126</v>
      </c>
      <c r="B230" s="4" t="str">
        <f t="shared" si="18"/>
        <v xml:space="preserve">Sony </v>
      </c>
      <c r="C230" s="4" t="s">
        <v>32</v>
      </c>
      <c r="D230" s="4">
        <v>65</v>
      </c>
      <c r="E230" s="4">
        <v>469999</v>
      </c>
      <c r="F230" s="4">
        <v>529900</v>
      </c>
      <c r="G230" s="4" t="s">
        <v>54</v>
      </c>
      <c r="H230" s="4">
        <v>5</v>
      </c>
      <c r="I230" s="4">
        <f t="shared" si="19"/>
        <v>59901</v>
      </c>
      <c r="J230">
        <f t="shared" si="20"/>
        <v>0.11304208341196452</v>
      </c>
      <c r="K230" s="4">
        <f t="shared" si="21"/>
        <v>-59901</v>
      </c>
      <c r="L230" s="5">
        <f t="shared" si="22"/>
        <v>-0.12744920733873902</v>
      </c>
      <c r="M230" s="4" t="str">
        <f t="shared" si="23"/>
        <v>Good Ratings</v>
      </c>
      <c r="N230" s="34">
        <f t="array" ref="N230">MEDIAN(_xlfn._xlws.FILTER(Table4[Original Price],Table4[Brand-Renamed] = Table4[[#This Row],[Brand]]))</f>
        <v>87400</v>
      </c>
      <c r="O230" s="35">
        <f t="array" ref="O230">MEDIAN(_xlfn._xlws.FILTER(Table4[Selling Price],Table4[Brand-Renamed] =Table4[[#This Row],[Brand-Renamed]]))</f>
        <v>64294.5</v>
      </c>
    </row>
    <row r="231" spans="1:15" ht="13.8" x14ac:dyDescent="0.25">
      <c r="A231" s="6" t="s">
        <v>13</v>
      </c>
      <c r="B231" s="4" t="str">
        <f t="shared" si="18"/>
        <v>Panasonic</v>
      </c>
      <c r="C231" s="6" t="s">
        <v>32</v>
      </c>
      <c r="D231" s="6">
        <v>55</v>
      </c>
      <c r="E231" s="6">
        <v>62738</v>
      </c>
      <c r="F231" s="6">
        <v>82990</v>
      </c>
      <c r="G231" s="6" t="s">
        <v>60</v>
      </c>
      <c r="H231" s="6"/>
      <c r="I231" s="6">
        <f t="shared" si="19"/>
        <v>20252</v>
      </c>
      <c r="J231">
        <f t="shared" si="20"/>
        <v>0.24402940113266658</v>
      </c>
      <c r="K231" s="6">
        <f t="shared" si="21"/>
        <v>-20252</v>
      </c>
      <c r="L231" s="7">
        <f t="shared" si="22"/>
        <v>-0.32280276706302402</v>
      </c>
      <c r="M231" s="6" t="str">
        <f t="shared" si="23"/>
        <v>Ratings Not Given</v>
      </c>
      <c r="N231" s="34">
        <f t="array" ref="N231">MEDIAN(_xlfn._xlws.FILTER(Table4[Original Price],Table4[Brand-Renamed] = Table4[[#This Row],[Brand]]))</f>
        <v>64195</v>
      </c>
      <c r="O231" s="35">
        <f t="array" ref="O231">MEDIAN(_xlfn._xlws.FILTER(Table4[Selling Price],Table4[Brand-Renamed] =Table4[[#This Row],[Brand-Renamed]]))</f>
        <v>43129</v>
      </c>
    </row>
    <row r="232" spans="1:15" ht="13.8" x14ac:dyDescent="0.25">
      <c r="A232" s="4" t="s">
        <v>126</v>
      </c>
      <c r="B232" s="4" t="str">
        <f t="shared" si="18"/>
        <v xml:space="preserve">Sony </v>
      </c>
      <c r="C232" s="4" t="s">
        <v>32</v>
      </c>
      <c r="D232" s="4">
        <v>75</v>
      </c>
      <c r="E232" s="4">
        <v>259999</v>
      </c>
      <c r="F232" s="4">
        <v>499900</v>
      </c>
      <c r="G232" s="4" t="s">
        <v>54</v>
      </c>
      <c r="H232" s="4">
        <v>3.7</v>
      </c>
      <c r="I232" s="4">
        <f t="shared" si="19"/>
        <v>239901</v>
      </c>
      <c r="J232">
        <f t="shared" si="20"/>
        <v>0.47989797959591918</v>
      </c>
      <c r="K232" s="4">
        <f t="shared" si="21"/>
        <v>-239901</v>
      </c>
      <c r="L232" s="5">
        <f t="shared" si="22"/>
        <v>-0.92269970269116419</v>
      </c>
      <c r="M232" s="4" t="str">
        <f t="shared" si="23"/>
        <v>Bad Ratings</v>
      </c>
      <c r="N232" s="34">
        <f t="array" ref="N232">MEDIAN(_xlfn._xlws.FILTER(Table4[Original Price],Table4[Brand-Renamed] = Table4[[#This Row],[Brand]]))</f>
        <v>87400</v>
      </c>
      <c r="O232" s="35">
        <f t="array" ref="O232">MEDIAN(_xlfn._xlws.FILTER(Table4[Selling Price],Table4[Brand-Renamed] =Table4[[#This Row],[Brand-Renamed]]))</f>
        <v>64294.5</v>
      </c>
    </row>
    <row r="233" spans="1:15" ht="13.8" x14ac:dyDescent="0.25">
      <c r="A233" s="6" t="s">
        <v>122</v>
      </c>
      <c r="B233" s="4" t="str">
        <f t="shared" si="18"/>
        <v xml:space="preserve">Lg </v>
      </c>
      <c r="C233" s="6" t="s">
        <v>32</v>
      </c>
      <c r="D233" s="6">
        <v>65</v>
      </c>
      <c r="E233" s="6">
        <v>249999</v>
      </c>
      <c r="F233" s="6">
        <v>409990</v>
      </c>
      <c r="G233" s="6" t="s">
        <v>58</v>
      </c>
      <c r="H233" s="6">
        <v>4.8</v>
      </c>
      <c r="I233" s="6">
        <f t="shared" si="19"/>
        <v>159991</v>
      </c>
      <c r="J233">
        <f t="shared" si="20"/>
        <v>0.39023146906022099</v>
      </c>
      <c r="K233" s="6">
        <f t="shared" si="21"/>
        <v>-159991</v>
      </c>
      <c r="L233" s="7">
        <f t="shared" si="22"/>
        <v>-0.63996655986623951</v>
      </c>
      <c r="M233" s="6" t="str">
        <f t="shared" si="23"/>
        <v>Good Ratings</v>
      </c>
      <c r="N233" s="34">
        <f t="array" ref="N233">MEDIAN(_xlfn._xlws.FILTER(Table4[Original Price],Table4[Brand-Renamed] = Table4[[#This Row],[Brand]]))</f>
        <v>98990</v>
      </c>
      <c r="O233" s="35">
        <f t="array" ref="O233">MEDIAN(_xlfn._xlws.FILTER(Table4[Selling Price],Table4[Brand-Renamed] =Table4[[#This Row],[Brand-Renamed]]))</f>
        <v>76737</v>
      </c>
    </row>
    <row r="234" spans="1:15" ht="13.8" x14ac:dyDescent="0.25">
      <c r="A234" s="4" t="s">
        <v>118</v>
      </c>
      <c r="B234" s="4" t="str">
        <f t="shared" si="18"/>
        <v>Toshiba</v>
      </c>
      <c r="C234" s="4" t="s">
        <v>32</v>
      </c>
      <c r="D234" s="4">
        <v>50</v>
      </c>
      <c r="E234" s="4">
        <v>33999</v>
      </c>
      <c r="F234" s="4">
        <v>46990</v>
      </c>
      <c r="G234" s="4" t="s">
        <v>64</v>
      </c>
      <c r="H234" s="4">
        <v>4.3</v>
      </c>
      <c r="I234" s="4">
        <f t="shared" si="19"/>
        <v>12991</v>
      </c>
      <c r="J234">
        <f t="shared" si="20"/>
        <v>0.27646307725047881</v>
      </c>
      <c r="K234" s="4">
        <f t="shared" si="21"/>
        <v>-12991</v>
      </c>
      <c r="L234" s="5">
        <f t="shared" si="22"/>
        <v>-0.38209947351392687</v>
      </c>
      <c r="M234" s="4" t="str">
        <f t="shared" si="23"/>
        <v>Medium Ratings</v>
      </c>
      <c r="N234" s="34">
        <f t="array" ref="N234">MEDIAN(_xlfn._xlws.FILTER(Table4[Original Price],Table4[Brand-Renamed] = Table4[[#This Row],[Brand]]))</f>
        <v>46990</v>
      </c>
      <c r="O234" s="35">
        <f t="array" ref="O234">MEDIAN(_xlfn._xlws.FILTER(Table4[Selling Price],Table4[Brand-Renamed] =Table4[[#This Row],[Brand-Renamed]]))</f>
        <v>29999</v>
      </c>
    </row>
    <row r="235" spans="1:15" ht="13.8" x14ac:dyDescent="0.25">
      <c r="A235" s="6" t="s">
        <v>122</v>
      </c>
      <c r="B235" s="4" t="str">
        <f t="shared" si="18"/>
        <v xml:space="preserve">Lg </v>
      </c>
      <c r="C235" s="6" t="s">
        <v>8</v>
      </c>
      <c r="D235" s="6">
        <v>49</v>
      </c>
      <c r="E235" s="6">
        <v>77990</v>
      </c>
      <c r="F235" s="6">
        <v>77990</v>
      </c>
      <c r="G235" s="6" t="s">
        <v>58</v>
      </c>
      <c r="H235" s="6">
        <v>4.8</v>
      </c>
      <c r="I235" s="6">
        <f t="shared" si="19"/>
        <v>0</v>
      </c>
      <c r="J235" t="str">
        <f t="shared" si="20"/>
        <v>Discount Not Applied</v>
      </c>
      <c r="K235" s="6">
        <f t="shared" si="21"/>
        <v>0</v>
      </c>
      <c r="L235" s="7">
        <f t="shared" si="22"/>
        <v>0</v>
      </c>
      <c r="M235" s="6" t="str">
        <f t="shared" si="23"/>
        <v>Good Ratings</v>
      </c>
      <c r="N235" s="34">
        <f t="array" ref="N235">MEDIAN(_xlfn._xlws.FILTER(Table4[Original Price],Table4[Brand-Renamed] = Table4[[#This Row],[Brand]]))</f>
        <v>98990</v>
      </c>
      <c r="O235" s="35">
        <f t="array" ref="O235">MEDIAN(_xlfn._xlws.FILTER(Table4[Selling Price],Table4[Brand-Renamed] =Table4[[#This Row],[Brand-Renamed]]))</f>
        <v>76737</v>
      </c>
    </row>
    <row r="236" spans="1:15" ht="13.8" x14ac:dyDescent="0.25">
      <c r="A236" s="4" t="s">
        <v>118</v>
      </c>
      <c r="B236" s="4" t="str">
        <f t="shared" si="18"/>
        <v>Toshiba</v>
      </c>
      <c r="C236" s="4" t="s">
        <v>19</v>
      </c>
      <c r="D236" s="4">
        <v>32</v>
      </c>
      <c r="E236" s="4">
        <v>17499</v>
      </c>
      <c r="F236" s="4">
        <v>18990</v>
      </c>
      <c r="G236" s="4" t="s">
        <v>64</v>
      </c>
      <c r="H236" s="4">
        <v>4.3</v>
      </c>
      <c r="I236" s="4">
        <f t="shared" si="19"/>
        <v>1491</v>
      </c>
      <c r="J236">
        <f t="shared" si="20"/>
        <v>7.8515007898894151E-2</v>
      </c>
      <c r="K236" s="4">
        <f t="shared" si="21"/>
        <v>-1491</v>
      </c>
      <c r="L236" s="5">
        <f t="shared" si="22"/>
        <v>-8.5204868849648549E-2</v>
      </c>
      <c r="M236" s="4" t="str">
        <f t="shared" si="23"/>
        <v>Medium Ratings</v>
      </c>
      <c r="N236" s="34">
        <f t="array" ref="N236">MEDIAN(_xlfn._xlws.FILTER(Table4[Original Price],Table4[Brand-Renamed] = Table4[[#This Row],[Brand]]))</f>
        <v>46990</v>
      </c>
      <c r="O236" s="35">
        <f t="array" ref="O236">MEDIAN(_xlfn._xlws.FILTER(Table4[Selling Price],Table4[Brand-Renamed] =Table4[[#This Row],[Brand-Renamed]]))</f>
        <v>29999</v>
      </c>
    </row>
    <row r="237" spans="1:15" ht="13.8" x14ac:dyDescent="0.25">
      <c r="A237" s="6" t="s">
        <v>124</v>
      </c>
      <c r="B237" s="4" t="str">
        <f t="shared" si="18"/>
        <v>Iffalcon By Tcl</v>
      </c>
      <c r="C237" s="6" t="s">
        <v>32</v>
      </c>
      <c r="D237" s="6">
        <v>75</v>
      </c>
      <c r="E237" s="6">
        <v>149999</v>
      </c>
      <c r="F237" s="6">
        <v>239999</v>
      </c>
      <c r="G237" s="6" t="s">
        <v>54</v>
      </c>
      <c r="H237" s="6">
        <v>4.2</v>
      </c>
      <c r="I237" s="6">
        <f t="shared" si="19"/>
        <v>90000</v>
      </c>
      <c r="J237">
        <f t="shared" si="20"/>
        <v>0.37500156250651046</v>
      </c>
      <c r="K237" s="6">
        <f t="shared" si="21"/>
        <v>-90000</v>
      </c>
      <c r="L237" s="7">
        <f t="shared" si="22"/>
        <v>-0.60000400002666687</v>
      </c>
      <c r="M237" s="6" t="str">
        <f t="shared" si="23"/>
        <v>Medium Ratings</v>
      </c>
      <c r="N237" s="34">
        <f t="array" ref="N237">MEDIAN(_xlfn._xlws.FILTER(Table4[Original Price],Table4[Brand-Renamed] = Table4[[#This Row],[Brand]]))</f>
        <v>76990</v>
      </c>
      <c r="O237" s="35">
        <f t="array" ref="O237">MEDIAN(_xlfn._xlws.FILTER(Table4[Selling Price],Table4[Brand-Renamed] =Table4[[#This Row],[Brand-Renamed]]))</f>
        <v>36999</v>
      </c>
    </row>
    <row r="238" spans="1:15" ht="13.8" x14ac:dyDescent="0.25">
      <c r="A238" s="4" t="s">
        <v>13</v>
      </c>
      <c r="B238" s="4" t="str">
        <f t="shared" si="18"/>
        <v>Panasonic</v>
      </c>
      <c r="C238" s="4" t="s">
        <v>8</v>
      </c>
      <c r="D238" s="4">
        <v>32</v>
      </c>
      <c r="E238" s="4">
        <v>22990</v>
      </c>
      <c r="F238" s="4">
        <v>24990</v>
      </c>
      <c r="G238" s="4" t="s">
        <v>54</v>
      </c>
      <c r="H238" s="4">
        <v>4.2</v>
      </c>
      <c r="I238" s="4">
        <f t="shared" si="19"/>
        <v>2000</v>
      </c>
      <c r="J238">
        <f t="shared" si="20"/>
        <v>8.0032012805122052E-2</v>
      </c>
      <c r="K238" s="4">
        <f t="shared" si="21"/>
        <v>-2000</v>
      </c>
      <c r="L238" s="5">
        <f t="shared" si="22"/>
        <v>-8.6994345367551115E-2</v>
      </c>
      <c r="M238" s="4" t="str">
        <f t="shared" si="23"/>
        <v>Medium Ratings</v>
      </c>
      <c r="N238" s="34">
        <f t="array" ref="N238">MEDIAN(_xlfn._xlws.FILTER(Table4[Original Price],Table4[Brand-Renamed] = Table4[[#This Row],[Brand]]))</f>
        <v>64195</v>
      </c>
      <c r="O238" s="35">
        <f t="array" ref="O238">MEDIAN(_xlfn._xlws.FILTER(Table4[Selling Price],Table4[Brand-Renamed] =Table4[[#This Row],[Brand-Renamed]]))</f>
        <v>43129</v>
      </c>
    </row>
    <row r="239" spans="1:15" ht="13.8" x14ac:dyDescent="0.25">
      <c r="A239" s="6" t="s">
        <v>122</v>
      </c>
      <c r="B239" s="4" t="str">
        <f t="shared" si="18"/>
        <v xml:space="preserve">Lg </v>
      </c>
      <c r="C239" s="6" t="s">
        <v>32</v>
      </c>
      <c r="D239" s="6">
        <v>65</v>
      </c>
      <c r="E239" s="6">
        <v>93999</v>
      </c>
      <c r="F239" s="6">
        <v>129990</v>
      </c>
      <c r="G239" s="6" t="s">
        <v>58</v>
      </c>
      <c r="H239" s="6">
        <v>4.5</v>
      </c>
      <c r="I239" s="6">
        <f t="shared" si="19"/>
        <v>35991</v>
      </c>
      <c r="J239">
        <f t="shared" si="20"/>
        <v>0.27687514424186477</v>
      </c>
      <c r="K239" s="6">
        <f t="shared" si="21"/>
        <v>-35991</v>
      </c>
      <c r="L239" s="7">
        <f t="shared" si="22"/>
        <v>-0.3828870519899148</v>
      </c>
      <c r="M239" s="6" t="str">
        <f t="shared" si="23"/>
        <v>Good Ratings</v>
      </c>
      <c r="N239" s="34">
        <f t="array" ref="N239">MEDIAN(_xlfn._xlws.FILTER(Table4[Original Price],Table4[Brand-Renamed] = Table4[[#This Row],[Brand]]))</f>
        <v>98990</v>
      </c>
      <c r="O239" s="35">
        <f t="array" ref="O239">MEDIAN(_xlfn._xlws.FILTER(Table4[Selling Price],Table4[Brand-Renamed] =Table4[[#This Row],[Brand-Renamed]]))</f>
        <v>76737</v>
      </c>
    </row>
    <row r="240" spans="1:15" ht="13.8" x14ac:dyDescent="0.25">
      <c r="A240" s="4" t="s">
        <v>125</v>
      </c>
      <c r="B240" s="4" t="str">
        <f t="shared" si="18"/>
        <v>Samsung</v>
      </c>
      <c r="C240" s="4" t="s">
        <v>32</v>
      </c>
      <c r="D240" s="4">
        <v>50</v>
      </c>
      <c r="E240" s="4">
        <v>53200</v>
      </c>
      <c r="F240" s="4">
        <v>64990</v>
      </c>
      <c r="G240" s="4" t="s">
        <v>56</v>
      </c>
      <c r="H240" s="4"/>
      <c r="I240" s="4">
        <f t="shared" si="19"/>
        <v>11790</v>
      </c>
      <c r="J240">
        <f t="shared" si="20"/>
        <v>0.18141252500384675</v>
      </c>
      <c r="K240" s="4">
        <f t="shared" si="21"/>
        <v>-11790</v>
      </c>
      <c r="L240" s="5">
        <f t="shared" si="22"/>
        <v>-0.22161654135338346</v>
      </c>
      <c r="M240" s="4" t="str">
        <f t="shared" si="23"/>
        <v>Ratings Not Given</v>
      </c>
      <c r="N240" s="34">
        <f t="array" ref="N240">MEDIAN(_xlfn._xlws.FILTER(Table4[Original Price],Table4[Brand-Renamed] = Table4[[#This Row],[Brand]]))</f>
        <v>100945</v>
      </c>
      <c r="O240" s="35">
        <f t="array" ref="O240">MEDIAN(_xlfn._xlws.FILTER(Table4[Selling Price],Table4[Brand-Renamed] =Table4[[#This Row],[Brand-Renamed]]))</f>
        <v>74490</v>
      </c>
    </row>
    <row r="241" spans="1:15" ht="13.8" x14ac:dyDescent="0.25">
      <c r="A241" s="6" t="s">
        <v>90</v>
      </c>
      <c r="B241" s="4" t="str">
        <f t="shared" si="18"/>
        <v>T-Series</v>
      </c>
      <c r="C241" s="6" t="s">
        <v>19</v>
      </c>
      <c r="D241" s="6">
        <v>32</v>
      </c>
      <c r="E241" s="6">
        <v>12499</v>
      </c>
      <c r="F241" s="6">
        <v>14990</v>
      </c>
      <c r="G241" s="6" t="s">
        <v>60</v>
      </c>
      <c r="H241" s="6">
        <v>3.7</v>
      </c>
      <c r="I241" s="6">
        <f t="shared" si="19"/>
        <v>2491</v>
      </c>
      <c r="J241">
        <f t="shared" si="20"/>
        <v>0.16617745163442296</v>
      </c>
      <c r="K241" s="6">
        <f t="shared" si="21"/>
        <v>-2491</v>
      </c>
      <c r="L241" s="7">
        <f t="shared" si="22"/>
        <v>-0.19929594367549405</v>
      </c>
      <c r="M241" s="6" t="str">
        <f t="shared" si="23"/>
        <v>Bad Ratings</v>
      </c>
      <c r="N241" s="34">
        <f t="array" ref="N241">MEDIAN(_xlfn._xlws.FILTER(Table4[Original Price],Table4[Brand-Renamed] = Table4[[#This Row],[Brand]]))</f>
        <v>20990</v>
      </c>
      <c r="O241" s="35">
        <f t="array" ref="O241">MEDIAN(_xlfn._xlws.FILTER(Table4[Selling Price],Table4[Brand-Renamed] =Table4[[#This Row],[Brand-Renamed]]))</f>
        <v>16499</v>
      </c>
    </row>
    <row r="242" spans="1:15" ht="13.8" x14ac:dyDescent="0.25">
      <c r="A242" s="4" t="s">
        <v>125</v>
      </c>
      <c r="B242" s="4" t="str">
        <f t="shared" si="18"/>
        <v>Samsung</v>
      </c>
      <c r="C242" s="4" t="s">
        <v>29</v>
      </c>
      <c r="D242" s="4">
        <v>65</v>
      </c>
      <c r="E242" s="4">
        <v>148990</v>
      </c>
      <c r="F242" s="4">
        <v>259900</v>
      </c>
      <c r="G242" s="4" t="s">
        <v>56</v>
      </c>
      <c r="H242" s="4"/>
      <c r="I242" s="4">
        <f t="shared" si="19"/>
        <v>110910</v>
      </c>
      <c r="J242">
        <f t="shared" si="20"/>
        <v>0.42674105425163522</v>
      </c>
      <c r="K242" s="4">
        <f t="shared" si="21"/>
        <v>-110910</v>
      </c>
      <c r="L242" s="5">
        <f t="shared" si="22"/>
        <v>-0.74441237666957516</v>
      </c>
      <c r="M242" s="4" t="str">
        <f t="shared" si="23"/>
        <v>Ratings Not Given</v>
      </c>
      <c r="N242" s="34">
        <f t="array" ref="N242">MEDIAN(_xlfn._xlws.FILTER(Table4[Original Price],Table4[Brand-Renamed] = Table4[[#This Row],[Brand]]))</f>
        <v>100945</v>
      </c>
      <c r="O242" s="35">
        <f t="array" ref="O242">MEDIAN(_xlfn._xlws.FILTER(Table4[Selling Price],Table4[Brand-Renamed] =Table4[[#This Row],[Brand-Renamed]]))</f>
        <v>74490</v>
      </c>
    </row>
    <row r="243" spans="1:15" ht="13.8" x14ac:dyDescent="0.25">
      <c r="A243" s="6" t="s">
        <v>125</v>
      </c>
      <c r="B243" s="4" t="str">
        <f t="shared" si="18"/>
        <v>Samsung</v>
      </c>
      <c r="C243" s="6" t="s">
        <v>32</v>
      </c>
      <c r="D243" s="6">
        <v>43</v>
      </c>
      <c r="E243" s="6">
        <v>49990</v>
      </c>
      <c r="F243" s="6">
        <v>62900</v>
      </c>
      <c r="G243" s="6" t="s">
        <v>56</v>
      </c>
      <c r="H243" s="6"/>
      <c r="I243" s="6">
        <f t="shared" si="19"/>
        <v>12910</v>
      </c>
      <c r="J243">
        <f t="shared" si="20"/>
        <v>0.20524642289348172</v>
      </c>
      <c r="K243" s="6">
        <f t="shared" si="21"/>
        <v>-12910</v>
      </c>
      <c r="L243" s="7">
        <f t="shared" si="22"/>
        <v>-0.25825165033006603</v>
      </c>
      <c r="M243" s="6" t="str">
        <f t="shared" si="23"/>
        <v>Ratings Not Given</v>
      </c>
      <c r="N243" s="34">
        <f t="array" ref="N243">MEDIAN(_xlfn._xlws.FILTER(Table4[Original Price],Table4[Brand-Renamed] = Table4[[#This Row],[Brand]]))</f>
        <v>100945</v>
      </c>
      <c r="O243" s="35">
        <f t="array" ref="O243">MEDIAN(_xlfn._xlws.FILTER(Table4[Selling Price],Table4[Brand-Renamed] =Table4[[#This Row],[Brand-Renamed]]))</f>
        <v>74490</v>
      </c>
    </row>
    <row r="244" spans="1:15" ht="13.8" x14ac:dyDescent="0.25">
      <c r="A244" s="4" t="s">
        <v>75</v>
      </c>
      <c r="B244" s="4" t="str">
        <f t="shared" si="18"/>
        <v>Onida</v>
      </c>
      <c r="C244" s="4" t="s">
        <v>8</v>
      </c>
      <c r="D244" s="4">
        <v>40</v>
      </c>
      <c r="E244" s="4">
        <v>17999</v>
      </c>
      <c r="F244" s="4">
        <v>29990</v>
      </c>
      <c r="G244" s="4" t="s">
        <v>54</v>
      </c>
      <c r="H244" s="4">
        <v>4.0999999999999996</v>
      </c>
      <c r="I244" s="4">
        <f t="shared" si="19"/>
        <v>11991</v>
      </c>
      <c r="J244">
        <f t="shared" si="20"/>
        <v>0.39983327775925309</v>
      </c>
      <c r="K244" s="4">
        <f t="shared" si="21"/>
        <v>-11991</v>
      </c>
      <c r="L244" s="5">
        <f t="shared" si="22"/>
        <v>-0.66620367798211011</v>
      </c>
      <c r="M244" s="4" t="str">
        <f t="shared" si="23"/>
        <v>Medium Ratings</v>
      </c>
      <c r="N244" s="34">
        <f t="array" ref="N244">MEDIAN(_xlfn._xlws.FILTER(Table4[Original Price],Table4[Brand-Renamed] = Table4[[#This Row],[Brand]]))</f>
        <v>34990</v>
      </c>
      <c r="O244" s="35">
        <f t="array" ref="O244">MEDIAN(_xlfn._xlws.FILTER(Table4[Selling Price],Table4[Brand-Renamed] =Table4[[#This Row],[Brand-Renamed]]))</f>
        <v>29399.5</v>
      </c>
    </row>
    <row r="245" spans="1:15" ht="13.8" x14ac:dyDescent="0.25">
      <c r="A245" s="6" t="s">
        <v>122</v>
      </c>
      <c r="B245" s="4" t="str">
        <f t="shared" si="18"/>
        <v xml:space="preserve">Lg </v>
      </c>
      <c r="C245" s="6" t="s">
        <v>32</v>
      </c>
      <c r="D245" s="6">
        <v>65</v>
      </c>
      <c r="E245" s="6">
        <v>262999</v>
      </c>
      <c r="F245" s="6">
        <v>364990</v>
      </c>
      <c r="G245" s="6" t="s">
        <v>58</v>
      </c>
      <c r="H245" s="6"/>
      <c r="I245" s="6">
        <f t="shared" si="19"/>
        <v>101991</v>
      </c>
      <c r="J245">
        <f t="shared" si="20"/>
        <v>0.27943505301515109</v>
      </c>
      <c r="K245" s="6">
        <f t="shared" si="21"/>
        <v>-101991</v>
      </c>
      <c r="L245" s="7">
        <f t="shared" si="22"/>
        <v>-0.38779995361199093</v>
      </c>
      <c r="M245" s="6" t="str">
        <f t="shared" si="23"/>
        <v>Ratings Not Given</v>
      </c>
      <c r="N245" s="34">
        <f t="array" ref="N245">MEDIAN(_xlfn._xlws.FILTER(Table4[Original Price],Table4[Brand-Renamed] = Table4[[#This Row],[Brand]]))</f>
        <v>98990</v>
      </c>
      <c r="O245" s="35">
        <f t="array" ref="O245">MEDIAN(_xlfn._xlws.FILTER(Table4[Selling Price],Table4[Brand-Renamed] =Table4[[#This Row],[Brand-Renamed]]))</f>
        <v>76737</v>
      </c>
    </row>
    <row r="246" spans="1:15" ht="13.8" x14ac:dyDescent="0.25">
      <c r="A246" s="4" t="s">
        <v>122</v>
      </c>
      <c r="B246" s="4" t="str">
        <f t="shared" si="18"/>
        <v xml:space="preserve">Lg </v>
      </c>
      <c r="C246" s="4" t="s">
        <v>32</v>
      </c>
      <c r="D246" s="4">
        <v>55</v>
      </c>
      <c r="E246" s="4">
        <v>149999</v>
      </c>
      <c r="F246" s="4">
        <v>229990</v>
      </c>
      <c r="G246" s="4" t="s">
        <v>58</v>
      </c>
      <c r="H246" s="4">
        <v>4.3</v>
      </c>
      <c r="I246" s="4">
        <f t="shared" si="19"/>
        <v>79991</v>
      </c>
      <c r="J246">
        <f t="shared" si="20"/>
        <v>0.34780207835123267</v>
      </c>
      <c r="K246" s="4">
        <f t="shared" si="21"/>
        <v>-79991</v>
      </c>
      <c r="L246" s="5">
        <f t="shared" si="22"/>
        <v>-0.53327688851259003</v>
      </c>
      <c r="M246" s="4" t="str">
        <f t="shared" si="23"/>
        <v>Medium Ratings</v>
      </c>
      <c r="N246" s="34">
        <f t="array" ref="N246">MEDIAN(_xlfn._xlws.FILTER(Table4[Original Price],Table4[Brand-Renamed] = Table4[[#This Row],[Brand]]))</f>
        <v>98990</v>
      </c>
      <c r="O246" s="35">
        <f t="array" ref="O246">MEDIAN(_xlfn._xlws.FILTER(Table4[Selling Price],Table4[Brand-Renamed] =Table4[[#This Row],[Brand-Renamed]]))</f>
        <v>76737</v>
      </c>
    </row>
    <row r="247" spans="1:15" ht="13.8" x14ac:dyDescent="0.25">
      <c r="A247" s="6" t="s">
        <v>122</v>
      </c>
      <c r="B247" s="4" t="str">
        <f t="shared" si="18"/>
        <v xml:space="preserve">Lg </v>
      </c>
      <c r="C247" s="6" t="s">
        <v>32</v>
      </c>
      <c r="D247" s="6">
        <v>65</v>
      </c>
      <c r="E247" s="6">
        <v>224999</v>
      </c>
      <c r="F247" s="6">
        <v>379990</v>
      </c>
      <c r="G247" s="6" t="s">
        <v>58</v>
      </c>
      <c r="H247" s="6">
        <v>5</v>
      </c>
      <c r="I247" s="6">
        <f t="shared" si="19"/>
        <v>154991</v>
      </c>
      <c r="J247">
        <f t="shared" si="20"/>
        <v>0.40788178636279904</v>
      </c>
      <c r="K247" s="6">
        <f t="shared" si="21"/>
        <v>-154991</v>
      </c>
      <c r="L247" s="7">
        <f t="shared" si="22"/>
        <v>-0.68885195045311309</v>
      </c>
      <c r="M247" s="6" t="str">
        <f t="shared" si="23"/>
        <v>Good Ratings</v>
      </c>
      <c r="N247" s="34">
        <f t="array" ref="N247">MEDIAN(_xlfn._xlws.FILTER(Table4[Original Price],Table4[Brand-Renamed] = Table4[[#This Row],[Brand]]))</f>
        <v>98990</v>
      </c>
      <c r="O247" s="35">
        <f t="array" ref="O247">MEDIAN(_xlfn._xlws.FILTER(Table4[Selling Price],Table4[Brand-Renamed] =Table4[[#This Row],[Brand-Renamed]]))</f>
        <v>76737</v>
      </c>
    </row>
    <row r="248" spans="1:15" ht="13.8" x14ac:dyDescent="0.25">
      <c r="A248" s="4" t="s">
        <v>50</v>
      </c>
      <c r="B248" s="4" t="str">
        <f t="shared" si="18"/>
        <v xml:space="preserve">Haier </v>
      </c>
      <c r="C248" s="4" t="s">
        <v>32</v>
      </c>
      <c r="D248" s="4">
        <v>43</v>
      </c>
      <c r="E248" s="4">
        <v>34999</v>
      </c>
      <c r="F248" s="4">
        <v>43990</v>
      </c>
      <c r="G248" s="4" t="s">
        <v>54</v>
      </c>
      <c r="H248" s="4">
        <v>4.0999999999999996</v>
      </c>
      <c r="I248" s="4">
        <f t="shared" si="19"/>
        <v>8991</v>
      </c>
      <c r="J248">
        <f t="shared" si="20"/>
        <v>0.20438736076380995</v>
      </c>
      <c r="K248" s="4">
        <f t="shared" si="21"/>
        <v>-8991</v>
      </c>
      <c r="L248" s="5">
        <f t="shared" si="22"/>
        <v>-0.25689305408725965</v>
      </c>
      <c r="M248" s="4" t="str">
        <f t="shared" si="23"/>
        <v>Medium Ratings</v>
      </c>
      <c r="N248" s="34">
        <f t="array" ref="N248">MEDIAN(_xlfn._xlws.FILTER(Table4[Original Price],Table4[Brand-Renamed] = Table4[[#This Row],[Brand]]))</f>
        <v>43990</v>
      </c>
      <c r="O248" s="35">
        <f t="array" ref="O248">MEDIAN(_xlfn._xlws.FILTER(Table4[Selling Price],Table4[Brand-Renamed] =Table4[[#This Row],[Brand-Renamed]]))</f>
        <v>30994.5</v>
      </c>
    </row>
    <row r="249" spans="1:15" ht="13.8" x14ac:dyDescent="0.25">
      <c r="A249" s="6" t="s">
        <v>126</v>
      </c>
      <c r="B249" s="4" t="str">
        <f t="shared" si="18"/>
        <v xml:space="preserve">Sony </v>
      </c>
      <c r="C249" s="6" t="s">
        <v>19</v>
      </c>
      <c r="D249" s="6">
        <v>32</v>
      </c>
      <c r="E249" s="6">
        <v>26374</v>
      </c>
      <c r="F249" s="6">
        <v>29800</v>
      </c>
      <c r="G249" s="6" t="s">
        <v>54</v>
      </c>
      <c r="H249" s="6">
        <v>4.4000000000000004</v>
      </c>
      <c r="I249" s="6">
        <f t="shared" si="19"/>
        <v>3426</v>
      </c>
      <c r="J249">
        <f t="shared" si="20"/>
        <v>0.11496644295302014</v>
      </c>
      <c r="K249" s="6">
        <f t="shared" si="21"/>
        <v>-3426</v>
      </c>
      <c r="L249" s="7">
        <f t="shared" si="22"/>
        <v>-0.12990065974065368</v>
      </c>
      <c r="M249" s="6" t="str">
        <f t="shared" si="23"/>
        <v>Medium Ratings</v>
      </c>
      <c r="N249" s="34">
        <f t="array" ref="N249">MEDIAN(_xlfn._xlws.FILTER(Table4[Original Price],Table4[Brand-Renamed] = Table4[[#This Row],[Brand]]))</f>
        <v>87400</v>
      </c>
      <c r="O249" s="35">
        <f t="array" ref="O249">MEDIAN(_xlfn._xlws.FILTER(Table4[Selling Price],Table4[Brand-Renamed] =Table4[[#This Row],[Brand-Renamed]]))</f>
        <v>64294.5</v>
      </c>
    </row>
    <row r="250" spans="1:15" ht="13.8" x14ac:dyDescent="0.25">
      <c r="A250" s="4" t="s">
        <v>126</v>
      </c>
      <c r="B250" s="4" t="str">
        <f t="shared" si="18"/>
        <v xml:space="preserve">Sony </v>
      </c>
      <c r="C250" s="4" t="s">
        <v>8</v>
      </c>
      <c r="D250" s="4">
        <v>50</v>
      </c>
      <c r="E250" s="4">
        <v>60291</v>
      </c>
      <c r="F250" s="4">
        <v>64900</v>
      </c>
      <c r="G250" s="4" t="s">
        <v>60</v>
      </c>
      <c r="H250" s="4">
        <v>4.5</v>
      </c>
      <c r="I250" s="4">
        <f t="shared" si="19"/>
        <v>4609</v>
      </c>
      <c r="J250">
        <f t="shared" si="20"/>
        <v>7.1016949152542377E-2</v>
      </c>
      <c r="K250" s="4">
        <f t="shared" si="21"/>
        <v>-4609</v>
      </c>
      <c r="L250" s="5">
        <f t="shared" si="22"/>
        <v>-7.6445904032110934E-2</v>
      </c>
      <c r="M250" s="4" t="str">
        <f t="shared" si="23"/>
        <v>Good Ratings</v>
      </c>
      <c r="N250" s="34">
        <f t="array" ref="N250">MEDIAN(_xlfn._xlws.FILTER(Table4[Original Price],Table4[Brand-Renamed] = Table4[[#This Row],[Brand]]))</f>
        <v>87400</v>
      </c>
      <c r="O250" s="35">
        <f t="array" ref="O250">MEDIAN(_xlfn._xlws.FILTER(Table4[Selling Price],Table4[Brand-Renamed] =Table4[[#This Row],[Brand-Renamed]]))</f>
        <v>64294.5</v>
      </c>
    </row>
    <row r="251" spans="1:15" ht="13.8" x14ac:dyDescent="0.25">
      <c r="A251" s="6" t="s">
        <v>81</v>
      </c>
      <c r="B251" s="4" t="str">
        <f t="shared" si="18"/>
        <v xml:space="preserve">Sansui </v>
      </c>
      <c r="C251" s="6" t="s">
        <v>32</v>
      </c>
      <c r="D251" s="6">
        <v>55</v>
      </c>
      <c r="E251" s="6">
        <v>119990</v>
      </c>
      <c r="F251" s="6">
        <v>119990</v>
      </c>
      <c r="G251" s="6" t="s">
        <v>54</v>
      </c>
      <c r="H251" s="6">
        <v>4.3</v>
      </c>
      <c r="I251" s="6">
        <f t="shared" si="19"/>
        <v>0</v>
      </c>
      <c r="J251" t="str">
        <f t="shared" si="20"/>
        <v>Discount Not Applied</v>
      </c>
      <c r="K251" s="6">
        <f t="shared" si="21"/>
        <v>0</v>
      </c>
      <c r="L251" s="7">
        <f t="shared" si="22"/>
        <v>0</v>
      </c>
      <c r="M251" s="6" t="str">
        <f t="shared" si="23"/>
        <v>Medium Ratings</v>
      </c>
      <c r="N251" s="34">
        <f t="array" ref="N251">MEDIAN(_xlfn._xlws.FILTER(Table4[Original Price],Table4[Brand-Renamed] = Table4[[#This Row],[Brand]]))</f>
        <v>35174.5</v>
      </c>
      <c r="O251" s="35">
        <f t="array" ref="O251">MEDIAN(_xlfn._xlws.FILTER(Table4[Selling Price],Table4[Brand-Renamed] =Table4[[#This Row],[Brand-Renamed]]))</f>
        <v>29990</v>
      </c>
    </row>
    <row r="252" spans="1:15" ht="13.8" x14ac:dyDescent="0.25">
      <c r="A252" s="4" t="s">
        <v>119</v>
      </c>
      <c r="B252" s="4" t="str">
        <f t="shared" si="18"/>
        <v xml:space="preserve">Tcl </v>
      </c>
      <c r="C252" s="4" t="s">
        <v>32</v>
      </c>
      <c r="D252" s="4">
        <v>55</v>
      </c>
      <c r="E252" s="4">
        <v>47499</v>
      </c>
      <c r="F252" s="4">
        <v>79990</v>
      </c>
      <c r="G252" s="4" t="s">
        <v>54</v>
      </c>
      <c r="H252" s="4">
        <v>3.9</v>
      </c>
      <c r="I252" s="4">
        <f t="shared" si="19"/>
        <v>32491</v>
      </c>
      <c r="J252">
        <f t="shared" si="20"/>
        <v>0.40618827353419179</v>
      </c>
      <c r="K252" s="4">
        <f t="shared" si="21"/>
        <v>-32491</v>
      </c>
      <c r="L252" s="5">
        <f t="shared" si="22"/>
        <v>-0.6840354533779659</v>
      </c>
      <c r="M252" s="4" t="str">
        <f t="shared" si="23"/>
        <v>Medium Ratings</v>
      </c>
      <c r="N252" s="34">
        <f t="array" ref="N252">MEDIAN(_xlfn._xlws.FILTER(Table4[Original Price],Table4[Brand-Renamed] = Table4[[#This Row],[Brand]]))</f>
        <v>77990</v>
      </c>
      <c r="O252" s="35">
        <f t="array" ref="O252">MEDIAN(_xlfn._xlws.FILTER(Table4[Selling Price],Table4[Brand-Renamed] =Table4[[#This Row],[Brand-Renamed]]))</f>
        <v>40999</v>
      </c>
    </row>
    <row r="253" spans="1:15" ht="13.8" x14ac:dyDescent="0.25">
      <c r="A253" s="6" t="s">
        <v>15</v>
      </c>
      <c r="B253" s="4" t="str">
        <f t="shared" si="18"/>
        <v>Vu</v>
      </c>
      <c r="C253" s="6" t="s">
        <v>32</v>
      </c>
      <c r="D253" s="6">
        <v>55</v>
      </c>
      <c r="E253" s="6">
        <v>41999</v>
      </c>
      <c r="F253" s="6">
        <v>58000</v>
      </c>
      <c r="G253" s="6" t="s">
        <v>54</v>
      </c>
      <c r="H253" s="6">
        <v>4.4000000000000004</v>
      </c>
      <c r="I253" s="6">
        <f t="shared" si="19"/>
        <v>16001</v>
      </c>
      <c r="J253">
        <f t="shared" si="20"/>
        <v>0.2758793103448276</v>
      </c>
      <c r="K253" s="6">
        <f t="shared" si="21"/>
        <v>-16001</v>
      </c>
      <c r="L253" s="7">
        <f t="shared" si="22"/>
        <v>-0.38098526155384654</v>
      </c>
      <c r="M253" s="6" t="str">
        <f t="shared" si="23"/>
        <v>Medium Ratings</v>
      </c>
      <c r="N253" s="34">
        <f t="array" ref="N253">MEDIAN(_xlfn._xlws.FILTER(Table4[Original Price],Table4[Brand-Renamed] = Table4[[#This Row],[Brand]]))</f>
        <v>49990</v>
      </c>
      <c r="O253" s="35">
        <f t="array" ref="O253">MEDIAN(_xlfn._xlws.FILTER(Table4[Selling Price],Table4[Brand-Renamed] =Table4[[#This Row],[Brand-Renamed]]))</f>
        <v>30999</v>
      </c>
    </row>
    <row r="254" spans="1:15" ht="13.8" x14ac:dyDescent="0.25">
      <c r="A254" s="4" t="s">
        <v>130</v>
      </c>
      <c r="B254" s="4" t="str">
        <f t="shared" si="18"/>
        <v xml:space="preserve">Rgl </v>
      </c>
      <c r="C254" s="4" t="s">
        <v>19</v>
      </c>
      <c r="D254" s="4">
        <v>24</v>
      </c>
      <c r="E254" s="4">
        <v>9990</v>
      </c>
      <c r="F254" s="4">
        <v>12990</v>
      </c>
      <c r="G254" s="4" t="s">
        <v>62</v>
      </c>
      <c r="H254" s="4">
        <v>4</v>
      </c>
      <c r="I254" s="4">
        <f t="shared" si="19"/>
        <v>3000</v>
      </c>
      <c r="J254">
        <f t="shared" si="20"/>
        <v>0.23094688221709006</v>
      </c>
      <c r="K254" s="4">
        <f t="shared" si="21"/>
        <v>-3000</v>
      </c>
      <c r="L254" s="5">
        <f t="shared" si="22"/>
        <v>-0.3003003003003003</v>
      </c>
      <c r="M254" s="4" t="str">
        <f t="shared" si="23"/>
        <v>Medium Ratings</v>
      </c>
      <c r="N254" s="34">
        <f t="array" ref="N254">MEDIAN(_xlfn._xlws.FILTER(Table4[Original Price],Table4[Brand-Renamed] = Table4[[#This Row],[Brand]]))</f>
        <v>12000</v>
      </c>
      <c r="O254" s="35">
        <f t="array" ref="O254">MEDIAN(_xlfn._xlws.FILTER(Table4[Selling Price],Table4[Brand-Renamed] =Table4[[#This Row],[Brand-Renamed]]))</f>
        <v>5490</v>
      </c>
    </row>
    <row r="255" spans="1:15" ht="13.8" x14ac:dyDescent="0.25">
      <c r="A255" s="6" t="s">
        <v>125</v>
      </c>
      <c r="B255" s="4" t="str">
        <f t="shared" si="18"/>
        <v>Samsung</v>
      </c>
      <c r="C255" s="6" t="s">
        <v>32</v>
      </c>
      <c r="D255" s="6">
        <v>65</v>
      </c>
      <c r="E255" s="6">
        <v>294900</v>
      </c>
      <c r="F255" s="6">
        <v>294900</v>
      </c>
      <c r="G255" s="6" t="s">
        <v>56</v>
      </c>
      <c r="H255" s="6">
        <v>4.7</v>
      </c>
      <c r="I255" s="6">
        <f t="shared" si="19"/>
        <v>0</v>
      </c>
      <c r="J255" t="str">
        <f t="shared" si="20"/>
        <v>Discount Not Applied</v>
      </c>
      <c r="K255" s="6">
        <f t="shared" si="21"/>
        <v>0</v>
      </c>
      <c r="L255" s="7">
        <f t="shared" si="22"/>
        <v>0</v>
      </c>
      <c r="M255" s="6" t="str">
        <f t="shared" si="23"/>
        <v>Good Ratings</v>
      </c>
      <c r="N255" s="34">
        <f t="array" ref="N255">MEDIAN(_xlfn._xlws.FILTER(Table4[Original Price],Table4[Brand-Renamed] = Table4[[#This Row],[Brand]]))</f>
        <v>100945</v>
      </c>
      <c r="O255" s="35">
        <f t="array" ref="O255">MEDIAN(_xlfn._xlws.FILTER(Table4[Selling Price],Table4[Brand-Renamed] =Table4[[#This Row],[Brand-Renamed]]))</f>
        <v>74490</v>
      </c>
    </row>
    <row r="256" spans="1:15" ht="13.8" x14ac:dyDescent="0.25">
      <c r="A256" s="4" t="s">
        <v>122</v>
      </c>
      <c r="B256" s="4" t="str">
        <f t="shared" si="18"/>
        <v xml:space="preserve">Lg </v>
      </c>
      <c r="C256" s="4" t="s">
        <v>32</v>
      </c>
      <c r="D256" s="4">
        <v>70</v>
      </c>
      <c r="E256" s="4">
        <v>94990</v>
      </c>
      <c r="F256" s="4">
        <v>169990</v>
      </c>
      <c r="G256" s="4" t="s">
        <v>58</v>
      </c>
      <c r="H256" s="4"/>
      <c r="I256" s="4">
        <f t="shared" si="19"/>
        <v>75000</v>
      </c>
      <c r="J256">
        <f t="shared" si="20"/>
        <v>0.4412024236719807</v>
      </c>
      <c r="K256" s="4">
        <f t="shared" si="21"/>
        <v>-75000</v>
      </c>
      <c r="L256" s="5">
        <f t="shared" si="22"/>
        <v>-0.78955679545215285</v>
      </c>
      <c r="M256" s="4" t="str">
        <f t="shared" si="23"/>
        <v>Ratings Not Given</v>
      </c>
      <c r="N256" s="34">
        <f t="array" ref="N256">MEDIAN(_xlfn._xlws.FILTER(Table4[Original Price],Table4[Brand-Renamed] = Table4[[#This Row],[Brand]]))</f>
        <v>98990</v>
      </c>
      <c r="O256" s="35">
        <f t="array" ref="O256">MEDIAN(_xlfn._xlws.FILTER(Table4[Selling Price],Table4[Brand-Renamed] =Table4[[#This Row],[Brand-Renamed]]))</f>
        <v>76737</v>
      </c>
    </row>
    <row r="257" spans="1:15" ht="13.8" x14ac:dyDescent="0.25">
      <c r="A257" s="6" t="s">
        <v>70</v>
      </c>
      <c r="B257" s="4" t="str">
        <f t="shared" si="18"/>
        <v xml:space="preserve">Mi </v>
      </c>
      <c r="C257" s="6" t="s">
        <v>19</v>
      </c>
      <c r="D257" s="6">
        <v>32</v>
      </c>
      <c r="E257" s="6">
        <v>15999</v>
      </c>
      <c r="F257" s="6">
        <v>15999</v>
      </c>
      <c r="G257" s="6" t="s">
        <v>54</v>
      </c>
      <c r="H257" s="6">
        <v>4.4000000000000004</v>
      </c>
      <c r="I257" s="6">
        <f t="shared" si="19"/>
        <v>0</v>
      </c>
      <c r="J257" t="str">
        <f t="shared" si="20"/>
        <v>Discount Not Applied</v>
      </c>
      <c r="K257" s="6">
        <f t="shared" si="21"/>
        <v>0</v>
      </c>
      <c r="L257" s="7">
        <f t="shared" si="22"/>
        <v>0</v>
      </c>
      <c r="M257" s="6" t="str">
        <f t="shared" si="23"/>
        <v>Medium Ratings</v>
      </c>
      <c r="N257" s="34">
        <f t="array" ref="N257">MEDIAN(_xlfn._xlws.FILTER(Table4[Original Price],Table4[Brand-Renamed] = Table4[[#This Row],[Brand]]))</f>
        <v>34999</v>
      </c>
      <c r="O257" s="35">
        <f t="array" ref="O257">MEDIAN(_xlfn._xlws.FILTER(Table4[Selling Price],Table4[Brand-Renamed] =Table4[[#This Row],[Brand-Renamed]]))</f>
        <v>27999</v>
      </c>
    </row>
    <row r="258" spans="1:15" ht="13.8" x14ac:dyDescent="0.25">
      <c r="A258" s="4" t="s">
        <v>127</v>
      </c>
      <c r="B258" s="4" t="str">
        <f t="shared" ref="B258:B321" si="24">PROPER(A258)</f>
        <v xml:space="preserve">Kodak </v>
      </c>
      <c r="C258" s="4" t="s">
        <v>19</v>
      </c>
      <c r="D258" s="4">
        <v>32</v>
      </c>
      <c r="E258" s="4">
        <v>11499</v>
      </c>
      <c r="F258" s="4">
        <v>20990</v>
      </c>
      <c r="G258" s="4" t="s">
        <v>54</v>
      </c>
      <c r="H258" s="4">
        <v>4.3</v>
      </c>
      <c r="I258" s="4">
        <f t="shared" ref="I258:I321" si="25">F258-E258</f>
        <v>9491</v>
      </c>
      <c r="J258">
        <f t="shared" ref="J258:J321" si="26">IF((F258-E258)/F258 = 0, "Discount Not Applied", (F258-E258)/F258)</f>
        <v>0.45216769890424013</v>
      </c>
      <c r="K258" s="4">
        <f t="shared" ref="K258:K321" si="27">E258-F258</f>
        <v>-9491</v>
      </c>
      <c r="L258" s="5">
        <f t="shared" ref="L258:L321" si="28">(E258-F258)/E258</f>
        <v>-0.8253761196625794</v>
      </c>
      <c r="M258" s="4" t="str">
        <f t="shared" ref="M258:M321" si="29">IF(ISBLANK(H258),"Ratings Not Given",IF(H258&gt;=4.5,"Good Ratings",IF(H258&lt;=3.7,"Bad Ratings","Medium Ratings")))</f>
        <v>Medium Ratings</v>
      </c>
      <c r="N258" s="34">
        <f t="array" ref="N258">MEDIAN(_xlfn._xlws.FILTER(Table4[Original Price],Table4[Brand-Renamed] = Table4[[#This Row],[Brand]]))</f>
        <v>31990</v>
      </c>
      <c r="O258" s="35">
        <f t="array" ref="O258">MEDIAN(_xlfn._xlws.FILTER(Table4[Selling Price],Table4[Brand-Renamed] =Table4[[#This Row],[Brand-Renamed]]))</f>
        <v>22499</v>
      </c>
    </row>
    <row r="259" spans="1:15" ht="13.8" x14ac:dyDescent="0.25">
      <c r="A259" s="6" t="s">
        <v>125</v>
      </c>
      <c r="B259" s="4" t="str">
        <f t="shared" si="24"/>
        <v>Samsung</v>
      </c>
      <c r="C259" s="6" t="s">
        <v>8</v>
      </c>
      <c r="D259" s="6">
        <v>43</v>
      </c>
      <c r="E259" s="6">
        <v>38990</v>
      </c>
      <c r="F259" s="6">
        <v>56945</v>
      </c>
      <c r="G259" s="6" t="s">
        <v>56</v>
      </c>
      <c r="H259" s="6"/>
      <c r="I259" s="6">
        <f t="shared" si="25"/>
        <v>17955</v>
      </c>
      <c r="J259">
        <f t="shared" si="26"/>
        <v>0.31530424093423481</v>
      </c>
      <c r="K259" s="6">
        <f t="shared" si="27"/>
        <v>-17955</v>
      </c>
      <c r="L259" s="7">
        <f t="shared" si="28"/>
        <v>-0.46050269299820468</v>
      </c>
      <c r="M259" s="6" t="str">
        <f t="shared" si="29"/>
        <v>Ratings Not Given</v>
      </c>
      <c r="N259" s="34">
        <f t="array" ref="N259">MEDIAN(_xlfn._xlws.FILTER(Table4[Original Price],Table4[Brand-Renamed] = Table4[[#This Row],[Brand]]))</f>
        <v>100945</v>
      </c>
      <c r="O259" s="35">
        <f t="array" ref="O259">MEDIAN(_xlfn._xlws.FILTER(Table4[Selling Price],Table4[Brand-Renamed] =Table4[[#This Row],[Brand-Renamed]]))</f>
        <v>74490</v>
      </c>
    </row>
    <row r="260" spans="1:15" ht="13.8" x14ac:dyDescent="0.25">
      <c r="A260" s="4" t="s">
        <v>126</v>
      </c>
      <c r="B260" s="4" t="str">
        <f t="shared" si="24"/>
        <v xml:space="preserve">Sony </v>
      </c>
      <c r="C260" s="4" t="s">
        <v>32</v>
      </c>
      <c r="D260" s="4">
        <v>65</v>
      </c>
      <c r="E260" s="4">
        <v>259999</v>
      </c>
      <c r="F260" s="4">
        <v>449900</v>
      </c>
      <c r="G260" s="4" t="s">
        <v>54</v>
      </c>
      <c r="H260" s="4">
        <v>4.3</v>
      </c>
      <c r="I260" s="4">
        <f t="shared" si="25"/>
        <v>189901</v>
      </c>
      <c r="J260">
        <f t="shared" si="26"/>
        <v>0.42209602133807511</v>
      </c>
      <c r="K260" s="4">
        <f t="shared" si="27"/>
        <v>-189901</v>
      </c>
      <c r="L260" s="5">
        <f t="shared" si="28"/>
        <v>-0.73039127073565668</v>
      </c>
      <c r="M260" s="4" t="str">
        <f t="shared" si="29"/>
        <v>Medium Ratings</v>
      </c>
      <c r="N260" s="34">
        <f t="array" ref="N260">MEDIAN(_xlfn._xlws.FILTER(Table4[Original Price],Table4[Brand-Renamed] = Table4[[#This Row],[Brand]]))</f>
        <v>87400</v>
      </c>
      <c r="O260" s="35">
        <f t="array" ref="O260">MEDIAN(_xlfn._xlws.FILTER(Table4[Selling Price],Table4[Brand-Renamed] =Table4[[#This Row],[Brand-Renamed]]))</f>
        <v>64294.5</v>
      </c>
    </row>
    <row r="261" spans="1:15" ht="13.8" x14ac:dyDescent="0.25">
      <c r="A261" s="6" t="s">
        <v>125</v>
      </c>
      <c r="B261" s="4" t="str">
        <f t="shared" si="24"/>
        <v>Samsung</v>
      </c>
      <c r="C261" s="6" t="s">
        <v>32</v>
      </c>
      <c r="D261" s="6">
        <v>65</v>
      </c>
      <c r="E261" s="6">
        <v>159500</v>
      </c>
      <c r="F261" s="6">
        <v>234900</v>
      </c>
      <c r="G261" s="6" t="s">
        <v>56</v>
      </c>
      <c r="H261" s="6">
        <v>4.5999999999999996</v>
      </c>
      <c r="I261" s="6">
        <f t="shared" si="25"/>
        <v>75400</v>
      </c>
      <c r="J261">
        <f t="shared" si="26"/>
        <v>0.32098765432098764</v>
      </c>
      <c r="K261" s="6">
        <f t="shared" si="27"/>
        <v>-75400</v>
      </c>
      <c r="L261" s="7">
        <f t="shared" si="28"/>
        <v>-0.47272727272727272</v>
      </c>
      <c r="M261" s="6" t="str">
        <f t="shared" si="29"/>
        <v>Good Ratings</v>
      </c>
      <c r="N261" s="34">
        <f t="array" ref="N261">MEDIAN(_xlfn._xlws.FILTER(Table4[Original Price],Table4[Brand-Renamed] = Table4[[#This Row],[Brand]]))</f>
        <v>100945</v>
      </c>
      <c r="O261" s="35">
        <f t="array" ref="O261">MEDIAN(_xlfn._xlws.FILTER(Table4[Selling Price],Table4[Brand-Renamed] =Table4[[#This Row],[Brand-Renamed]]))</f>
        <v>74490</v>
      </c>
    </row>
    <row r="262" spans="1:15" ht="13.8" x14ac:dyDescent="0.25">
      <c r="A262" s="4" t="s">
        <v>122</v>
      </c>
      <c r="B262" s="4" t="str">
        <f t="shared" si="24"/>
        <v xml:space="preserve">Lg </v>
      </c>
      <c r="C262" s="4" t="s">
        <v>32</v>
      </c>
      <c r="D262" s="4">
        <v>65</v>
      </c>
      <c r="E262" s="4">
        <v>164999</v>
      </c>
      <c r="F262" s="4">
        <v>264990</v>
      </c>
      <c r="G262" s="4" t="s">
        <v>58</v>
      </c>
      <c r="H262" s="4">
        <v>4.7</v>
      </c>
      <c r="I262" s="4">
        <f t="shared" si="25"/>
        <v>99991</v>
      </c>
      <c r="J262">
        <f t="shared" si="26"/>
        <v>0.37733876750066042</v>
      </c>
      <c r="K262" s="4">
        <f t="shared" si="27"/>
        <v>-99991</v>
      </c>
      <c r="L262" s="5">
        <f t="shared" si="28"/>
        <v>-0.60600973339232356</v>
      </c>
      <c r="M262" s="4" t="str">
        <f t="shared" si="29"/>
        <v>Good Ratings</v>
      </c>
      <c r="N262" s="34">
        <f t="array" ref="N262">MEDIAN(_xlfn._xlws.FILTER(Table4[Original Price],Table4[Brand-Renamed] = Table4[[#This Row],[Brand]]))</f>
        <v>98990</v>
      </c>
      <c r="O262" s="35">
        <f t="array" ref="O262">MEDIAN(_xlfn._xlws.FILTER(Table4[Selling Price],Table4[Brand-Renamed] =Table4[[#This Row],[Brand-Renamed]]))</f>
        <v>76737</v>
      </c>
    </row>
    <row r="263" spans="1:15" ht="13.8" x14ac:dyDescent="0.25">
      <c r="A263" s="6" t="s">
        <v>126</v>
      </c>
      <c r="B263" s="4" t="str">
        <f t="shared" si="24"/>
        <v xml:space="preserve">Sony </v>
      </c>
      <c r="C263" s="6" t="s">
        <v>32</v>
      </c>
      <c r="D263" s="6">
        <v>65</v>
      </c>
      <c r="E263" s="6">
        <v>149999</v>
      </c>
      <c r="F263" s="6">
        <v>244900</v>
      </c>
      <c r="G263" s="6" t="s">
        <v>54</v>
      </c>
      <c r="H263" s="6">
        <v>4.7</v>
      </c>
      <c r="I263" s="6">
        <f t="shared" si="25"/>
        <v>94901</v>
      </c>
      <c r="J263">
        <f t="shared" si="26"/>
        <v>0.38750918742343815</v>
      </c>
      <c r="K263" s="6">
        <f t="shared" si="27"/>
        <v>-94901</v>
      </c>
      <c r="L263" s="7">
        <f t="shared" si="28"/>
        <v>-0.63267755118367452</v>
      </c>
      <c r="M263" s="6" t="str">
        <f t="shared" si="29"/>
        <v>Good Ratings</v>
      </c>
      <c r="N263" s="34">
        <f t="array" ref="N263">MEDIAN(_xlfn._xlws.FILTER(Table4[Original Price],Table4[Brand-Renamed] = Table4[[#This Row],[Brand]]))</f>
        <v>87400</v>
      </c>
      <c r="O263" s="35">
        <f t="array" ref="O263">MEDIAN(_xlfn._xlws.FILTER(Table4[Selling Price],Table4[Brand-Renamed] =Table4[[#This Row],[Brand-Renamed]]))</f>
        <v>64294.5</v>
      </c>
    </row>
    <row r="264" spans="1:15" ht="13.8" x14ac:dyDescent="0.25">
      <c r="A264" s="4" t="s">
        <v>125</v>
      </c>
      <c r="B264" s="4" t="str">
        <f t="shared" si="24"/>
        <v>Samsung</v>
      </c>
      <c r="C264" s="4" t="s">
        <v>29</v>
      </c>
      <c r="D264" s="4">
        <v>49</v>
      </c>
      <c r="E264" s="4">
        <v>74990</v>
      </c>
      <c r="F264" s="4">
        <v>129900</v>
      </c>
      <c r="G264" s="4" t="s">
        <v>56</v>
      </c>
      <c r="H264" s="4">
        <v>4.7</v>
      </c>
      <c r="I264" s="4">
        <f t="shared" si="25"/>
        <v>54910</v>
      </c>
      <c r="J264">
        <f t="shared" si="26"/>
        <v>0.42270977675134719</v>
      </c>
      <c r="K264" s="4">
        <f t="shared" si="27"/>
        <v>-54910</v>
      </c>
      <c r="L264" s="5">
        <f t="shared" si="28"/>
        <v>-0.73223096412855049</v>
      </c>
      <c r="M264" s="4" t="str">
        <f t="shared" si="29"/>
        <v>Good Ratings</v>
      </c>
      <c r="N264" s="34">
        <f t="array" ref="N264">MEDIAN(_xlfn._xlws.FILTER(Table4[Original Price],Table4[Brand-Renamed] = Table4[[#This Row],[Brand]]))</f>
        <v>100945</v>
      </c>
      <c r="O264" s="35">
        <f t="array" ref="O264">MEDIAN(_xlfn._xlws.FILTER(Table4[Selling Price],Table4[Brand-Renamed] =Table4[[#This Row],[Brand-Renamed]]))</f>
        <v>74490</v>
      </c>
    </row>
    <row r="265" spans="1:15" ht="13.8" x14ac:dyDescent="0.25">
      <c r="A265" s="6" t="s">
        <v>129</v>
      </c>
      <c r="B265" s="4" t="str">
        <f t="shared" si="24"/>
        <v>Philips</v>
      </c>
      <c r="C265" s="6" t="s">
        <v>8</v>
      </c>
      <c r="D265" s="6">
        <v>43</v>
      </c>
      <c r="E265" s="6">
        <v>28999</v>
      </c>
      <c r="F265" s="6">
        <v>35990</v>
      </c>
      <c r="G265" s="6" t="s">
        <v>60</v>
      </c>
      <c r="H265" s="6">
        <v>4.0999999999999996</v>
      </c>
      <c r="I265" s="6">
        <f t="shared" si="25"/>
        <v>6991</v>
      </c>
      <c r="J265">
        <f t="shared" si="26"/>
        <v>0.19424840233398166</v>
      </c>
      <c r="K265" s="6">
        <f t="shared" si="27"/>
        <v>-6991</v>
      </c>
      <c r="L265" s="7">
        <f t="shared" si="28"/>
        <v>-0.24107727852684574</v>
      </c>
      <c r="M265" s="6" t="str">
        <f t="shared" si="29"/>
        <v>Medium Ratings</v>
      </c>
      <c r="N265" s="34">
        <f t="array" ref="N265">MEDIAN(_xlfn._xlws.FILTER(Table4[Original Price],Table4[Brand-Renamed] = Table4[[#This Row],[Brand]]))</f>
        <v>44990</v>
      </c>
      <c r="O265" s="35">
        <f t="array" ref="O265">MEDIAN(_xlfn._xlws.FILTER(Table4[Selling Price],Table4[Brand-Renamed] =Table4[[#This Row],[Brand-Renamed]]))</f>
        <v>33459</v>
      </c>
    </row>
    <row r="266" spans="1:15" ht="13.8" x14ac:dyDescent="0.25">
      <c r="A266" s="4" t="s">
        <v>75</v>
      </c>
      <c r="B266" s="4" t="str">
        <f t="shared" si="24"/>
        <v>Onida</v>
      </c>
      <c r="C266" s="4" t="s">
        <v>32</v>
      </c>
      <c r="D266" s="4">
        <v>58</v>
      </c>
      <c r="E266" s="4">
        <v>53199</v>
      </c>
      <c r="F266" s="4">
        <v>79990</v>
      </c>
      <c r="G266" s="4" t="s">
        <v>54</v>
      </c>
      <c r="H266" s="4">
        <v>4.2</v>
      </c>
      <c r="I266" s="4">
        <f t="shared" si="25"/>
        <v>26791</v>
      </c>
      <c r="J266">
        <f t="shared" si="26"/>
        <v>0.33492936617077135</v>
      </c>
      <c r="K266" s="4">
        <f t="shared" si="27"/>
        <v>-26791</v>
      </c>
      <c r="L266" s="5">
        <f t="shared" si="28"/>
        <v>-0.50359969172352859</v>
      </c>
      <c r="M266" s="4" t="str">
        <f t="shared" si="29"/>
        <v>Medium Ratings</v>
      </c>
      <c r="N266" s="34">
        <f t="array" ref="N266">MEDIAN(_xlfn._xlws.FILTER(Table4[Original Price],Table4[Brand-Renamed] = Table4[[#This Row],[Brand]]))</f>
        <v>34990</v>
      </c>
      <c r="O266" s="35">
        <f t="array" ref="O266">MEDIAN(_xlfn._xlws.FILTER(Table4[Selling Price],Table4[Brand-Renamed] =Table4[[#This Row],[Brand-Renamed]]))</f>
        <v>29399.5</v>
      </c>
    </row>
    <row r="267" spans="1:15" ht="13.8" x14ac:dyDescent="0.25">
      <c r="A267" s="6" t="s">
        <v>125</v>
      </c>
      <c r="B267" s="4" t="str">
        <f t="shared" si="24"/>
        <v>Samsung</v>
      </c>
      <c r="C267" s="6" t="s">
        <v>32</v>
      </c>
      <c r="D267" s="6">
        <v>75</v>
      </c>
      <c r="E267" s="6">
        <v>169990</v>
      </c>
      <c r="F267" s="6">
        <v>254900</v>
      </c>
      <c r="G267" s="6" t="s">
        <v>56</v>
      </c>
      <c r="H267" s="6"/>
      <c r="I267" s="6">
        <f t="shared" si="25"/>
        <v>84910</v>
      </c>
      <c r="J267">
        <f t="shared" si="26"/>
        <v>0.33311102393095332</v>
      </c>
      <c r="K267" s="6">
        <f t="shared" si="27"/>
        <v>-84910</v>
      </c>
      <c r="L267" s="7">
        <f t="shared" si="28"/>
        <v>-0.49949997058650508</v>
      </c>
      <c r="M267" s="6" t="str">
        <f t="shared" si="29"/>
        <v>Ratings Not Given</v>
      </c>
      <c r="N267" s="34">
        <f t="array" ref="N267">MEDIAN(_xlfn._xlws.FILTER(Table4[Original Price],Table4[Brand-Renamed] = Table4[[#This Row],[Brand]]))</f>
        <v>100945</v>
      </c>
      <c r="O267" s="35">
        <f t="array" ref="O267">MEDIAN(_xlfn._xlws.FILTER(Table4[Selling Price],Table4[Brand-Renamed] =Table4[[#This Row],[Brand-Renamed]]))</f>
        <v>74490</v>
      </c>
    </row>
    <row r="268" spans="1:15" ht="13.8" x14ac:dyDescent="0.25">
      <c r="A268" s="4" t="s">
        <v>125</v>
      </c>
      <c r="B268" s="4" t="str">
        <f t="shared" si="24"/>
        <v>Samsung</v>
      </c>
      <c r="C268" s="4" t="s">
        <v>29</v>
      </c>
      <c r="D268" s="4">
        <v>55</v>
      </c>
      <c r="E268" s="4">
        <v>84999</v>
      </c>
      <c r="F268" s="4">
        <v>133900</v>
      </c>
      <c r="G268" s="4" t="s">
        <v>56</v>
      </c>
      <c r="H268" s="4">
        <v>4.5999999999999996</v>
      </c>
      <c r="I268" s="4">
        <f t="shared" si="25"/>
        <v>48901</v>
      </c>
      <c r="J268">
        <f t="shared" si="26"/>
        <v>0.3652053771471247</v>
      </c>
      <c r="K268" s="4">
        <f t="shared" si="27"/>
        <v>-48901</v>
      </c>
      <c r="L268" s="5">
        <f t="shared" si="28"/>
        <v>-0.5753126507370675</v>
      </c>
      <c r="M268" s="4" t="str">
        <f t="shared" si="29"/>
        <v>Good Ratings</v>
      </c>
      <c r="N268" s="34">
        <f t="array" ref="N268">MEDIAN(_xlfn._xlws.FILTER(Table4[Original Price],Table4[Brand-Renamed] = Table4[[#This Row],[Brand]]))</f>
        <v>100945</v>
      </c>
      <c r="O268" s="35">
        <f t="array" ref="O268">MEDIAN(_xlfn._xlws.FILTER(Table4[Selling Price],Table4[Brand-Renamed] =Table4[[#This Row],[Brand-Renamed]]))</f>
        <v>74490</v>
      </c>
    </row>
    <row r="269" spans="1:15" ht="13.8" x14ac:dyDescent="0.25">
      <c r="A269" s="6" t="s">
        <v>122</v>
      </c>
      <c r="B269" s="4" t="str">
        <f t="shared" si="24"/>
        <v xml:space="preserve">Lg </v>
      </c>
      <c r="C269" s="6" t="s">
        <v>32</v>
      </c>
      <c r="D269" s="6">
        <v>55</v>
      </c>
      <c r="E269" s="6">
        <v>124999</v>
      </c>
      <c r="F269" s="6">
        <v>177990</v>
      </c>
      <c r="G269" s="6" t="s">
        <v>58</v>
      </c>
      <c r="H269" s="6">
        <v>4.4000000000000004</v>
      </c>
      <c r="I269" s="6">
        <f t="shared" si="25"/>
        <v>52991</v>
      </c>
      <c r="J269">
        <f t="shared" si="26"/>
        <v>0.29771897297600991</v>
      </c>
      <c r="K269" s="6">
        <f t="shared" si="27"/>
        <v>-52991</v>
      </c>
      <c r="L269" s="7">
        <f t="shared" si="28"/>
        <v>-0.42393139145113162</v>
      </c>
      <c r="M269" s="6" t="str">
        <f t="shared" si="29"/>
        <v>Medium Ratings</v>
      </c>
      <c r="N269" s="34">
        <f t="array" ref="N269">MEDIAN(_xlfn._xlws.FILTER(Table4[Original Price],Table4[Brand-Renamed] = Table4[[#This Row],[Brand]]))</f>
        <v>98990</v>
      </c>
      <c r="O269" s="35">
        <f t="array" ref="O269">MEDIAN(_xlfn._xlws.FILTER(Table4[Selling Price],Table4[Brand-Renamed] =Table4[[#This Row],[Brand-Renamed]]))</f>
        <v>76737</v>
      </c>
    </row>
    <row r="270" spans="1:15" ht="13.8" x14ac:dyDescent="0.25">
      <c r="A270" s="4" t="s">
        <v>122</v>
      </c>
      <c r="B270" s="4" t="str">
        <f t="shared" si="24"/>
        <v xml:space="preserve">Lg </v>
      </c>
      <c r="C270" s="4" t="s">
        <v>32</v>
      </c>
      <c r="D270" s="4">
        <v>75</v>
      </c>
      <c r="E270" s="4">
        <v>385099</v>
      </c>
      <c r="F270" s="4">
        <v>549990</v>
      </c>
      <c r="G270" s="4" t="s">
        <v>58</v>
      </c>
      <c r="H270" s="4"/>
      <c r="I270" s="4">
        <f t="shared" si="25"/>
        <v>164891</v>
      </c>
      <c r="J270">
        <f t="shared" si="26"/>
        <v>0.29980726922307677</v>
      </c>
      <c r="K270" s="4">
        <f t="shared" si="27"/>
        <v>-164891</v>
      </c>
      <c r="L270" s="5">
        <f t="shared" si="28"/>
        <v>-0.428178208720355</v>
      </c>
      <c r="M270" s="4" t="str">
        <f t="shared" si="29"/>
        <v>Ratings Not Given</v>
      </c>
      <c r="N270" s="34">
        <f t="array" ref="N270">MEDIAN(_xlfn._xlws.FILTER(Table4[Original Price],Table4[Brand-Renamed] = Table4[[#This Row],[Brand]]))</f>
        <v>98990</v>
      </c>
      <c r="O270" s="35">
        <f t="array" ref="O270">MEDIAN(_xlfn._xlws.FILTER(Table4[Selling Price],Table4[Brand-Renamed] =Table4[[#This Row],[Brand-Renamed]]))</f>
        <v>76737</v>
      </c>
    </row>
    <row r="271" spans="1:15" ht="13.8" x14ac:dyDescent="0.25">
      <c r="A271" s="6" t="s">
        <v>41</v>
      </c>
      <c r="B271" s="4" t="str">
        <f t="shared" si="24"/>
        <v xml:space="preserve">Candes </v>
      </c>
      <c r="C271" s="6" t="s">
        <v>19</v>
      </c>
      <c r="D271" s="6">
        <v>32</v>
      </c>
      <c r="E271" s="6">
        <v>11299</v>
      </c>
      <c r="F271" s="6">
        <v>22690</v>
      </c>
      <c r="G271" s="6" t="s">
        <v>54</v>
      </c>
      <c r="H271" s="6">
        <v>3.9</v>
      </c>
      <c r="I271" s="6">
        <f t="shared" si="25"/>
        <v>11391</v>
      </c>
      <c r="J271">
        <f t="shared" si="26"/>
        <v>0.50202732481269285</v>
      </c>
      <c r="K271" s="6">
        <f t="shared" si="27"/>
        <v>-11391</v>
      </c>
      <c r="L271" s="7">
        <f t="shared" si="28"/>
        <v>-1.008142313479069</v>
      </c>
      <c r="M271" s="6" t="str">
        <f t="shared" si="29"/>
        <v>Medium Ratings</v>
      </c>
      <c r="N271" s="34">
        <f t="array" ref="N271">MEDIAN(_xlfn._xlws.FILTER(Table4[Original Price],Table4[Brand-Renamed] = Table4[[#This Row],[Brand]]))</f>
        <v>26340</v>
      </c>
      <c r="O271" s="35">
        <f t="array" ref="O271">MEDIAN(_xlfn._xlws.FILTER(Table4[Selling Price],Table4[Brand-Renamed] =Table4[[#This Row],[Brand-Renamed]]))</f>
        <v>13649</v>
      </c>
    </row>
    <row r="272" spans="1:15" ht="13.8" x14ac:dyDescent="0.25">
      <c r="A272" s="4" t="s">
        <v>125</v>
      </c>
      <c r="B272" s="4" t="str">
        <f t="shared" si="24"/>
        <v>Samsung</v>
      </c>
      <c r="C272" s="4" t="s">
        <v>32</v>
      </c>
      <c r="D272" s="4">
        <v>49</v>
      </c>
      <c r="E272" s="4">
        <v>179900</v>
      </c>
      <c r="F272" s="4">
        <v>179900</v>
      </c>
      <c r="G272" s="4" t="s">
        <v>56</v>
      </c>
      <c r="H272" s="4">
        <v>4.3</v>
      </c>
      <c r="I272" s="4">
        <f t="shared" si="25"/>
        <v>0</v>
      </c>
      <c r="J272" t="str">
        <f t="shared" si="26"/>
        <v>Discount Not Applied</v>
      </c>
      <c r="K272" s="4">
        <f t="shared" si="27"/>
        <v>0</v>
      </c>
      <c r="L272" s="5">
        <f t="shared" si="28"/>
        <v>0</v>
      </c>
      <c r="M272" s="4" t="str">
        <f t="shared" si="29"/>
        <v>Medium Ratings</v>
      </c>
      <c r="N272" s="34">
        <f t="array" ref="N272">MEDIAN(_xlfn._xlws.FILTER(Table4[Original Price],Table4[Brand-Renamed] = Table4[[#This Row],[Brand]]))</f>
        <v>100945</v>
      </c>
      <c r="O272" s="35">
        <f t="array" ref="O272">MEDIAN(_xlfn._xlws.FILTER(Table4[Selling Price],Table4[Brand-Renamed] =Table4[[#This Row],[Brand-Renamed]]))</f>
        <v>74490</v>
      </c>
    </row>
    <row r="273" spans="1:15" ht="13.8" x14ac:dyDescent="0.25">
      <c r="A273" s="6" t="s">
        <v>125</v>
      </c>
      <c r="B273" s="4" t="str">
        <f t="shared" si="24"/>
        <v>Samsung</v>
      </c>
      <c r="C273" s="6" t="s">
        <v>8</v>
      </c>
      <c r="D273" s="6">
        <v>43</v>
      </c>
      <c r="E273" s="6">
        <v>62900</v>
      </c>
      <c r="F273" s="6">
        <v>62900</v>
      </c>
      <c r="G273" s="6" t="s">
        <v>56</v>
      </c>
      <c r="H273" s="6">
        <v>3.9</v>
      </c>
      <c r="I273" s="6">
        <f t="shared" si="25"/>
        <v>0</v>
      </c>
      <c r="J273" t="str">
        <f t="shared" si="26"/>
        <v>Discount Not Applied</v>
      </c>
      <c r="K273" s="6">
        <f t="shared" si="27"/>
        <v>0</v>
      </c>
      <c r="L273" s="7">
        <f t="shared" si="28"/>
        <v>0</v>
      </c>
      <c r="M273" s="6" t="str">
        <f t="shared" si="29"/>
        <v>Medium Ratings</v>
      </c>
      <c r="N273" s="34">
        <f t="array" ref="N273">MEDIAN(_xlfn._xlws.FILTER(Table4[Original Price],Table4[Brand-Renamed] = Table4[[#This Row],[Brand]]))</f>
        <v>100945</v>
      </c>
      <c r="O273" s="35">
        <f t="array" ref="O273">MEDIAN(_xlfn._xlws.FILTER(Table4[Selling Price],Table4[Brand-Renamed] =Table4[[#This Row],[Brand-Renamed]]))</f>
        <v>74490</v>
      </c>
    </row>
    <row r="274" spans="1:15" ht="13.8" x14ac:dyDescent="0.25">
      <c r="A274" s="4" t="s">
        <v>126</v>
      </c>
      <c r="B274" s="4" t="str">
        <f t="shared" si="24"/>
        <v xml:space="preserve">Sony </v>
      </c>
      <c r="C274" s="4" t="s">
        <v>32</v>
      </c>
      <c r="D274" s="4">
        <v>55</v>
      </c>
      <c r="E274" s="4">
        <v>80799</v>
      </c>
      <c r="F274" s="4">
        <v>94900</v>
      </c>
      <c r="G274" s="4" t="s">
        <v>60</v>
      </c>
      <c r="H274" s="4">
        <v>4.5999999999999996</v>
      </c>
      <c r="I274" s="4">
        <f t="shared" si="25"/>
        <v>14101</v>
      </c>
      <c r="J274">
        <f t="shared" si="26"/>
        <v>0.14858798735511064</v>
      </c>
      <c r="K274" s="4">
        <f t="shared" si="27"/>
        <v>-14101</v>
      </c>
      <c r="L274" s="5">
        <f t="shared" si="28"/>
        <v>-0.17451948662730973</v>
      </c>
      <c r="M274" s="4" t="str">
        <f t="shared" si="29"/>
        <v>Good Ratings</v>
      </c>
      <c r="N274" s="34">
        <f t="array" ref="N274">MEDIAN(_xlfn._xlws.FILTER(Table4[Original Price],Table4[Brand-Renamed] = Table4[[#This Row],[Brand]]))</f>
        <v>87400</v>
      </c>
      <c r="O274" s="35">
        <f t="array" ref="O274">MEDIAN(_xlfn._xlws.FILTER(Table4[Selling Price],Table4[Brand-Renamed] =Table4[[#This Row],[Brand-Renamed]]))</f>
        <v>64294.5</v>
      </c>
    </row>
    <row r="275" spans="1:15" ht="13.8" x14ac:dyDescent="0.25">
      <c r="A275" s="6" t="s">
        <v>126</v>
      </c>
      <c r="B275" s="4" t="str">
        <f t="shared" si="24"/>
        <v xml:space="preserve">Sony </v>
      </c>
      <c r="C275" s="6" t="s">
        <v>32</v>
      </c>
      <c r="D275" s="6">
        <v>49</v>
      </c>
      <c r="E275" s="6">
        <v>64599</v>
      </c>
      <c r="F275" s="6">
        <v>76900</v>
      </c>
      <c r="G275" s="6" t="s">
        <v>54</v>
      </c>
      <c r="H275" s="6">
        <v>4.5999999999999996</v>
      </c>
      <c r="I275" s="6">
        <f t="shared" si="25"/>
        <v>12301</v>
      </c>
      <c r="J275">
        <f t="shared" si="26"/>
        <v>0.15996098829648894</v>
      </c>
      <c r="K275" s="6">
        <f t="shared" si="27"/>
        <v>-12301</v>
      </c>
      <c r="L275" s="7">
        <f t="shared" si="28"/>
        <v>-0.19042090434836453</v>
      </c>
      <c r="M275" s="6" t="str">
        <f t="shared" si="29"/>
        <v>Good Ratings</v>
      </c>
      <c r="N275" s="34">
        <f t="array" ref="N275">MEDIAN(_xlfn._xlws.FILTER(Table4[Original Price],Table4[Brand-Renamed] = Table4[[#This Row],[Brand]]))</f>
        <v>87400</v>
      </c>
      <c r="O275" s="35">
        <f t="array" ref="O275">MEDIAN(_xlfn._xlws.FILTER(Table4[Selling Price],Table4[Brand-Renamed] =Table4[[#This Row],[Brand-Renamed]]))</f>
        <v>64294.5</v>
      </c>
    </row>
    <row r="276" spans="1:15" ht="13.8" x14ac:dyDescent="0.25">
      <c r="A276" s="4" t="s">
        <v>48</v>
      </c>
      <c r="B276" s="4" t="str">
        <f t="shared" si="24"/>
        <v>Dyanora</v>
      </c>
      <c r="C276" s="4" t="s">
        <v>19</v>
      </c>
      <c r="D276" s="4">
        <v>32</v>
      </c>
      <c r="E276" s="4">
        <v>12499</v>
      </c>
      <c r="F276" s="4">
        <v>18999</v>
      </c>
      <c r="G276" s="4" t="s">
        <v>54</v>
      </c>
      <c r="H276" s="4"/>
      <c r="I276" s="4">
        <f t="shared" si="25"/>
        <v>6500</v>
      </c>
      <c r="J276">
        <f t="shared" si="26"/>
        <v>0.34212326964577083</v>
      </c>
      <c r="K276" s="4">
        <f t="shared" si="27"/>
        <v>-6500</v>
      </c>
      <c r="L276" s="5">
        <f t="shared" si="28"/>
        <v>-0.52004160332826621</v>
      </c>
      <c r="M276" s="4" t="str">
        <f t="shared" si="29"/>
        <v>Ratings Not Given</v>
      </c>
      <c r="N276" s="34">
        <f t="array" ref="N276">MEDIAN(_xlfn._xlws.FILTER(Table4[Original Price],Table4[Brand-Renamed] = Table4[[#This Row],[Brand]]))</f>
        <v>21499</v>
      </c>
      <c r="O276" s="35">
        <f t="array" ref="O276">MEDIAN(_xlfn._xlws.FILTER(Table4[Selling Price],Table4[Brand-Renamed] =Table4[[#This Row],[Brand-Renamed]]))</f>
        <v>13999</v>
      </c>
    </row>
    <row r="277" spans="1:15" ht="13.8" x14ac:dyDescent="0.25">
      <c r="A277" s="6" t="s">
        <v>128</v>
      </c>
      <c r="B277" s="4" t="str">
        <f t="shared" si="24"/>
        <v>Motorola</v>
      </c>
      <c r="C277" s="6" t="s">
        <v>32</v>
      </c>
      <c r="D277" s="6">
        <v>43</v>
      </c>
      <c r="E277" s="6">
        <v>30999</v>
      </c>
      <c r="F277" s="6">
        <v>46050</v>
      </c>
      <c r="G277" s="6" t="s">
        <v>54</v>
      </c>
      <c r="H277" s="6">
        <v>4.3</v>
      </c>
      <c r="I277" s="6">
        <f t="shared" si="25"/>
        <v>15051</v>
      </c>
      <c r="J277">
        <f t="shared" si="26"/>
        <v>0.3268403908794788</v>
      </c>
      <c r="K277" s="6">
        <f t="shared" si="27"/>
        <v>-15051</v>
      </c>
      <c r="L277" s="7">
        <f t="shared" si="28"/>
        <v>-0.48553179134810798</v>
      </c>
      <c r="M277" s="6" t="str">
        <f t="shared" si="29"/>
        <v>Medium Ratings</v>
      </c>
      <c r="N277" s="34">
        <f t="array" ref="N277">MEDIAN(_xlfn._xlws.FILTER(Table4[Original Price],Table4[Brand-Renamed] = Table4[[#This Row],[Brand]]))</f>
        <v>54050</v>
      </c>
      <c r="O277" s="35">
        <f t="array" ref="O277">MEDIAN(_xlfn._xlws.FILTER(Table4[Selling Price],Table4[Brand-Renamed] =Table4[[#This Row],[Brand-Renamed]]))</f>
        <v>35999</v>
      </c>
    </row>
    <row r="278" spans="1:15" ht="13.8" x14ac:dyDescent="0.25">
      <c r="A278" s="4" t="s">
        <v>125</v>
      </c>
      <c r="B278" s="4" t="str">
        <f t="shared" si="24"/>
        <v>Samsung</v>
      </c>
      <c r="C278" s="4" t="s">
        <v>29</v>
      </c>
      <c r="D278" s="4">
        <v>65</v>
      </c>
      <c r="E278" s="4">
        <v>470900</v>
      </c>
      <c r="F278" s="4">
        <v>470900</v>
      </c>
      <c r="G278" s="4" t="s">
        <v>56</v>
      </c>
      <c r="H278" s="4"/>
      <c r="I278" s="4">
        <f t="shared" si="25"/>
        <v>0</v>
      </c>
      <c r="J278" t="str">
        <f t="shared" si="26"/>
        <v>Discount Not Applied</v>
      </c>
      <c r="K278" s="4">
        <f t="shared" si="27"/>
        <v>0</v>
      </c>
      <c r="L278" s="5">
        <f t="shared" si="28"/>
        <v>0</v>
      </c>
      <c r="M278" s="4" t="str">
        <f t="shared" si="29"/>
        <v>Ratings Not Given</v>
      </c>
      <c r="N278" s="34">
        <f t="array" ref="N278">MEDIAN(_xlfn._xlws.FILTER(Table4[Original Price],Table4[Brand-Renamed] = Table4[[#This Row],[Brand]]))</f>
        <v>100945</v>
      </c>
      <c r="O278" s="35">
        <f t="array" ref="O278">MEDIAN(_xlfn._xlws.FILTER(Table4[Selling Price],Table4[Brand-Renamed] =Table4[[#This Row],[Brand-Renamed]]))</f>
        <v>74490</v>
      </c>
    </row>
    <row r="279" spans="1:15" ht="13.8" x14ac:dyDescent="0.25">
      <c r="A279" s="6" t="s">
        <v>126</v>
      </c>
      <c r="B279" s="4" t="str">
        <f t="shared" si="24"/>
        <v xml:space="preserve">Sony </v>
      </c>
      <c r="C279" s="6" t="s">
        <v>32</v>
      </c>
      <c r="D279" s="6">
        <v>55</v>
      </c>
      <c r="E279" s="6">
        <v>129990</v>
      </c>
      <c r="F279" s="6">
        <v>155990</v>
      </c>
      <c r="G279" s="6" t="s">
        <v>60</v>
      </c>
      <c r="H279" s="6"/>
      <c r="I279" s="6">
        <f t="shared" si="25"/>
        <v>26000</v>
      </c>
      <c r="J279">
        <f t="shared" si="26"/>
        <v>0.16667735111225079</v>
      </c>
      <c r="K279" s="6">
        <f t="shared" si="27"/>
        <v>-26000</v>
      </c>
      <c r="L279" s="7">
        <f t="shared" si="28"/>
        <v>-0.2000153857989076</v>
      </c>
      <c r="M279" s="6" t="str">
        <f t="shared" si="29"/>
        <v>Ratings Not Given</v>
      </c>
      <c r="N279" s="34">
        <f t="array" ref="N279">MEDIAN(_xlfn._xlws.FILTER(Table4[Original Price],Table4[Brand-Renamed] = Table4[[#This Row],[Brand]]))</f>
        <v>87400</v>
      </c>
      <c r="O279" s="35">
        <f t="array" ref="O279">MEDIAN(_xlfn._xlws.FILTER(Table4[Selling Price],Table4[Brand-Renamed] =Table4[[#This Row],[Brand-Renamed]]))</f>
        <v>64294.5</v>
      </c>
    </row>
    <row r="280" spans="1:15" ht="13.8" x14ac:dyDescent="0.25">
      <c r="A280" s="4" t="s">
        <v>125</v>
      </c>
      <c r="B280" s="4" t="str">
        <f t="shared" si="24"/>
        <v>Samsung</v>
      </c>
      <c r="C280" s="4" t="s">
        <v>32</v>
      </c>
      <c r="D280" s="4">
        <v>55</v>
      </c>
      <c r="E280" s="4">
        <v>61890</v>
      </c>
      <c r="F280" s="4">
        <v>79400</v>
      </c>
      <c r="G280" s="4" t="s">
        <v>56</v>
      </c>
      <c r="H280" s="4"/>
      <c r="I280" s="4">
        <f t="shared" si="25"/>
        <v>17510</v>
      </c>
      <c r="J280">
        <f t="shared" si="26"/>
        <v>0.22052896725440807</v>
      </c>
      <c r="K280" s="4">
        <f t="shared" si="27"/>
        <v>-17510</v>
      </c>
      <c r="L280" s="5">
        <f t="shared" si="28"/>
        <v>-0.28292131200517046</v>
      </c>
      <c r="M280" s="4" t="str">
        <f t="shared" si="29"/>
        <v>Ratings Not Given</v>
      </c>
      <c r="N280" s="34">
        <f t="array" ref="N280">MEDIAN(_xlfn._xlws.FILTER(Table4[Original Price],Table4[Brand-Renamed] = Table4[[#This Row],[Brand]]))</f>
        <v>100945</v>
      </c>
      <c r="O280" s="35">
        <f t="array" ref="O280">MEDIAN(_xlfn._xlws.FILTER(Table4[Selling Price],Table4[Brand-Renamed] =Table4[[#This Row],[Brand-Renamed]]))</f>
        <v>74490</v>
      </c>
    </row>
    <row r="281" spans="1:15" ht="13.8" x14ac:dyDescent="0.25">
      <c r="A281" s="6" t="s">
        <v>125</v>
      </c>
      <c r="B281" s="4" t="str">
        <f t="shared" si="24"/>
        <v>Samsung</v>
      </c>
      <c r="C281" s="6" t="s">
        <v>29</v>
      </c>
      <c r="D281" s="6">
        <v>65</v>
      </c>
      <c r="E281" s="6">
        <v>199990</v>
      </c>
      <c r="F281" s="6">
        <v>284990</v>
      </c>
      <c r="G281" s="6" t="s">
        <v>56</v>
      </c>
      <c r="H281" s="6"/>
      <c r="I281" s="6">
        <f t="shared" si="25"/>
        <v>85000</v>
      </c>
      <c r="J281">
        <f t="shared" si="26"/>
        <v>0.29825607916067232</v>
      </c>
      <c r="K281" s="6">
        <f t="shared" si="27"/>
        <v>-85000</v>
      </c>
      <c r="L281" s="7">
        <f t="shared" si="28"/>
        <v>-0.42502125106255312</v>
      </c>
      <c r="M281" s="6" t="str">
        <f t="shared" si="29"/>
        <v>Ratings Not Given</v>
      </c>
      <c r="N281" s="34">
        <f t="array" ref="N281">MEDIAN(_xlfn._xlws.FILTER(Table4[Original Price],Table4[Brand-Renamed] = Table4[[#This Row],[Brand]]))</f>
        <v>100945</v>
      </c>
      <c r="O281" s="35">
        <f t="array" ref="O281">MEDIAN(_xlfn._xlws.FILTER(Table4[Selling Price],Table4[Brand-Renamed] =Table4[[#This Row],[Brand-Renamed]]))</f>
        <v>74490</v>
      </c>
    </row>
    <row r="282" spans="1:15" ht="13.8" x14ac:dyDescent="0.25">
      <c r="A282" s="4" t="s">
        <v>125</v>
      </c>
      <c r="B282" s="4" t="str">
        <f t="shared" si="24"/>
        <v>Samsung</v>
      </c>
      <c r="C282" s="4" t="s">
        <v>32</v>
      </c>
      <c r="D282" s="4">
        <v>55</v>
      </c>
      <c r="E282" s="4">
        <v>204900</v>
      </c>
      <c r="F282" s="4">
        <v>204900</v>
      </c>
      <c r="G282" s="4" t="s">
        <v>56</v>
      </c>
      <c r="H282" s="4">
        <v>3</v>
      </c>
      <c r="I282" s="4">
        <f t="shared" si="25"/>
        <v>0</v>
      </c>
      <c r="J282" t="str">
        <f t="shared" si="26"/>
        <v>Discount Not Applied</v>
      </c>
      <c r="K282" s="4">
        <f t="shared" si="27"/>
        <v>0</v>
      </c>
      <c r="L282" s="5">
        <f t="shared" si="28"/>
        <v>0</v>
      </c>
      <c r="M282" s="4" t="str">
        <f t="shared" si="29"/>
        <v>Bad Ratings</v>
      </c>
      <c r="N282" s="34">
        <f t="array" ref="N282">MEDIAN(_xlfn._xlws.FILTER(Table4[Original Price],Table4[Brand-Renamed] = Table4[[#This Row],[Brand]]))</f>
        <v>100945</v>
      </c>
      <c r="O282" s="35">
        <f t="array" ref="O282">MEDIAN(_xlfn._xlws.FILTER(Table4[Selling Price],Table4[Brand-Renamed] =Table4[[#This Row],[Brand-Renamed]]))</f>
        <v>74490</v>
      </c>
    </row>
    <row r="283" spans="1:15" ht="13.8" x14ac:dyDescent="0.25">
      <c r="A283" s="6" t="s">
        <v>119</v>
      </c>
      <c r="B283" s="4" t="str">
        <f t="shared" si="24"/>
        <v xml:space="preserve">Tcl </v>
      </c>
      <c r="C283" s="6" t="s">
        <v>8</v>
      </c>
      <c r="D283" s="6">
        <v>40</v>
      </c>
      <c r="E283" s="6">
        <v>26990</v>
      </c>
      <c r="F283" s="6">
        <v>39990</v>
      </c>
      <c r="G283" s="6" t="s">
        <v>54</v>
      </c>
      <c r="H283" s="6">
        <v>4.2</v>
      </c>
      <c r="I283" s="6">
        <f t="shared" si="25"/>
        <v>13000</v>
      </c>
      <c r="J283">
        <f t="shared" si="26"/>
        <v>0.32508127031757938</v>
      </c>
      <c r="K283" s="6">
        <f t="shared" si="27"/>
        <v>-13000</v>
      </c>
      <c r="L283" s="7">
        <f t="shared" si="28"/>
        <v>-0.48165987402741756</v>
      </c>
      <c r="M283" s="6" t="str">
        <f t="shared" si="29"/>
        <v>Medium Ratings</v>
      </c>
      <c r="N283" s="34">
        <f t="array" ref="N283">MEDIAN(_xlfn._xlws.FILTER(Table4[Original Price],Table4[Brand-Renamed] = Table4[[#This Row],[Brand]]))</f>
        <v>77990</v>
      </c>
      <c r="O283" s="35">
        <f t="array" ref="O283">MEDIAN(_xlfn._xlws.FILTER(Table4[Selling Price],Table4[Brand-Renamed] =Table4[[#This Row],[Brand-Renamed]]))</f>
        <v>40999</v>
      </c>
    </row>
    <row r="284" spans="1:15" ht="13.8" x14ac:dyDescent="0.25">
      <c r="A284" s="4" t="s">
        <v>122</v>
      </c>
      <c r="B284" s="4" t="str">
        <f t="shared" si="24"/>
        <v xml:space="preserve">Lg </v>
      </c>
      <c r="C284" s="4" t="s">
        <v>32</v>
      </c>
      <c r="D284" s="4">
        <v>55</v>
      </c>
      <c r="E284" s="4">
        <v>64990</v>
      </c>
      <c r="F284" s="4">
        <v>102990</v>
      </c>
      <c r="G284" s="4" t="s">
        <v>58</v>
      </c>
      <c r="H284" s="4">
        <v>4.3</v>
      </c>
      <c r="I284" s="4">
        <f t="shared" si="25"/>
        <v>38000</v>
      </c>
      <c r="J284">
        <f t="shared" si="26"/>
        <v>0.36896786095737449</v>
      </c>
      <c r="K284" s="4">
        <f t="shared" si="27"/>
        <v>-38000</v>
      </c>
      <c r="L284" s="5">
        <f t="shared" si="28"/>
        <v>-0.58470533928296664</v>
      </c>
      <c r="M284" s="4" t="str">
        <f t="shared" si="29"/>
        <v>Medium Ratings</v>
      </c>
      <c r="N284" s="34">
        <f t="array" ref="N284">MEDIAN(_xlfn._xlws.FILTER(Table4[Original Price],Table4[Brand-Renamed] = Table4[[#This Row],[Brand]]))</f>
        <v>98990</v>
      </c>
      <c r="O284" s="35">
        <f t="array" ref="O284">MEDIAN(_xlfn._xlws.FILTER(Table4[Selling Price],Table4[Brand-Renamed] =Table4[[#This Row],[Brand-Renamed]]))</f>
        <v>76737</v>
      </c>
    </row>
    <row r="285" spans="1:15" ht="13.8" x14ac:dyDescent="0.25">
      <c r="A285" s="6" t="s">
        <v>125</v>
      </c>
      <c r="B285" s="4" t="str">
        <f t="shared" si="24"/>
        <v>Samsung</v>
      </c>
      <c r="C285" s="6" t="s">
        <v>29</v>
      </c>
      <c r="D285" s="6">
        <v>55</v>
      </c>
      <c r="E285" s="6">
        <v>314900</v>
      </c>
      <c r="F285" s="6">
        <v>314900</v>
      </c>
      <c r="G285" s="6" t="s">
        <v>56</v>
      </c>
      <c r="H285" s="6"/>
      <c r="I285" s="6">
        <f t="shared" si="25"/>
        <v>0</v>
      </c>
      <c r="J285" t="str">
        <f t="shared" si="26"/>
        <v>Discount Not Applied</v>
      </c>
      <c r="K285" s="6">
        <f t="shared" si="27"/>
        <v>0</v>
      </c>
      <c r="L285" s="7">
        <f t="shared" si="28"/>
        <v>0</v>
      </c>
      <c r="M285" s="6" t="str">
        <f t="shared" si="29"/>
        <v>Ratings Not Given</v>
      </c>
      <c r="N285" s="34">
        <f t="array" ref="N285">MEDIAN(_xlfn._xlws.FILTER(Table4[Original Price],Table4[Brand-Renamed] = Table4[[#This Row],[Brand]]))</f>
        <v>100945</v>
      </c>
      <c r="O285" s="35">
        <f t="array" ref="O285">MEDIAN(_xlfn._xlws.FILTER(Table4[Selling Price],Table4[Brand-Renamed] =Table4[[#This Row],[Brand-Renamed]]))</f>
        <v>74490</v>
      </c>
    </row>
    <row r="286" spans="1:15" ht="13.8" x14ac:dyDescent="0.25">
      <c r="A286" s="4" t="s">
        <v>81</v>
      </c>
      <c r="B286" s="4" t="str">
        <f t="shared" si="24"/>
        <v xml:space="preserve">Sansui </v>
      </c>
      <c r="C286" s="4" t="s">
        <v>32</v>
      </c>
      <c r="D286" s="4">
        <v>55</v>
      </c>
      <c r="E286" s="4">
        <v>69200</v>
      </c>
      <c r="F286" s="4">
        <v>69200</v>
      </c>
      <c r="G286" s="4" t="s">
        <v>54</v>
      </c>
      <c r="H286" s="4">
        <v>3.7</v>
      </c>
      <c r="I286" s="4">
        <f t="shared" si="25"/>
        <v>0</v>
      </c>
      <c r="J286" t="str">
        <f t="shared" si="26"/>
        <v>Discount Not Applied</v>
      </c>
      <c r="K286" s="4">
        <f t="shared" si="27"/>
        <v>0</v>
      </c>
      <c r="L286" s="5">
        <f t="shared" si="28"/>
        <v>0</v>
      </c>
      <c r="M286" s="4" t="str">
        <f t="shared" si="29"/>
        <v>Bad Ratings</v>
      </c>
      <c r="N286" s="34">
        <f t="array" ref="N286">MEDIAN(_xlfn._xlws.FILTER(Table4[Original Price],Table4[Brand-Renamed] = Table4[[#This Row],[Brand]]))</f>
        <v>35174.5</v>
      </c>
      <c r="O286" s="35">
        <f t="array" ref="O286">MEDIAN(_xlfn._xlws.FILTER(Table4[Selling Price],Table4[Brand-Renamed] =Table4[[#This Row],[Brand-Renamed]]))</f>
        <v>29990</v>
      </c>
    </row>
    <row r="287" spans="1:15" ht="13.8" x14ac:dyDescent="0.25">
      <c r="A287" s="6" t="s">
        <v>65</v>
      </c>
      <c r="B287" s="4" t="str">
        <f t="shared" si="24"/>
        <v xml:space="preserve">Lloyd </v>
      </c>
      <c r="C287" s="6" t="s">
        <v>32</v>
      </c>
      <c r="D287" s="6">
        <v>65</v>
      </c>
      <c r="E287" s="6">
        <v>74999</v>
      </c>
      <c r="F287" s="6">
        <v>153990</v>
      </c>
      <c r="G287" s="6" t="s">
        <v>60</v>
      </c>
      <c r="H287" s="6">
        <v>4.8</v>
      </c>
      <c r="I287" s="6">
        <f t="shared" si="25"/>
        <v>78991</v>
      </c>
      <c r="J287">
        <f t="shared" si="26"/>
        <v>0.51296188064160009</v>
      </c>
      <c r="K287" s="6">
        <f t="shared" si="27"/>
        <v>-78991</v>
      </c>
      <c r="L287" s="7">
        <f t="shared" si="28"/>
        <v>-1.0532273763650182</v>
      </c>
      <c r="M287" s="6" t="str">
        <f t="shared" si="29"/>
        <v>Good Ratings</v>
      </c>
      <c r="N287" s="34">
        <f t="array" ref="N287">MEDIAN(_xlfn._xlws.FILTER(Table4[Original Price],Table4[Brand-Renamed] = Table4[[#This Row],[Brand]]))</f>
        <v>44490</v>
      </c>
      <c r="O287" s="35">
        <f t="array" ref="O287">MEDIAN(_xlfn._xlws.FILTER(Table4[Selling Price],Table4[Brand-Renamed] =Table4[[#This Row],[Brand-Renamed]]))</f>
        <v>25740</v>
      </c>
    </row>
    <row r="288" spans="1:15" ht="13.8" x14ac:dyDescent="0.25">
      <c r="A288" s="4" t="s">
        <v>126</v>
      </c>
      <c r="B288" s="4" t="str">
        <f t="shared" si="24"/>
        <v xml:space="preserve">Sony </v>
      </c>
      <c r="C288" s="4" t="s">
        <v>32</v>
      </c>
      <c r="D288" s="4">
        <v>55</v>
      </c>
      <c r="E288" s="4">
        <v>109999</v>
      </c>
      <c r="F288" s="4">
        <v>164900</v>
      </c>
      <c r="G288" s="4" t="s">
        <v>54</v>
      </c>
      <c r="H288" s="4">
        <v>3.6</v>
      </c>
      <c r="I288" s="4">
        <f t="shared" si="25"/>
        <v>54901</v>
      </c>
      <c r="J288">
        <f t="shared" si="26"/>
        <v>0.33293511218920557</v>
      </c>
      <c r="K288" s="4">
        <f t="shared" si="27"/>
        <v>-54901</v>
      </c>
      <c r="L288" s="5">
        <f t="shared" si="28"/>
        <v>-0.49910453731397558</v>
      </c>
      <c r="M288" s="4" t="str">
        <f t="shared" si="29"/>
        <v>Bad Ratings</v>
      </c>
      <c r="N288" s="34">
        <f t="array" ref="N288">MEDIAN(_xlfn._xlws.FILTER(Table4[Original Price],Table4[Brand-Renamed] = Table4[[#This Row],[Brand]]))</f>
        <v>87400</v>
      </c>
      <c r="O288" s="35">
        <f t="array" ref="O288">MEDIAN(_xlfn._xlws.FILTER(Table4[Selling Price],Table4[Brand-Renamed] =Table4[[#This Row],[Brand-Renamed]]))</f>
        <v>64294.5</v>
      </c>
    </row>
    <row r="289" spans="1:15" ht="13.8" x14ac:dyDescent="0.25">
      <c r="A289" s="6" t="s">
        <v>88</v>
      </c>
      <c r="B289" s="4" t="str">
        <f t="shared" si="24"/>
        <v>Thomson</v>
      </c>
      <c r="C289" s="6" t="s">
        <v>19</v>
      </c>
      <c r="D289" s="6">
        <v>32</v>
      </c>
      <c r="E289" s="6">
        <v>16999</v>
      </c>
      <c r="F289" s="6">
        <v>16999</v>
      </c>
      <c r="G289" s="6" t="s">
        <v>54</v>
      </c>
      <c r="H289" s="6">
        <v>4.0999999999999996</v>
      </c>
      <c r="I289" s="6">
        <f t="shared" si="25"/>
        <v>0</v>
      </c>
      <c r="J289" t="str">
        <f t="shared" si="26"/>
        <v>Discount Not Applied</v>
      </c>
      <c r="K289" s="6">
        <f t="shared" si="27"/>
        <v>0</v>
      </c>
      <c r="L289" s="7">
        <f t="shared" si="28"/>
        <v>0</v>
      </c>
      <c r="M289" s="6" t="str">
        <f t="shared" si="29"/>
        <v>Medium Ratings</v>
      </c>
      <c r="N289" s="34">
        <f t="array" ref="N289">MEDIAN(_xlfn._xlws.FILTER(Table4[Original Price],Table4[Brand-Renamed] = Table4[[#This Row],[Brand]]))</f>
        <v>28999</v>
      </c>
      <c r="O289" s="35">
        <f t="array" ref="O289">MEDIAN(_xlfn._xlws.FILTER(Table4[Selling Price],Table4[Brand-Renamed] =Table4[[#This Row],[Brand-Renamed]]))</f>
        <v>21749</v>
      </c>
    </row>
    <row r="290" spans="1:15" ht="13.8" x14ac:dyDescent="0.25">
      <c r="A290" s="4" t="s">
        <v>122</v>
      </c>
      <c r="B290" s="4" t="str">
        <f t="shared" si="24"/>
        <v xml:space="preserve">Lg </v>
      </c>
      <c r="C290" s="4" t="s">
        <v>32</v>
      </c>
      <c r="D290" s="4">
        <v>55</v>
      </c>
      <c r="E290" s="4">
        <v>61999</v>
      </c>
      <c r="F290" s="4">
        <v>94990</v>
      </c>
      <c r="G290" s="4" t="s">
        <v>58</v>
      </c>
      <c r="H290" s="4"/>
      <c r="I290" s="4">
        <f t="shared" si="25"/>
        <v>32991</v>
      </c>
      <c r="J290">
        <f t="shared" si="26"/>
        <v>0.34731024318349302</v>
      </c>
      <c r="K290" s="4">
        <f t="shared" si="27"/>
        <v>-32991</v>
      </c>
      <c r="L290" s="5">
        <f t="shared" si="28"/>
        <v>-0.53212148583041663</v>
      </c>
      <c r="M290" s="4" t="str">
        <f t="shared" si="29"/>
        <v>Ratings Not Given</v>
      </c>
      <c r="N290" s="34">
        <f t="array" ref="N290">MEDIAN(_xlfn._xlws.FILTER(Table4[Original Price],Table4[Brand-Renamed] = Table4[[#This Row],[Brand]]))</f>
        <v>98990</v>
      </c>
      <c r="O290" s="35">
        <f t="array" ref="O290">MEDIAN(_xlfn._xlws.FILTER(Table4[Selling Price],Table4[Brand-Renamed] =Table4[[#This Row],[Brand-Renamed]]))</f>
        <v>76737</v>
      </c>
    </row>
    <row r="291" spans="1:15" ht="13.8" x14ac:dyDescent="0.25">
      <c r="A291" s="6" t="s">
        <v>129</v>
      </c>
      <c r="B291" s="4" t="str">
        <f t="shared" si="24"/>
        <v>Philips</v>
      </c>
      <c r="C291" s="6" t="s">
        <v>19</v>
      </c>
      <c r="D291" s="6">
        <v>32</v>
      </c>
      <c r="E291" s="6">
        <v>18999</v>
      </c>
      <c r="F291" s="6">
        <v>20990</v>
      </c>
      <c r="G291" s="6" t="s">
        <v>54</v>
      </c>
      <c r="H291" s="6">
        <v>4.0999999999999996</v>
      </c>
      <c r="I291" s="6">
        <f t="shared" si="25"/>
        <v>1991</v>
      </c>
      <c r="J291">
        <f t="shared" si="26"/>
        <v>9.4854692710814675E-2</v>
      </c>
      <c r="K291" s="6">
        <f t="shared" si="27"/>
        <v>-1991</v>
      </c>
      <c r="L291" s="7">
        <f t="shared" si="28"/>
        <v>-0.10479498920995842</v>
      </c>
      <c r="M291" s="6" t="str">
        <f t="shared" si="29"/>
        <v>Medium Ratings</v>
      </c>
      <c r="N291" s="34">
        <f t="array" ref="N291">MEDIAN(_xlfn._xlws.FILTER(Table4[Original Price],Table4[Brand-Renamed] = Table4[[#This Row],[Brand]]))</f>
        <v>44990</v>
      </c>
      <c r="O291" s="35">
        <f t="array" ref="O291">MEDIAN(_xlfn._xlws.FILTER(Table4[Selling Price],Table4[Brand-Renamed] =Table4[[#This Row],[Brand-Renamed]]))</f>
        <v>33459</v>
      </c>
    </row>
    <row r="292" spans="1:15" ht="13.8" x14ac:dyDescent="0.25">
      <c r="A292" s="4" t="s">
        <v>125</v>
      </c>
      <c r="B292" s="4" t="str">
        <f t="shared" si="24"/>
        <v>Samsung</v>
      </c>
      <c r="C292" s="4" t="s">
        <v>32</v>
      </c>
      <c r="D292" s="4">
        <v>49</v>
      </c>
      <c r="E292" s="4">
        <v>64499</v>
      </c>
      <c r="F292" s="4">
        <v>99900</v>
      </c>
      <c r="G292" s="4" t="s">
        <v>56</v>
      </c>
      <c r="H292" s="4">
        <v>4.5</v>
      </c>
      <c r="I292" s="4">
        <f t="shared" si="25"/>
        <v>35401</v>
      </c>
      <c r="J292">
        <f t="shared" si="26"/>
        <v>0.35436436436436436</v>
      </c>
      <c r="K292" s="4">
        <f t="shared" si="27"/>
        <v>-35401</v>
      </c>
      <c r="L292" s="5">
        <f t="shared" si="28"/>
        <v>-0.54886122265461479</v>
      </c>
      <c r="M292" s="4" t="str">
        <f t="shared" si="29"/>
        <v>Good Ratings</v>
      </c>
      <c r="N292" s="34">
        <f t="array" ref="N292">MEDIAN(_xlfn._xlws.FILTER(Table4[Original Price],Table4[Brand-Renamed] = Table4[[#This Row],[Brand]]))</f>
        <v>100945</v>
      </c>
      <c r="O292" s="35">
        <f t="array" ref="O292">MEDIAN(_xlfn._xlws.FILTER(Table4[Selling Price],Table4[Brand-Renamed] =Table4[[#This Row],[Brand-Renamed]]))</f>
        <v>74490</v>
      </c>
    </row>
    <row r="293" spans="1:15" ht="13.8" x14ac:dyDescent="0.25">
      <c r="A293" s="6" t="s">
        <v>122</v>
      </c>
      <c r="B293" s="4" t="str">
        <f t="shared" si="24"/>
        <v xml:space="preserve">Lg </v>
      </c>
      <c r="C293" s="6" t="s">
        <v>32</v>
      </c>
      <c r="D293" s="6">
        <v>55</v>
      </c>
      <c r="E293" s="6">
        <v>81999</v>
      </c>
      <c r="F293" s="6">
        <v>149990</v>
      </c>
      <c r="G293" s="6" t="s">
        <v>58</v>
      </c>
      <c r="H293" s="6">
        <v>4.8</v>
      </c>
      <c r="I293" s="6">
        <f t="shared" si="25"/>
        <v>67991</v>
      </c>
      <c r="J293">
        <f t="shared" si="26"/>
        <v>0.45330355357023799</v>
      </c>
      <c r="K293" s="6">
        <f t="shared" si="27"/>
        <v>-67991</v>
      </c>
      <c r="L293" s="7">
        <f t="shared" si="28"/>
        <v>-0.82916864839815119</v>
      </c>
      <c r="M293" s="6" t="str">
        <f t="shared" si="29"/>
        <v>Good Ratings</v>
      </c>
      <c r="N293" s="34">
        <f t="array" ref="N293">MEDIAN(_xlfn._xlws.FILTER(Table4[Original Price],Table4[Brand-Renamed] = Table4[[#This Row],[Brand]]))</f>
        <v>98990</v>
      </c>
      <c r="O293" s="35">
        <f t="array" ref="O293">MEDIAN(_xlfn._xlws.FILTER(Table4[Selling Price],Table4[Brand-Renamed] =Table4[[#This Row],[Brand-Renamed]]))</f>
        <v>76737</v>
      </c>
    </row>
    <row r="294" spans="1:15" ht="13.8" x14ac:dyDescent="0.25">
      <c r="A294" s="4" t="s">
        <v>13</v>
      </c>
      <c r="B294" s="4" t="str">
        <f t="shared" si="24"/>
        <v>Panasonic</v>
      </c>
      <c r="C294" s="4" t="s">
        <v>19</v>
      </c>
      <c r="D294" s="4">
        <v>32</v>
      </c>
      <c r="E294" s="4">
        <v>28399</v>
      </c>
      <c r="F294" s="4">
        <v>28400</v>
      </c>
      <c r="G294" s="4" t="s">
        <v>54</v>
      </c>
      <c r="H294" s="4">
        <v>4.2</v>
      </c>
      <c r="I294" s="4">
        <f t="shared" si="25"/>
        <v>1</v>
      </c>
      <c r="J294">
        <f t="shared" si="26"/>
        <v>3.5211267605633805E-5</v>
      </c>
      <c r="K294" s="4">
        <f t="shared" si="27"/>
        <v>-1</v>
      </c>
      <c r="L294" s="5">
        <f t="shared" si="28"/>
        <v>-3.521250748265784E-5</v>
      </c>
      <c r="M294" s="4" t="str">
        <f t="shared" si="29"/>
        <v>Medium Ratings</v>
      </c>
      <c r="N294" s="34">
        <f t="array" ref="N294">MEDIAN(_xlfn._xlws.FILTER(Table4[Original Price],Table4[Brand-Renamed] = Table4[[#This Row],[Brand]]))</f>
        <v>64195</v>
      </c>
      <c r="O294" s="35">
        <f t="array" ref="O294">MEDIAN(_xlfn._xlws.FILTER(Table4[Selling Price],Table4[Brand-Renamed] =Table4[[#This Row],[Brand-Renamed]]))</f>
        <v>43129</v>
      </c>
    </row>
    <row r="295" spans="1:15" ht="13.8" x14ac:dyDescent="0.25">
      <c r="A295" s="6" t="s">
        <v>122</v>
      </c>
      <c r="B295" s="4" t="str">
        <f t="shared" si="24"/>
        <v xml:space="preserve">Lg </v>
      </c>
      <c r="C295" s="6" t="s">
        <v>32</v>
      </c>
      <c r="D295" s="6">
        <v>65</v>
      </c>
      <c r="E295" s="6">
        <v>199999</v>
      </c>
      <c r="F295" s="6">
        <v>349990</v>
      </c>
      <c r="G295" s="6" t="s">
        <v>58</v>
      </c>
      <c r="H295" s="6"/>
      <c r="I295" s="6">
        <f t="shared" si="25"/>
        <v>149991</v>
      </c>
      <c r="J295">
        <f t="shared" si="26"/>
        <v>0.4285579587988228</v>
      </c>
      <c r="K295" s="6">
        <f t="shared" si="27"/>
        <v>-149991</v>
      </c>
      <c r="L295" s="7">
        <f t="shared" si="28"/>
        <v>-0.74995874979374899</v>
      </c>
      <c r="M295" s="6" t="str">
        <f t="shared" si="29"/>
        <v>Ratings Not Given</v>
      </c>
      <c r="N295" s="34">
        <f t="array" ref="N295">MEDIAN(_xlfn._xlws.FILTER(Table4[Original Price],Table4[Brand-Renamed] = Table4[[#This Row],[Brand]]))</f>
        <v>98990</v>
      </c>
      <c r="O295" s="35">
        <f t="array" ref="O295">MEDIAN(_xlfn._xlws.FILTER(Table4[Selling Price],Table4[Brand-Renamed] =Table4[[#This Row],[Brand-Renamed]]))</f>
        <v>76737</v>
      </c>
    </row>
    <row r="296" spans="1:15" ht="13.8" x14ac:dyDescent="0.25">
      <c r="A296" s="4" t="s">
        <v>125</v>
      </c>
      <c r="B296" s="4" t="str">
        <f t="shared" si="24"/>
        <v>Samsung</v>
      </c>
      <c r="C296" s="4" t="s">
        <v>32</v>
      </c>
      <c r="D296" s="4">
        <v>65</v>
      </c>
      <c r="E296" s="4">
        <v>89990</v>
      </c>
      <c r="F296" s="4">
        <v>124990</v>
      </c>
      <c r="G296" s="4" t="s">
        <v>56</v>
      </c>
      <c r="H296" s="4"/>
      <c r="I296" s="4">
        <f t="shared" si="25"/>
        <v>35000</v>
      </c>
      <c r="J296">
        <f t="shared" si="26"/>
        <v>0.28002240179214338</v>
      </c>
      <c r="K296" s="4">
        <f t="shared" si="27"/>
        <v>-35000</v>
      </c>
      <c r="L296" s="5">
        <f t="shared" si="28"/>
        <v>-0.38893210356706298</v>
      </c>
      <c r="M296" s="4" t="str">
        <f t="shared" si="29"/>
        <v>Ratings Not Given</v>
      </c>
      <c r="N296" s="34">
        <f t="array" ref="N296">MEDIAN(_xlfn._xlws.FILTER(Table4[Original Price],Table4[Brand-Renamed] = Table4[[#This Row],[Brand]]))</f>
        <v>100945</v>
      </c>
      <c r="O296" s="35">
        <f t="array" ref="O296">MEDIAN(_xlfn._xlws.FILTER(Table4[Selling Price],Table4[Brand-Renamed] =Table4[[#This Row],[Brand-Renamed]]))</f>
        <v>74490</v>
      </c>
    </row>
    <row r="297" spans="1:15" ht="13.8" x14ac:dyDescent="0.25">
      <c r="A297" s="6" t="s">
        <v>131</v>
      </c>
      <c r="B297" s="4" t="str">
        <f t="shared" si="24"/>
        <v xml:space="preserve">Lumx </v>
      </c>
      <c r="C297" s="6" t="s">
        <v>8</v>
      </c>
      <c r="D297" s="6">
        <v>43</v>
      </c>
      <c r="E297" s="6">
        <v>21990</v>
      </c>
      <c r="F297" s="6">
        <v>46900</v>
      </c>
      <c r="G297" s="6" t="s">
        <v>54</v>
      </c>
      <c r="H297" s="6"/>
      <c r="I297" s="6">
        <f t="shared" si="25"/>
        <v>24910</v>
      </c>
      <c r="J297">
        <f t="shared" si="26"/>
        <v>0.53113006396588491</v>
      </c>
      <c r="K297" s="6">
        <f t="shared" si="27"/>
        <v>-24910</v>
      </c>
      <c r="L297" s="7">
        <f t="shared" si="28"/>
        <v>-1.1327876307412461</v>
      </c>
      <c r="M297" s="6" t="str">
        <f t="shared" si="29"/>
        <v>Ratings Not Given</v>
      </c>
      <c r="N297" s="34">
        <f t="array" ref="N297">MEDIAN(_xlfn._xlws.FILTER(Table4[Original Price],Table4[Brand-Renamed] = Table4[[#This Row],[Brand]]))</f>
        <v>28445</v>
      </c>
      <c r="O297" s="35">
        <f t="array" ref="O297">MEDIAN(_xlfn._xlws.FILTER(Table4[Selling Price],Table4[Brand-Renamed] =Table4[[#This Row],[Brand-Renamed]]))</f>
        <v>16990</v>
      </c>
    </row>
    <row r="298" spans="1:15" ht="13.8" x14ac:dyDescent="0.25">
      <c r="A298" s="4" t="s">
        <v>125</v>
      </c>
      <c r="B298" s="4" t="str">
        <f t="shared" si="24"/>
        <v>Samsung</v>
      </c>
      <c r="C298" s="4" t="s">
        <v>29</v>
      </c>
      <c r="D298" s="4">
        <v>43</v>
      </c>
      <c r="E298" s="4">
        <v>59700</v>
      </c>
      <c r="F298" s="4">
        <v>82400</v>
      </c>
      <c r="G298" s="4" t="s">
        <v>56</v>
      </c>
      <c r="H298" s="4"/>
      <c r="I298" s="4">
        <f t="shared" si="25"/>
        <v>22700</v>
      </c>
      <c r="J298">
        <f t="shared" si="26"/>
        <v>0.27548543689320387</v>
      </c>
      <c r="K298" s="4">
        <f t="shared" si="27"/>
        <v>-22700</v>
      </c>
      <c r="L298" s="5">
        <f t="shared" si="28"/>
        <v>-0.38023450586264657</v>
      </c>
      <c r="M298" s="4" t="str">
        <f t="shared" si="29"/>
        <v>Ratings Not Given</v>
      </c>
      <c r="N298" s="34">
        <f t="array" ref="N298">MEDIAN(_xlfn._xlws.FILTER(Table4[Original Price],Table4[Brand-Renamed] = Table4[[#This Row],[Brand]]))</f>
        <v>100945</v>
      </c>
      <c r="O298" s="35">
        <f t="array" ref="O298">MEDIAN(_xlfn._xlws.FILTER(Table4[Selling Price],Table4[Brand-Renamed] =Table4[[#This Row],[Brand-Renamed]]))</f>
        <v>74490</v>
      </c>
    </row>
    <row r="299" spans="1:15" ht="13.8" x14ac:dyDescent="0.25">
      <c r="A299" s="6" t="s">
        <v>122</v>
      </c>
      <c r="B299" s="4" t="str">
        <f t="shared" si="24"/>
        <v xml:space="preserve">Lg </v>
      </c>
      <c r="C299" s="6" t="s">
        <v>32</v>
      </c>
      <c r="D299" s="6">
        <v>65</v>
      </c>
      <c r="E299" s="6">
        <v>269999</v>
      </c>
      <c r="F299" s="6">
        <v>339990</v>
      </c>
      <c r="G299" s="6" t="s">
        <v>58</v>
      </c>
      <c r="H299" s="6"/>
      <c r="I299" s="6">
        <f t="shared" si="25"/>
        <v>69991</v>
      </c>
      <c r="J299">
        <f t="shared" si="26"/>
        <v>0.20586193711579753</v>
      </c>
      <c r="K299" s="6">
        <f t="shared" si="27"/>
        <v>-69991</v>
      </c>
      <c r="L299" s="7">
        <f t="shared" si="28"/>
        <v>-0.25922688602550381</v>
      </c>
      <c r="M299" s="6" t="str">
        <f t="shared" si="29"/>
        <v>Ratings Not Given</v>
      </c>
      <c r="N299" s="34">
        <f t="array" ref="N299">MEDIAN(_xlfn._xlws.FILTER(Table4[Original Price],Table4[Brand-Renamed] = Table4[[#This Row],[Brand]]))</f>
        <v>98990</v>
      </c>
      <c r="O299" s="35">
        <f t="array" ref="O299">MEDIAN(_xlfn._xlws.FILTER(Table4[Selling Price],Table4[Brand-Renamed] =Table4[[#This Row],[Brand-Renamed]]))</f>
        <v>76737</v>
      </c>
    </row>
    <row r="300" spans="1:15" ht="13.8" x14ac:dyDescent="0.25">
      <c r="A300" s="4" t="s">
        <v>125</v>
      </c>
      <c r="B300" s="4" t="str">
        <f t="shared" si="24"/>
        <v>Samsung</v>
      </c>
      <c r="C300" s="4" t="s">
        <v>32</v>
      </c>
      <c r="D300" s="4">
        <v>75</v>
      </c>
      <c r="E300" s="4">
        <v>239999</v>
      </c>
      <c r="F300" s="4">
        <v>394900</v>
      </c>
      <c r="G300" s="4" t="s">
        <v>56</v>
      </c>
      <c r="H300" s="4"/>
      <c r="I300" s="4">
        <f t="shared" si="25"/>
        <v>154901</v>
      </c>
      <c r="J300">
        <f t="shared" si="26"/>
        <v>0.39225373512281592</v>
      </c>
      <c r="K300" s="4">
        <f t="shared" si="27"/>
        <v>-154901</v>
      </c>
      <c r="L300" s="5">
        <f t="shared" si="28"/>
        <v>-0.64542352259801083</v>
      </c>
      <c r="M300" s="4" t="str">
        <f t="shared" si="29"/>
        <v>Ratings Not Given</v>
      </c>
      <c r="N300" s="34">
        <f t="array" ref="N300">MEDIAN(_xlfn._xlws.FILTER(Table4[Original Price],Table4[Brand-Renamed] = Table4[[#This Row],[Brand]]))</f>
        <v>100945</v>
      </c>
      <c r="O300" s="35">
        <f t="array" ref="O300">MEDIAN(_xlfn._xlws.FILTER(Table4[Selling Price],Table4[Brand-Renamed] =Table4[[#This Row],[Brand-Renamed]]))</f>
        <v>74490</v>
      </c>
    </row>
    <row r="301" spans="1:15" ht="13.8" x14ac:dyDescent="0.25">
      <c r="A301" s="6" t="s">
        <v>125</v>
      </c>
      <c r="B301" s="4" t="str">
        <f t="shared" si="24"/>
        <v>Samsung</v>
      </c>
      <c r="C301" s="6" t="s">
        <v>32</v>
      </c>
      <c r="D301" s="6">
        <v>55</v>
      </c>
      <c r="E301" s="6">
        <v>241900</v>
      </c>
      <c r="F301" s="6">
        <v>241900</v>
      </c>
      <c r="G301" s="6" t="s">
        <v>56</v>
      </c>
      <c r="H301" s="6">
        <v>3.9</v>
      </c>
      <c r="I301" s="6">
        <f t="shared" si="25"/>
        <v>0</v>
      </c>
      <c r="J301" t="str">
        <f t="shared" si="26"/>
        <v>Discount Not Applied</v>
      </c>
      <c r="K301" s="6">
        <f t="shared" si="27"/>
        <v>0</v>
      </c>
      <c r="L301" s="7">
        <f t="shared" si="28"/>
        <v>0</v>
      </c>
      <c r="M301" s="6" t="str">
        <f t="shared" si="29"/>
        <v>Medium Ratings</v>
      </c>
      <c r="N301" s="34">
        <f t="array" ref="N301">MEDIAN(_xlfn._xlws.FILTER(Table4[Original Price],Table4[Brand-Renamed] = Table4[[#This Row],[Brand]]))</f>
        <v>100945</v>
      </c>
      <c r="O301" s="35">
        <f t="array" ref="O301">MEDIAN(_xlfn._xlws.FILTER(Table4[Selling Price],Table4[Brand-Renamed] =Table4[[#This Row],[Brand-Renamed]]))</f>
        <v>74490</v>
      </c>
    </row>
    <row r="302" spans="1:15" ht="13.8" x14ac:dyDescent="0.25">
      <c r="A302" s="4" t="s">
        <v>125</v>
      </c>
      <c r="B302" s="4" t="str">
        <f t="shared" si="24"/>
        <v>Samsung</v>
      </c>
      <c r="C302" s="4" t="s">
        <v>32</v>
      </c>
      <c r="D302" s="4">
        <v>65</v>
      </c>
      <c r="E302" s="4">
        <v>122299</v>
      </c>
      <c r="F302" s="4">
        <v>209900</v>
      </c>
      <c r="G302" s="4" t="s">
        <v>56</v>
      </c>
      <c r="H302" s="4">
        <v>4.7</v>
      </c>
      <c r="I302" s="4">
        <f t="shared" si="25"/>
        <v>87601</v>
      </c>
      <c r="J302">
        <f t="shared" si="26"/>
        <v>0.41734635540733683</v>
      </c>
      <c r="K302" s="4">
        <f t="shared" si="27"/>
        <v>-87601</v>
      </c>
      <c r="L302" s="5">
        <f t="shared" si="28"/>
        <v>-0.71628549701959954</v>
      </c>
      <c r="M302" s="4" t="str">
        <f t="shared" si="29"/>
        <v>Good Ratings</v>
      </c>
      <c r="N302" s="34">
        <f t="array" ref="N302">MEDIAN(_xlfn._xlws.FILTER(Table4[Original Price],Table4[Brand-Renamed] = Table4[[#This Row],[Brand]]))</f>
        <v>100945</v>
      </c>
      <c r="O302" s="35">
        <f t="array" ref="O302">MEDIAN(_xlfn._xlws.FILTER(Table4[Selling Price],Table4[Brand-Renamed] =Table4[[#This Row],[Brand-Renamed]]))</f>
        <v>74490</v>
      </c>
    </row>
    <row r="303" spans="1:15" ht="13.8" x14ac:dyDescent="0.25">
      <c r="A303" s="6" t="s">
        <v>126</v>
      </c>
      <c r="B303" s="4" t="str">
        <f t="shared" si="24"/>
        <v xml:space="preserve">Sony </v>
      </c>
      <c r="C303" s="6" t="s">
        <v>32</v>
      </c>
      <c r="D303" s="6">
        <v>55</v>
      </c>
      <c r="E303" s="6">
        <v>164999</v>
      </c>
      <c r="F303" s="6">
        <v>329900</v>
      </c>
      <c r="G303" s="6" t="s">
        <v>54</v>
      </c>
      <c r="H303" s="6">
        <v>4.7</v>
      </c>
      <c r="I303" s="6">
        <f t="shared" si="25"/>
        <v>164901</v>
      </c>
      <c r="J303">
        <f t="shared" si="26"/>
        <v>0.49985147014246739</v>
      </c>
      <c r="K303" s="6">
        <f t="shared" si="27"/>
        <v>-164901</v>
      </c>
      <c r="L303" s="7">
        <f t="shared" si="28"/>
        <v>-0.99940605700640606</v>
      </c>
      <c r="M303" s="6" t="str">
        <f t="shared" si="29"/>
        <v>Good Ratings</v>
      </c>
      <c r="N303" s="34">
        <f t="array" ref="N303">MEDIAN(_xlfn._xlws.FILTER(Table4[Original Price],Table4[Brand-Renamed] = Table4[[#This Row],[Brand]]))</f>
        <v>87400</v>
      </c>
      <c r="O303" s="35">
        <f t="array" ref="O303">MEDIAN(_xlfn._xlws.FILTER(Table4[Selling Price],Table4[Brand-Renamed] =Table4[[#This Row],[Brand-Renamed]]))</f>
        <v>64294.5</v>
      </c>
    </row>
    <row r="304" spans="1:15" ht="13.8" x14ac:dyDescent="0.25">
      <c r="A304" s="4" t="s">
        <v>122</v>
      </c>
      <c r="B304" s="4" t="str">
        <f t="shared" si="24"/>
        <v xml:space="preserve">Lg </v>
      </c>
      <c r="C304" s="4" t="s">
        <v>8</v>
      </c>
      <c r="D304" s="4">
        <v>49</v>
      </c>
      <c r="E304" s="4">
        <v>74990</v>
      </c>
      <c r="F304" s="4">
        <v>74990</v>
      </c>
      <c r="G304" s="4" t="s">
        <v>58</v>
      </c>
      <c r="H304" s="4">
        <v>4.5</v>
      </c>
      <c r="I304" s="4">
        <f t="shared" si="25"/>
        <v>0</v>
      </c>
      <c r="J304" t="str">
        <f t="shared" si="26"/>
        <v>Discount Not Applied</v>
      </c>
      <c r="K304" s="4">
        <f t="shared" si="27"/>
        <v>0</v>
      </c>
      <c r="L304" s="5">
        <f t="shared" si="28"/>
        <v>0</v>
      </c>
      <c r="M304" s="4" t="str">
        <f t="shared" si="29"/>
        <v>Good Ratings</v>
      </c>
      <c r="N304" s="34">
        <f t="array" ref="N304">MEDIAN(_xlfn._xlws.FILTER(Table4[Original Price],Table4[Brand-Renamed] = Table4[[#This Row],[Brand]]))</f>
        <v>98990</v>
      </c>
      <c r="O304" s="35">
        <f t="array" ref="O304">MEDIAN(_xlfn._xlws.FILTER(Table4[Selling Price],Table4[Brand-Renamed] =Table4[[#This Row],[Brand-Renamed]]))</f>
        <v>76737</v>
      </c>
    </row>
    <row r="305" spans="1:15" ht="13.8" x14ac:dyDescent="0.25">
      <c r="A305" s="6" t="s">
        <v>126</v>
      </c>
      <c r="B305" s="4" t="str">
        <f t="shared" si="24"/>
        <v xml:space="preserve">Sony </v>
      </c>
      <c r="C305" s="6" t="s">
        <v>32</v>
      </c>
      <c r="D305" s="6">
        <v>65</v>
      </c>
      <c r="E305" s="6">
        <v>179999</v>
      </c>
      <c r="F305" s="6">
        <v>224900</v>
      </c>
      <c r="G305" s="6" t="s">
        <v>54</v>
      </c>
      <c r="H305" s="6">
        <v>4.9000000000000004</v>
      </c>
      <c r="I305" s="6">
        <f t="shared" si="25"/>
        <v>44901</v>
      </c>
      <c r="J305">
        <f t="shared" si="26"/>
        <v>0.19964873277012005</v>
      </c>
      <c r="K305" s="6">
        <f t="shared" si="27"/>
        <v>-44901</v>
      </c>
      <c r="L305" s="7">
        <f t="shared" si="28"/>
        <v>-0.24945138584103246</v>
      </c>
      <c r="M305" s="6" t="str">
        <f t="shared" si="29"/>
        <v>Good Ratings</v>
      </c>
      <c r="N305" s="34">
        <f t="array" ref="N305">MEDIAN(_xlfn._xlws.FILTER(Table4[Original Price],Table4[Brand-Renamed] = Table4[[#This Row],[Brand]]))</f>
        <v>87400</v>
      </c>
      <c r="O305" s="35">
        <f t="array" ref="O305">MEDIAN(_xlfn._xlws.FILTER(Table4[Selling Price],Table4[Brand-Renamed] =Table4[[#This Row],[Brand-Renamed]]))</f>
        <v>64294.5</v>
      </c>
    </row>
    <row r="306" spans="1:15" ht="13.8" x14ac:dyDescent="0.25">
      <c r="A306" s="4" t="s">
        <v>125</v>
      </c>
      <c r="B306" s="4" t="str">
        <f t="shared" si="24"/>
        <v>Samsung</v>
      </c>
      <c r="C306" s="4" t="s">
        <v>29</v>
      </c>
      <c r="D306" s="4">
        <v>65</v>
      </c>
      <c r="E306" s="4">
        <v>258999</v>
      </c>
      <c r="F306" s="4">
        <v>419900</v>
      </c>
      <c r="G306" s="4" t="s">
        <v>56</v>
      </c>
      <c r="H306" s="4"/>
      <c r="I306" s="4">
        <f t="shared" si="25"/>
        <v>160901</v>
      </c>
      <c r="J306">
        <f t="shared" si="26"/>
        <v>0.38318885448916407</v>
      </c>
      <c r="K306" s="4">
        <f t="shared" si="27"/>
        <v>-160901</v>
      </c>
      <c r="L306" s="5">
        <f t="shared" si="28"/>
        <v>-0.62124178085629678</v>
      </c>
      <c r="M306" s="4" t="str">
        <f t="shared" si="29"/>
        <v>Ratings Not Given</v>
      </c>
      <c r="N306" s="34">
        <f t="array" ref="N306">MEDIAN(_xlfn._xlws.FILTER(Table4[Original Price],Table4[Brand-Renamed] = Table4[[#This Row],[Brand]]))</f>
        <v>100945</v>
      </c>
      <c r="O306" s="35">
        <f t="array" ref="O306">MEDIAN(_xlfn._xlws.FILTER(Table4[Selling Price],Table4[Brand-Renamed] =Table4[[#This Row],[Brand-Renamed]]))</f>
        <v>74490</v>
      </c>
    </row>
    <row r="307" spans="1:15" ht="13.8" x14ac:dyDescent="0.25">
      <c r="A307" s="6" t="s">
        <v>126</v>
      </c>
      <c r="B307" s="4" t="str">
        <f t="shared" si="24"/>
        <v xml:space="preserve">Sony </v>
      </c>
      <c r="C307" s="6" t="s">
        <v>32</v>
      </c>
      <c r="D307" s="6">
        <v>65</v>
      </c>
      <c r="E307" s="6">
        <v>112100</v>
      </c>
      <c r="F307" s="6">
        <v>179990</v>
      </c>
      <c r="G307" s="6" t="s">
        <v>54</v>
      </c>
      <c r="H307" s="6">
        <v>4.7</v>
      </c>
      <c r="I307" s="6">
        <f t="shared" si="25"/>
        <v>67890</v>
      </c>
      <c r="J307">
        <f t="shared" si="26"/>
        <v>0.37718762153452967</v>
      </c>
      <c r="K307" s="6">
        <f t="shared" si="27"/>
        <v>-67890</v>
      </c>
      <c r="L307" s="7">
        <f t="shared" si="28"/>
        <v>-0.60561998215878676</v>
      </c>
      <c r="M307" s="6" t="str">
        <f t="shared" si="29"/>
        <v>Good Ratings</v>
      </c>
      <c r="N307" s="34">
        <f t="array" ref="N307">MEDIAN(_xlfn._xlws.FILTER(Table4[Original Price],Table4[Brand-Renamed] = Table4[[#This Row],[Brand]]))</f>
        <v>87400</v>
      </c>
      <c r="O307" s="35">
        <f t="array" ref="O307">MEDIAN(_xlfn._xlws.FILTER(Table4[Selling Price],Table4[Brand-Renamed] =Table4[[#This Row],[Brand-Renamed]]))</f>
        <v>64294.5</v>
      </c>
    </row>
    <row r="308" spans="1:15" ht="13.8" x14ac:dyDescent="0.25">
      <c r="A308" s="4" t="s">
        <v>126</v>
      </c>
      <c r="B308" s="4" t="str">
        <f t="shared" si="24"/>
        <v xml:space="preserve">Sony </v>
      </c>
      <c r="C308" s="4" t="s">
        <v>19</v>
      </c>
      <c r="D308" s="4">
        <v>32</v>
      </c>
      <c r="E308" s="4">
        <v>26990</v>
      </c>
      <c r="F308" s="4">
        <v>29900</v>
      </c>
      <c r="G308" s="4" t="s">
        <v>60</v>
      </c>
      <c r="H308" s="4">
        <v>4.4000000000000004</v>
      </c>
      <c r="I308" s="4">
        <f t="shared" si="25"/>
        <v>2910</v>
      </c>
      <c r="J308">
        <f t="shared" si="26"/>
        <v>9.7324414715719065E-2</v>
      </c>
      <c r="K308" s="4">
        <f t="shared" si="27"/>
        <v>-2910</v>
      </c>
      <c r="L308" s="5">
        <f t="shared" si="28"/>
        <v>-0.10781771026306039</v>
      </c>
      <c r="M308" s="4" t="str">
        <f t="shared" si="29"/>
        <v>Medium Ratings</v>
      </c>
      <c r="N308" s="34">
        <f t="array" ref="N308">MEDIAN(_xlfn._xlws.FILTER(Table4[Original Price],Table4[Brand-Renamed] = Table4[[#This Row],[Brand]]))</f>
        <v>87400</v>
      </c>
      <c r="O308" s="35">
        <f t="array" ref="O308">MEDIAN(_xlfn._xlws.FILTER(Table4[Selling Price],Table4[Brand-Renamed] =Table4[[#This Row],[Brand-Renamed]]))</f>
        <v>64294.5</v>
      </c>
    </row>
    <row r="309" spans="1:15" ht="13.8" x14ac:dyDescent="0.25">
      <c r="A309" s="6" t="s">
        <v>81</v>
      </c>
      <c r="B309" s="4" t="str">
        <f t="shared" si="24"/>
        <v xml:space="preserve">Sansui </v>
      </c>
      <c r="C309" s="6" t="s">
        <v>19</v>
      </c>
      <c r="D309" s="6">
        <v>32</v>
      </c>
      <c r="E309" s="6">
        <v>21499</v>
      </c>
      <c r="F309" s="6">
        <v>22990</v>
      </c>
      <c r="G309" s="6" t="s">
        <v>54</v>
      </c>
      <c r="H309" s="6"/>
      <c r="I309" s="6">
        <f t="shared" si="25"/>
        <v>1491</v>
      </c>
      <c r="J309">
        <f t="shared" si="26"/>
        <v>6.4854284471509357E-2</v>
      </c>
      <c r="K309" s="6">
        <f t="shared" si="27"/>
        <v>-1491</v>
      </c>
      <c r="L309" s="7">
        <f t="shared" si="28"/>
        <v>-6.9352062886645888E-2</v>
      </c>
      <c r="M309" s="6" t="str">
        <f t="shared" si="29"/>
        <v>Ratings Not Given</v>
      </c>
      <c r="N309" s="34">
        <f t="array" ref="N309">MEDIAN(_xlfn._xlws.FILTER(Table4[Original Price],Table4[Brand-Renamed] = Table4[[#This Row],[Brand]]))</f>
        <v>35174.5</v>
      </c>
      <c r="O309" s="35">
        <f t="array" ref="O309">MEDIAN(_xlfn._xlws.FILTER(Table4[Selling Price],Table4[Brand-Renamed] =Table4[[#This Row],[Brand-Renamed]]))</f>
        <v>29990</v>
      </c>
    </row>
    <row r="310" spans="1:15" ht="13.8" x14ac:dyDescent="0.25">
      <c r="A310" s="4" t="s">
        <v>122</v>
      </c>
      <c r="B310" s="4" t="str">
        <f t="shared" si="24"/>
        <v xml:space="preserve">Lg </v>
      </c>
      <c r="C310" s="4" t="s">
        <v>8</v>
      </c>
      <c r="D310" s="4">
        <v>43</v>
      </c>
      <c r="E310" s="4">
        <v>38899</v>
      </c>
      <c r="F310" s="4">
        <v>45900</v>
      </c>
      <c r="G310" s="4" t="s">
        <v>58</v>
      </c>
      <c r="H310" s="4">
        <v>3.7</v>
      </c>
      <c r="I310" s="4">
        <f t="shared" si="25"/>
        <v>7001</v>
      </c>
      <c r="J310">
        <f t="shared" si="26"/>
        <v>0.1525272331154684</v>
      </c>
      <c r="K310" s="4">
        <f t="shared" si="27"/>
        <v>-7001</v>
      </c>
      <c r="L310" s="5">
        <f t="shared" si="28"/>
        <v>-0.17997891976657499</v>
      </c>
      <c r="M310" s="4" t="str">
        <f t="shared" si="29"/>
        <v>Bad Ratings</v>
      </c>
      <c r="N310" s="34">
        <f t="array" ref="N310">MEDIAN(_xlfn._xlws.FILTER(Table4[Original Price],Table4[Brand-Renamed] = Table4[[#This Row],[Brand]]))</f>
        <v>98990</v>
      </c>
      <c r="O310" s="35">
        <f t="array" ref="O310">MEDIAN(_xlfn._xlws.FILTER(Table4[Selling Price],Table4[Brand-Renamed] =Table4[[#This Row],[Brand-Renamed]]))</f>
        <v>76737</v>
      </c>
    </row>
    <row r="311" spans="1:15" ht="13.8" x14ac:dyDescent="0.25">
      <c r="A311" s="6" t="s">
        <v>125</v>
      </c>
      <c r="B311" s="4" t="str">
        <f t="shared" si="24"/>
        <v>Samsung</v>
      </c>
      <c r="C311" s="6" t="s">
        <v>32</v>
      </c>
      <c r="D311" s="6">
        <v>55</v>
      </c>
      <c r="E311" s="6">
        <v>62980</v>
      </c>
      <c r="F311" s="6">
        <v>80000</v>
      </c>
      <c r="G311" s="6" t="s">
        <v>56</v>
      </c>
      <c r="H311" s="6"/>
      <c r="I311" s="6">
        <f t="shared" si="25"/>
        <v>17020</v>
      </c>
      <c r="J311">
        <f t="shared" si="26"/>
        <v>0.21274999999999999</v>
      </c>
      <c r="K311" s="6">
        <f t="shared" si="27"/>
        <v>-17020</v>
      </c>
      <c r="L311" s="7">
        <f t="shared" si="28"/>
        <v>-0.27024452207049859</v>
      </c>
      <c r="M311" s="6" t="str">
        <f t="shared" si="29"/>
        <v>Ratings Not Given</v>
      </c>
      <c r="N311" s="34">
        <f t="array" ref="N311">MEDIAN(_xlfn._xlws.FILTER(Table4[Original Price],Table4[Brand-Renamed] = Table4[[#This Row],[Brand]]))</f>
        <v>100945</v>
      </c>
      <c r="O311" s="35">
        <f t="array" ref="O311">MEDIAN(_xlfn._xlws.FILTER(Table4[Selling Price],Table4[Brand-Renamed] =Table4[[#This Row],[Brand-Renamed]]))</f>
        <v>74490</v>
      </c>
    </row>
    <row r="312" spans="1:15" ht="13.8" x14ac:dyDescent="0.25">
      <c r="A312" s="4" t="s">
        <v>122</v>
      </c>
      <c r="B312" s="4" t="str">
        <f t="shared" si="24"/>
        <v xml:space="preserve">Lg </v>
      </c>
      <c r="C312" s="4" t="s">
        <v>32</v>
      </c>
      <c r="D312" s="4">
        <v>65</v>
      </c>
      <c r="E312" s="4">
        <v>89978</v>
      </c>
      <c r="F312" s="4">
        <v>149990</v>
      </c>
      <c r="G312" s="4" t="s">
        <v>58</v>
      </c>
      <c r="H312" s="4"/>
      <c r="I312" s="4">
        <f t="shared" si="25"/>
        <v>60012</v>
      </c>
      <c r="J312">
        <f t="shared" si="26"/>
        <v>0.40010667377825188</v>
      </c>
      <c r="K312" s="4">
        <f t="shared" si="27"/>
        <v>-60012</v>
      </c>
      <c r="L312" s="5">
        <f t="shared" si="28"/>
        <v>-0.66696303540865542</v>
      </c>
      <c r="M312" s="4" t="str">
        <f t="shared" si="29"/>
        <v>Ratings Not Given</v>
      </c>
      <c r="N312" s="34">
        <f t="array" ref="N312">MEDIAN(_xlfn._xlws.FILTER(Table4[Original Price],Table4[Brand-Renamed] = Table4[[#This Row],[Brand]]))</f>
        <v>98990</v>
      </c>
      <c r="O312" s="35">
        <f t="array" ref="O312">MEDIAN(_xlfn._xlws.FILTER(Table4[Selling Price],Table4[Brand-Renamed] =Table4[[#This Row],[Brand-Renamed]]))</f>
        <v>76737</v>
      </c>
    </row>
    <row r="313" spans="1:15" ht="13.8" x14ac:dyDescent="0.25">
      <c r="A313" s="6" t="s">
        <v>13</v>
      </c>
      <c r="B313" s="4" t="str">
        <f t="shared" si="24"/>
        <v>Panasonic</v>
      </c>
      <c r="C313" s="6" t="s">
        <v>32</v>
      </c>
      <c r="D313" s="6">
        <v>55</v>
      </c>
      <c r="E313" s="6">
        <v>50499</v>
      </c>
      <c r="F313" s="6">
        <v>65490</v>
      </c>
      <c r="G313" s="6" t="s">
        <v>60</v>
      </c>
      <c r="H313" s="6"/>
      <c r="I313" s="6">
        <f t="shared" si="25"/>
        <v>14991</v>
      </c>
      <c r="J313">
        <f t="shared" si="26"/>
        <v>0.22890517636280347</v>
      </c>
      <c r="K313" s="6">
        <f t="shared" si="27"/>
        <v>-14991</v>
      </c>
      <c r="L313" s="7">
        <f t="shared" si="28"/>
        <v>-0.29685736351214875</v>
      </c>
      <c r="M313" s="6" t="str">
        <f t="shared" si="29"/>
        <v>Ratings Not Given</v>
      </c>
      <c r="N313" s="34">
        <f t="array" ref="N313">MEDIAN(_xlfn._xlws.FILTER(Table4[Original Price],Table4[Brand-Renamed] = Table4[[#This Row],[Brand]]))</f>
        <v>64195</v>
      </c>
      <c r="O313" s="35">
        <f t="array" ref="O313">MEDIAN(_xlfn._xlws.FILTER(Table4[Selling Price],Table4[Brand-Renamed] =Table4[[#This Row],[Brand-Renamed]]))</f>
        <v>43129</v>
      </c>
    </row>
    <row r="314" spans="1:15" ht="13.8" x14ac:dyDescent="0.25">
      <c r="A314" s="4" t="s">
        <v>119</v>
      </c>
      <c r="B314" s="4" t="str">
        <f t="shared" si="24"/>
        <v xml:space="preserve">Tcl </v>
      </c>
      <c r="C314" s="4" t="s">
        <v>32</v>
      </c>
      <c r="D314" s="4">
        <v>65</v>
      </c>
      <c r="E314" s="4">
        <v>86091</v>
      </c>
      <c r="F314" s="4">
        <v>109990</v>
      </c>
      <c r="G314" s="4" t="s">
        <v>54</v>
      </c>
      <c r="H314" s="4">
        <v>4.3</v>
      </c>
      <c r="I314" s="4">
        <f t="shared" si="25"/>
        <v>23899</v>
      </c>
      <c r="J314">
        <f t="shared" si="26"/>
        <v>0.21728338939903627</v>
      </c>
      <c r="K314" s="4">
        <f t="shared" si="27"/>
        <v>-23899</v>
      </c>
      <c r="L314" s="5">
        <f t="shared" si="28"/>
        <v>-0.27760160760125913</v>
      </c>
      <c r="M314" s="4" t="str">
        <f t="shared" si="29"/>
        <v>Medium Ratings</v>
      </c>
      <c r="N314" s="34">
        <f t="array" ref="N314">MEDIAN(_xlfn._xlws.FILTER(Table4[Original Price],Table4[Brand-Renamed] = Table4[[#This Row],[Brand]]))</f>
        <v>77990</v>
      </c>
      <c r="O314" s="35">
        <f t="array" ref="O314">MEDIAN(_xlfn._xlws.FILTER(Table4[Selling Price],Table4[Brand-Renamed] =Table4[[#This Row],[Brand-Renamed]]))</f>
        <v>40999</v>
      </c>
    </row>
    <row r="315" spans="1:15" ht="13.8" x14ac:dyDescent="0.25">
      <c r="A315" s="6" t="s">
        <v>125</v>
      </c>
      <c r="B315" s="4" t="str">
        <f t="shared" si="24"/>
        <v>Samsung</v>
      </c>
      <c r="C315" s="6" t="s">
        <v>8</v>
      </c>
      <c r="D315" s="6">
        <v>55</v>
      </c>
      <c r="E315" s="6">
        <v>118900</v>
      </c>
      <c r="F315" s="6">
        <v>118900</v>
      </c>
      <c r="G315" s="6" t="s">
        <v>56</v>
      </c>
      <c r="H315" s="6">
        <v>4</v>
      </c>
      <c r="I315" s="6">
        <f t="shared" si="25"/>
        <v>0</v>
      </c>
      <c r="J315" t="str">
        <f t="shared" si="26"/>
        <v>Discount Not Applied</v>
      </c>
      <c r="K315" s="6">
        <f t="shared" si="27"/>
        <v>0</v>
      </c>
      <c r="L315" s="7">
        <f t="shared" si="28"/>
        <v>0</v>
      </c>
      <c r="M315" s="6" t="str">
        <f t="shared" si="29"/>
        <v>Medium Ratings</v>
      </c>
      <c r="N315" s="34">
        <f t="array" ref="N315">MEDIAN(_xlfn._xlws.FILTER(Table4[Original Price],Table4[Brand-Renamed] = Table4[[#This Row],[Brand]]))</f>
        <v>100945</v>
      </c>
      <c r="O315" s="35">
        <f t="array" ref="O315">MEDIAN(_xlfn._xlws.FILTER(Table4[Selling Price],Table4[Brand-Renamed] =Table4[[#This Row],[Brand-Renamed]]))</f>
        <v>74490</v>
      </c>
    </row>
    <row r="316" spans="1:15" ht="13.8" x14ac:dyDescent="0.25">
      <c r="A316" s="4" t="s">
        <v>126</v>
      </c>
      <c r="B316" s="4" t="str">
        <f t="shared" si="24"/>
        <v xml:space="preserve">Sony </v>
      </c>
      <c r="C316" s="4" t="s">
        <v>32</v>
      </c>
      <c r="D316" s="4">
        <v>50</v>
      </c>
      <c r="E316" s="4">
        <v>81990</v>
      </c>
      <c r="F316" s="4">
        <v>99900</v>
      </c>
      <c r="G316" s="4" t="s">
        <v>54</v>
      </c>
      <c r="H316" s="4">
        <v>4.7</v>
      </c>
      <c r="I316" s="4">
        <f t="shared" si="25"/>
        <v>17910</v>
      </c>
      <c r="J316">
        <f t="shared" si="26"/>
        <v>0.17927927927927928</v>
      </c>
      <c r="K316" s="4">
        <f t="shared" si="27"/>
        <v>-17910</v>
      </c>
      <c r="L316" s="5">
        <f t="shared" si="28"/>
        <v>-0.21844127332601537</v>
      </c>
      <c r="M316" s="4" t="str">
        <f t="shared" si="29"/>
        <v>Good Ratings</v>
      </c>
      <c r="N316" s="34">
        <f t="array" ref="N316">MEDIAN(_xlfn._xlws.FILTER(Table4[Original Price],Table4[Brand-Renamed] = Table4[[#This Row],[Brand]]))</f>
        <v>87400</v>
      </c>
      <c r="O316" s="35">
        <f t="array" ref="O316">MEDIAN(_xlfn._xlws.FILTER(Table4[Selling Price],Table4[Brand-Renamed] =Table4[[#This Row],[Brand-Renamed]]))</f>
        <v>64294.5</v>
      </c>
    </row>
    <row r="317" spans="1:15" ht="13.8" x14ac:dyDescent="0.25">
      <c r="A317" s="6" t="s">
        <v>125</v>
      </c>
      <c r="B317" s="4" t="str">
        <f t="shared" si="24"/>
        <v>Samsung</v>
      </c>
      <c r="C317" s="6" t="s">
        <v>32</v>
      </c>
      <c r="D317" s="6">
        <v>49</v>
      </c>
      <c r="E317" s="6">
        <v>129900</v>
      </c>
      <c r="F317" s="6">
        <v>129900</v>
      </c>
      <c r="G317" s="6" t="s">
        <v>56</v>
      </c>
      <c r="H317" s="6">
        <v>4.4000000000000004</v>
      </c>
      <c r="I317" s="6">
        <f t="shared" si="25"/>
        <v>0</v>
      </c>
      <c r="J317" t="str">
        <f t="shared" si="26"/>
        <v>Discount Not Applied</v>
      </c>
      <c r="K317" s="6">
        <f t="shared" si="27"/>
        <v>0</v>
      </c>
      <c r="L317" s="7">
        <f t="shared" si="28"/>
        <v>0</v>
      </c>
      <c r="M317" s="6" t="str">
        <f t="shared" si="29"/>
        <v>Medium Ratings</v>
      </c>
      <c r="N317" s="34">
        <f t="array" ref="N317">MEDIAN(_xlfn._xlws.FILTER(Table4[Original Price],Table4[Brand-Renamed] = Table4[[#This Row],[Brand]]))</f>
        <v>100945</v>
      </c>
      <c r="O317" s="35">
        <f t="array" ref="O317">MEDIAN(_xlfn._xlws.FILTER(Table4[Selling Price],Table4[Brand-Renamed] =Table4[[#This Row],[Brand-Renamed]]))</f>
        <v>74490</v>
      </c>
    </row>
    <row r="318" spans="1:15" ht="13.8" x14ac:dyDescent="0.25">
      <c r="A318" s="4" t="s">
        <v>122</v>
      </c>
      <c r="B318" s="4" t="str">
        <f t="shared" si="24"/>
        <v xml:space="preserve">Lg </v>
      </c>
      <c r="C318" s="4" t="s">
        <v>8</v>
      </c>
      <c r="D318" s="4">
        <v>49</v>
      </c>
      <c r="E318" s="4">
        <v>64900</v>
      </c>
      <c r="F318" s="4">
        <v>64900</v>
      </c>
      <c r="G318" s="4" t="s">
        <v>58</v>
      </c>
      <c r="H318" s="4">
        <v>4.2</v>
      </c>
      <c r="I318" s="4">
        <f t="shared" si="25"/>
        <v>0</v>
      </c>
      <c r="J318" t="str">
        <f t="shared" si="26"/>
        <v>Discount Not Applied</v>
      </c>
      <c r="K318" s="4">
        <f t="shared" si="27"/>
        <v>0</v>
      </c>
      <c r="L318" s="5">
        <f t="shared" si="28"/>
        <v>0</v>
      </c>
      <c r="M318" s="4" t="str">
        <f t="shared" si="29"/>
        <v>Medium Ratings</v>
      </c>
      <c r="N318" s="34">
        <f t="array" ref="N318">MEDIAN(_xlfn._xlws.FILTER(Table4[Original Price],Table4[Brand-Renamed] = Table4[[#This Row],[Brand]]))</f>
        <v>98990</v>
      </c>
      <c r="O318" s="35">
        <f t="array" ref="O318">MEDIAN(_xlfn._xlws.FILTER(Table4[Selling Price],Table4[Brand-Renamed] =Table4[[#This Row],[Brand-Renamed]]))</f>
        <v>76737</v>
      </c>
    </row>
    <row r="319" spans="1:15" ht="13.8" x14ac:dyDescent="0.25">
      <c r="A319" s="6" t="s">
        <v>45</v>
      </c>
      <c r="B319" s="4" t="str">
        <f t="shared" si="24"/>
        <v xml:space="preserve">Croma </v>
      </c>
      <c r="C319" s="6" t="s">
        <v>32</v>
      </c>
      <c r="D319" s="6">
        <v>55</v>
      </c>
      <c r="E319" s="6">
        <v>50990</v>
      </c>
      <c r="F319" s="6">
        <v>75000</v>
      </c>
      <c r="G319" s="6" t="s">
        <v>66</v>
      </c>
      <c r="H319" s="6"/>
      <c r="I319" s="6">
        <f t="shared" si="25"/>
        <v>24010</v>
      </c>
      <c r="J319">
        <f t="shared" si="26"/>
        <v>0.32013333333333333</v>
      </c>
      <c r="K319" s="6">
        <f t="shared" si="27"/>
        <v>-24010</v>
      </c>
      <c r="L319" s="7">
        <f t="shared" si="28"/>
        <v>-0.47087664247891742</v>
      </c>
      <c r="M319" s="6" t="str">
        <f t="shared" si="29"/>
        <v>Ratings Not Given</v>
      </c>
      <c r="N319" s="34">
        <f t="array" ref="N319">MEDIAN(_xlfn._xlws.FILTER(Table4[Original Price],Table4[Brand-Renamed] = Table4[[#This Row],[Brand]]))</f>
        <v>25000</v>
      </c>
      <c r="O319" s="35">
        <f t="array" ref="O319">MEDIAN(_xlfn._xlws.FILTER(Table4[Selling Price],Table4[Brand-Renamed] =Table4[[#This Row],[Brand-Renamed]]))</f>
        <v>17740</v>
      </c>
    </row>
    <row r="320" spans="1:15" ht="13.8" x14ac:dyDescent="0.25">
      <c r="A320" s="4" t="s">
        <v>125</v>
      </c>
      <c r="B320" s="4" t="str">
        <f t="shared" si="24"/>
        <v>Samsung</v>
      </c>
      <c r="C320" s="4" t="s">
        <v>19</v>
      </c>
      <c r="D320" s="4">
        <v>32</v>
      </c>
      <c r="E320" s="4">
        <v>18490</v>
      </c>
      <c r="F320" s="4">
        <v>22500</v>
      </c>
      <c r="G320" s="4" t="s">
        <v>56</v>
      </c>
      <c r="H320" s="4">
        <v>4</v>
      </c>
      <c r="I320" s="4">
        <f t="shared" si="25"/>
        <v>4010</v>
      </c>
      <c r="J320">
        <f t="shared" si="26"/>
        <v>0.17822222222222223</v>
      </c>
      <c r="K320" s="4">
        <f t="shared" si="27"/>
        <v>-4010</v>
      </c>
      <c r="L320" s="5">
        <f t="shared" si="28"/>
        <v>-0.21687398593834506</v>
      </c>
      <c r="M320" s="4" t="str">
        <f t="shared" si="29"/>
        <v>Medium Ratings</v>
      </c>
      <c r="N320" s="34">
        <f t="array" ref="N320">MEDIAN(_xlfn._xlws.FILTER(Table4[Original Price],Table4[Brand-Renamed] = Table4[[#This Row],[Brand]]))</f>
        <v>100945</v>
      </c>
      <c r="O320" s="35">
        <f t="array" ref="O320">MEDIAN(_xlfn._xlws.FILTER(Table4[Selling Price],Table4[Brand-Renamed] =Table4[[#This Row],[Brand-Renamed]]))</f>
        <v>74490</v>
      </c>
    </row>
    <row r="321" spans="1:15" ht="13.8" x14ac:dyDescent="0.25">
      <c r="A321" s="6" t="s">
        <v>122</v>
      </c>
      <c r="B321" s="4" t="str">
        <f t="shared" si="24"/>
        <v xml:space="preserve">Lg </v>
      </c>
      <c r="C321" s="6" t="s">
        <v>32</v>
      </c>
      <c r="D321" s="6">
        <v>55</v>
      </c>
      <c r="E321" s="6">
        <v>114999</v>
      </c>
      <c r="F321" s="6">
        <v>189990</v>
      </c>
      <c r="G321" s="6" t="s">
        <v>58</v>
      </c>
      <c r="H321" s="6">
        <v>2.7</v>
      </c>
      <c r="I321" s="6">
        <f t="shared" si="25"/>
        <v>74991</v>
      </c>
      <c r="J321">
        <f t="shared" si="26"/>
        <v>0.39471024790778464</v>
      </c>
      <c r="K321" s="6">
        <f t="shared" si="27"/>
        <v>-74991</v>
      </c>
      <c r="L321" s="7">
        <f t="shared" si="28"/>
        <v>-0.65210132262019671</v>
      </c>
      <c r="M321" s="6" t="str">
        <f t="shared" si="29"/>
        <v>Bad Ratings</v>
      </c>
      <c r="N321" s="34">
        <f t="array" ref="N321">MEDIAN(_xlfn._xlws.FILTER(Table4[Original Price],Table4[Brand-Renamed] = Table4[[#This Row],[Brand]]))</f>
        <v>98990</v>
      </c>
      <c r="O321" s="35">
        <f t="array" ref="O321">MEDIAN(_xlfn._xlws.FILTER(Table4[Selling Price],Table4[Brand-Renamed] =Table4[[#This Row],[Brand-Renamed]]))</f>
        <v>76737</v>
      </c>
    </row>
    <row r="322" spans="1:15" ht="13.8" x14ac:dyDescent="0.25">
      <c r="A322" s="4" t="s">
        <v>41</v>
      </c>
      <c r="B322" s="4" t="str">
        <f t="shared" ref="B322:B385" si="30">PROPER(A322)</f>
        <v xml:space="preserve">Candes </v>
      </c>
      <c r="C322" s="4" t="s">
        <v>8</v>
      </c>
      <c r="D322" s="4">
        <v>40</v>
      </c>
      <c r="E322" s="4">
        <v>15999</v>
      </c>
      <c r="F322" s="4">
        <v>29990</v>
      </c>
      <c r="G322" s="4" t="s">
        <v>54</v>
      </c>
      <c r="H322" s="4">
        <v>4.0999999999999996</v>
      </c>
      <c r="I322" s="4">
        <f t="shared" ref="I322:I385" si="31">F322-E322</f>
        <v>13991</v>
      </c>
      <c r="J322">
        <f t="shared" ref="J322:J385" si="32">IF((F322-E322)/F322 = 0, "Discount Not Applied", (F322-E322)/F322)</f>
        <v>0.46652217405801932</v>
      </c>
      <c r="K322" s="4">
        <f t="shared" ref="K322:K385" si="33">E322-F322</f>
        <v>-13991</v>
      </c>
      <c r="L322" s="5">
        <f t="shared" ref="L322:L385" si="34">(E322-F322)/E322</f>
        <v>-0.87449215575973493</v>
      </c>
      <c r="M322" s="4" t="str">
        <f t="shared" ref="M322:M385" si="35">IF(ISBLANK(H322),"Ratings Not Given",IF(H322&gt;=4.5,"Good Ratings",IF(H322&lt;=3.7,"Bad Ratings","Medium Ratings")))</f>
        <v>Medium Ratings</v>
      </c>
      <c r="N322" s="34">
        <f t="array" ref="N322">MEDIAN(_xlfn._xlws.FILTER(Table4[Original Price],Table4[Brand-Renamed] = Table4[[#This Row],[Brand]]))</f>
        <v>26340</v>
      </c>
      <c r="O322" s="35">
        <f t="array" ref="O322">MEDIAN(_xlfn._xlws.FILTER(Table4[Selling Price],Table4[Brand-Renamed] =Table4[[#This Row],[Brand-Renamed]]))</f>
        <v>13649</v>
      </c>
    </row>
    <row r="323" spans="1:15" ht="13.8" x14ac:dyDescent="0.25">
      <c r="A323" s="6" t="s">
        <v>125</v>
      </c>
      <c r="B323" s="4" t="str">
        <f t="shared" si="30"/>
        <v>Samsung</v>
      </c>
      <c r="C323" s="6" t="s">
        <v>32</v>
      </c>
      <c r="D323" s="6">
        <v>65</v>
      </c>
      <c r="E323" s="6">
        <v>89990</v>
      </c>
      <c r="F323" s="6">
        <v>115990</v>
      </c>
      <c r="G323" s="6" t="s">
        <v>56</v>
      </c>
      <c r="H323" s="6"/>
      <c r="I323" s="6">
        <f t="shared" si="31"/>
        <v>26000</v>
      </c>
      <c r="J323">
        <f t="shared" si="32"/>
        <v>0.22415725493577032</v>
      </c>
      <c r="K323" s="6">
        <f t="shared" si="33"/>
        <v>-26000</v>
      </c>
      <c r="L323" s="7">
        <f t="shared" si="34"/>
        <v>-0.28892099122124681</v>
      </c>
      <c r="M323" s="6" t="str">
        <f t="shared" si="35"/>
        <v>Ratings Not Given</v>
      </c>
      <c r="N323" s="34">
        <f t="array" ref="N323">MEDIAN(_xlfn._xlws.FILTER(Table4[Original Price],Table4[Brand-Renamed] = Table4[[#This Row],[Brand]]))</f>
        <v>100945</v>
      </c>
      <c r="O323" s="35">
        <f t="array" ref="O323">MEDIAN(_xlfn._xlws.FILTER(Table4[Selling Price],Table4[Brand-Renamed] =Table4[[#This Row],[Brand-Renamed]]))</f>
        <v>74490</v>
      </c>
    </row>
    <row r="324" spans="1:15" ht="13.8" x14ac:dyDescent="0.25">
      <c r="A324" s="4" t="s">
        <v>129</v>
      </c>
      <c r="B324" s="4" t="str">
        <f t="shared" si="30"/>
        <v>Philips</v>
      </c>
      <c r="C324" s="4" t="s">
        <v>32</v>
      </c>
      <c r="D324" s="4">
        <v>50</v>
      </c>
      <c r="E324" s="4">
        <v>37999</v>
      </c>
      <c r="F324" s="4">
        <v>105990</v>
      </c>
      <c r="G324" s="4" t="s">
        <v>54</v>
      </c>
      <c r="H324" s="4">
        <v>4.2</v>
      </c>
      <c r="I324" s="4">
        <f t="shared" si="31"/>
        <v>67991</v>
      </c>
      <c r="J324">
        <f t="shared" si="32"/>
        <v>0.64148504575903387</v>
      </c>
      <c r="K324" s="4">
        <f t="shared" si="33"/>
        <v>-67991</v>
      </c>
      <c r="L324" s="5">
        <f t="shared" si="34"/>
        <v>-1.7892839285244349</v>
      </c>
      <c r="M324" s="4" t="str">
        <f t="shared" si="35"/>
        <v>Medium Ratings</v>
      </c>
      <c r="N324" s="34">
        <f t="array" ref="N324">MEDIAN(_xlfn._xlws.FILTER(Table4[Original Price],Table4[Brand-Renamed] = Table4[[#This Row],[Brand]]))</f>
        <v>44990</v>
      </c>
      <c r="O324" s="35">
        <f t="array" ref="O324">MEDIAN(_xlfn._xlws.FILTER(Table4[Selling Price],Table4[Brand-Renamed] =Table4[[#This Row],[Brand-Renamed]]))</f>
        <v>33459</v>
      </c>
    </row>
    <row r="325" spans="1:15" ht="13.8" x14ac:dyDescent="0.25">
      <c r="A325" s="6" t="s">
        <v>124</v>
      </c>
      <c r="B325" s="4" t="str">
        <f t="shared" si="30"/>
        <v>Iffalcon By Tcl</v>
      </c>
      <c r="C325" s="6" t="s">
        <v>32</v>
      </c>
      <c r="D325" s="6">
        <v>55</v>
      </c>
      <c r="E325" s="6">
        <v>43999</v>
      </c>
      <c r="F325" s="6">
        <v>73990</v>
      </c>
      <c r="G325" s="6" t="s">
        <v>54</v>
      </c>
      <c r="H325" s="6">
        <v>4.4000000000000004</v>
      </c>
      <c r="I325" s="6">
        <f t="shared" si="31"/>
        <v>29991</v>
      </c>
      <c r="J325">
        <f t="shared" si="32"/>
        <v>0.40533855926476553</v>
      </c>
      <c r="K325" s="6">
        <f t="shared" si="33"/>
        <v>-29991</v>
      </c>
      <c r="L325" s="7">
        <f t="shared" si="34"/>
        <v>-0.68162912793472574</v>
      </c>
      <c r="M325" s="6" t="str">
        <f t="shared" si="35"/>
        <v>Medium Ratings</v>
      </c>
      <c r="N325" s="34">
        <f t="array" ref="N325">MEDIAN(_xlfn._xlws.FILTER(Table4[Original Price],Table4[Brand-Renamed] = Table4[[#This Row],[Brand]]))</f>
        <v>76990</v>
      </c>
      <c r="O325" s="35">
        <f t="array" ref="O325">MEDIAN(_xlfn._xlws.FILTER(Table4[Selling Price],Table4[Brand-Renamed] =Table4[[#This Row],[Brand-Renamed]]))</f>
        <v>36999</v>
      </c>
    </row>
    <row r="326" spans="1:15" ht="13.8" x14ac:dyDescent="0.25">
      <c r="A326" s="4" t="s">
        <v>125</v>
      </c>
      <c r="B326" s="4" t="str">
        <f t="shared" si="30"/>
        <v>Samsung</v>
      </c>
      <c r="C326" s="4" t="s">
        <v>32</v>
      </c>
      <c r="D326" s="4">
        <v>50</v>
      </c>
      <c r="E326" s="4">
        <v>125900</v>
      </c>
      <c r="F326" s="4">
        <v>125900</v>
      </c>
      <c r="G326" s="4" t="s">
        <v>56</v>
      </c>
      <c r="H326" s="4">
        <v>4.3</v>
      </c>
      <c r="I326" s="4">
        <f t="shared" si="31"/>
        <v>0</v>
      </c>
      <c r="J326" t="str">
        <f t="shared" si="32"/>
        <v>Discount Not Applied</v>
      </c>
      <c r="K326" s="4">
        <f t="shared" si="33"/>
        <v>0</v>
      </c>
      <c r="L326" s="5">
        <f t="shared" si="34"/>
        <v>0</v>
      </c>
      <c r="M326" s="4" t="str">
        <f t="shared" si="35"/>
        <v>Medium Ratings</v>
      </c>
      <c r="N326" s="34">
        <f t="array" ref="N326">MEDIAN(_xlfn._xlws.FILTER(Table4[Original Price],Table4[Brand-Renamed] = Table4[[#This Row],[Brand]]))</f>
        <v>100945</v>
      </c>
      <c r="O326" s="35">
        <f t="array" ref="O326">MEDIAN(_xlfn._xlws.FILTER(Table4[Selling Price],Table4[Brand-Renamed] =Table4[[#This Row],[Brand-Renamed]]))</f>
        <v>74490</v>
      </c>
    </row>
    <row r="327" spans="1:15" ht="13.8" x14ac:dyDescent="0.25">
      <c r="A327" s="6" t="s">
        <v>21</v>
      </c>
      <c r="B327" s="4" t="str">
        <f t="shared" si="30"/>
        <v>Micromax</v>
      </c>
      <c r="C327" s="6" t="s">
        <v>19</v>
      </c>
      <c r="D327" s="6">
        <v>32</v>
      </c>
      <c r="E327" s="6">
        <v>15990</v>
      </c>
      <c r="F327" s="6">
        <v>22990</v>
      </c>
      <c r="G327" s="6" t="s">
        <v>54</v>
      </c>
      <c r="H327" s="6">
        <v>4.2</v>
      </c>
      <c r="I327" s="6">
        <f t="shared" si="31"/>
        <v>7000</v>
      </c>
      <c r="J327">
        <f t="shared" si="32"/>
        <v>0.3044802087864289</v>
      </c>
      <c r="K327" s="6">
        <f t="shared" si="33"/>
        <v>-7000</v>
      </c>
      <c r="L327" s="7">
        <f t="shared" si="34"/>
        <v>-0.43777360850531583</v>
      </c>
      <c r="M327" s="6" t="str">
        <f t="shared" si="35"/>
        <v>Medium Ratings</v>
      </c>
      <c r="N327" s="34">
        <f t="array" ref="N327">MEDIAN(_xlfn._xlws.FILTER(Table4[Original Price],Table4[Brand-Renamed] = Table4[[#This Row],[Brand]]))</f>
        <v>24990</v>
      </c>
      <c r="O327" s="35">
        <f t="array" ref="O327">MEDIAN(_xlfn._xlws.FILTER(Table4[Selling Price],Table4[Brand-Renamed] =Table4[[#This Row],[Brand-Renamed]]))</f>
        <v>16825</v>
      </c>
    </row>
    <row r="328" spans="1:15" ht="13.8" x14ac:dyDescent="0.25">
      <c r="A328" s="4" t="s">
        <v>122</v>
      </c>
      <c r="B328" s="4" t="str">
        <f t="shared" si="30"/>
        <v xml:space="preserve">Lg </v>
      </c>
      <c r="C328" s="4" t="s">
        <v>32</v>
      </c>
      <c r="D328" s="4">
        <v>49</v>
      </c>
      <c r="E328" s="4">
        <v>80990</v>
      </c>
      <c r="F328" s="4">
        <v>80990</v>
      </c>
      <c r="G328" s="4" t="s">
        <v>58</v>
      </c>
      <c r="H328" s="4">
        <v>4.5</v>
      </c>
      <c r="I328" s="4">
        <f t="shared" si="31"/>
        <v>0</v>
      </c>
      <c r="J328" t="str">
        <f t="shared" si="32"/>
        <v>Discount Not Applied</v>
      </c>
      <c r="K328" s="4">
        <f t="shared" si="33"/>
        <v>0</v>
      </c>
      <c r="L328" s="5">
        <f t="shared" si="34"/>
        <v>0</v>
      </c>
      <c r="M328" s="4" t="str">
        <f t="shared" si="35"/>
        <v>Good Ratings</v>
      </c>
      <c r="N328" s="34">
        <f t="array" ref="N328">MEDIAN(_xlfn._xlws.FILTER(Table4[Original Price],Table4[Brand-Renamed] = Table4[[#This Row],[Brand]]))</f>
        <v>98990</v>
      </c>
      <c r="O328" s="35">
        <f t="array" ref="O328">MEDIAN(_xlfn._xlws.FILTER(Table4[Selling Price],Table4[Brand-Renamed] =Table4[[#This Row],[Brand-Renamed]]))</f>
        <v>76737</v>
      </c>
    </row>
    <row r="329" spans="1:15" ht="13.8" x14ac:dyDescent="0.25">
      <c r="A329" s="6" t="s">
        <v>122</v>
      </c>
      <c r="B329" s="4" t="str">
        <f t="shared" si="30"/>
        <v xml:space="preserve">Lg </v>
      </c>
      <c r="C329" s="6" t="s">
        <v>32</v>
      </c>
      <c r="D329" s="6">
        <v>65</v>
      </c>
      <c r="E329" s="6">
        <v>149999</v>
      </c>
      <c r="F329" s="6">
        <v>219990</v>
      </c>
      <c r="G329" s="6" t="s">
        <v>58</v>
      </c>
      <c r="H329" s="6">
        <v>5</v>
      </c>
      <c r="I329" s="6">
        <f t="shared" si="31"/>
        <v>69991</v>
      </c>
      <c r="J329">
        <f t="shared" si="32"/>
        <v>0.31815537069866812</v>
      </c>
      <c r="K329" s="6">
        <f t="shared" si="33"/>
        <v>-69991</v>
      </c>
      <c r="L329" s="7">
        <f t="shared" si="34"/>
        <v>-0.466609777398516</v>
      </c>
      <c r="M329" s="6" t="str">
        <f t="shared" si="35"/>
        <v>Good Ratings</v>
      </c>
      <c r="N329" s="34">
        <f t="array" ref="N329">MEDIAN(_xlfn._xlws.FILTER(Table4[Original Price],Table4[Brand-Renamed] = Table4[[#This Row],[Brand]]))</f>
        <v>98990</v>
      </c>
      <c r="O329" s="35">
        <f t="array" ref="O329">MEDIAN(_xlfn._xlws.FILTER(Table4[Selling Price],Table4[Brand-Renamed] =Table4[[#This Row],[Brand-Renamed]]))</f>
        <v>76737</v>
      </c>
    </row>
    <row r="330" spans="1:15" ht="13.8" x14ac:dyDescent="0.25">
      <c r="A330" s="4" t="s">
        <v>122</v>
      </c>
      <c r="B330" s="4" t="str">
        <f t="shared" si="30"/>
        <v xml:space="preserve">Lg </v>
      </c>
      <c r="C330" s="4" t="s">
        <v>8</v>
      </c>
      <c r="D330" s="4">
        <v>49</v>
      </c>
      <c r="E330" s="4">
        <v>67990</v>
      </c>
      <c r="F330" s="4">
        <v>67990</v>
      </c>
      <c r="G330" s="4" t="s">
        <v>58</v>
      </c>
      <c r="H330" s="4">
        <v>4.5</v>
      </c>
      <c r="I330" s="4">
        <f t="shared" si="31"/>
        <v>0</v>
      </c>
      <c r="J330" t="str">
        <f t="shared" si="32"/>
        <v>Discount Not Applied</v>
      </c>
      <c r="K330" s="4">
        <f t="shared" si="33"/>
        <v>0</v>
      </c>
      <c r="L330" s="5">
        <f t="shared" si="34"/>
        <v>0</v>
      </c>
      <c r="M330" s="4" t="str">
        <f t="shared" si="35"/>
        <v>Good Ratings</v>
      </c>
      <c r="N330" s="34">
        <f t="array" ref="N330">MEDIAN(_xlfn._xlws.FILTER(Table4[Original Price],Table4[Brand-Renamed] = Table4[[#This Row],[Brand]]))</f>
        <v>98990</v>
      </c>
      <c r="O330" s="35">
        <f t="array" ref="O330">MEDIAN(_xlfn._xlws.FILTER(Table4[Selling Price],Table4[Brand-Renamed] =Table4[[#This Row],[Brand-Renamed]]))</f>
        <v>76737</v>
      </c>
    </row>
    <row r="331" spans="1:15" ht="13.8" x14ac:dyDescent="0.25">
      <c r="A331" s="6" t="s">
        <v>125</v>
      </c>
      <c r="B331" s="4" t="str">
        <f t="shared" si="30"/>
        <v>Samsung</v>
      </c>
      <c r="C331" s="6" t="s">
        <v>32</v>
      </c>
      <c r="D331" s="6">
        <v>50</v>
      </c>
      <c r="E331" s="6">
        <v>51990</v>
      </c>
      <c r="F331" s="6">
        <v>67069</v>
      </c>
      <c r="G331" s="6" t="s">
        <v>56</v>
      </c>
      <c r="H331" s="6">
        <v>4</v>
      </c>
      <c r="I331" s="6">
        <f t="shared" si="31"/>
        <v>15079</v>
      </c>
      <c r="J331">
        <f t="shared" si="32"/>
        <v>0.22482816204207606</v>
      </c>
      <c r="K331" s="6">
        <f t="shared" si="33"/>
        <v>-15079</v>
      </c>
      <c r="L331" s="7">
        <f t="shared" si="34"/>
        <v>-0.29003654548951724</v>
      </c>
      <c r="M331" s="6" t="str">
        <f t="shared" si="35"/>
        <v>Medium Ratings</v>
      </c>
      <c r="N331" s="34">
        <f t="array" ref="N331">MEDIAN(_xlfn._xlws.FILTER(Table4[Original Price],Table4[Brand-Renamed] = Table4[[#This Row],[Brand]]))</f>
        <v>100945</v>
      </c>
      <c r="O331" s="35">
        <f t="array" ref="O331">MEDIAN(_xlfn._xlws.FILTER(Table4[Selling Price],Table4[Brand-Renamed] =Table4[[#This Row],[Brand-Renamed]]))</f>
        <v>74490</v>
      </c>
    </row>
    <row r="332" spans="1:15" ht="13.8" x14ac:dyDescent="0.25">
      <c r="A332" s="4" t="s">
        <v>125</v>
      </c>
      <c r="B332" s="4" t="str">
        <f t="shared" si="30"/>
        <v>Samsung</v>
      </c>
      <c r="C332" s="4" t="s">
        <v>29</v>
      </c>
      <c r="D332" s="4">
        <v>55</v>
      </c>
      <c r="E332" s="4">
        <v>274900</v>
      </c>
      <c r="F332" s="4">
        <v>274900</v>
      </c>
      <c r="G332" s="4" t="s">
        <v>56</v>
      </c>
      <c r="H332" s="4">
        <v>5</v>
      </c>
      <c r="I332" s="4">
        <f t="shared" si="31"/>
        <v>0</v>
      </c>
      <c r="J332" t="str">
        <f t="shared" si="32"/>
        <v>Discount Not Applied</v>
      </c>
      <c r="K332" s="4">
        <f t="shared" si="33"/>
        <v>0</v>
      </c>
      <c r="L332" s="5">
        <f t="shared" si="34"/>
        <v>0</v>
      </c>
      <c r="M332" s="4" t="str">
        <f t="shared" si="35"/>
        <v>Good Ratings</v>
      </c>
      <c r="N332" s="34">
        <f t="array" ref="N332">MEDIAN(_xlfn._xlws.FILTER(Table4[Original Price],Table4[Brand-Renamed] = Table4[[#This Row],[Brand]]))</f>
        <v>100945</v>
      </c>
      <c r="O332" s="35">
        <f t="array" ref="O332">MEDIAN(_xlfn._xlws.FILTER(Table4[Selling Price],Table4[Brand-Renamed] =Table4[[#This Row],[Brand-Renamed]]))</f>
        <v>74490</v>
      </c>
    </row>
    <row r="333" spans="1:15" ht="13.8" x14ac:dyDescent="0.25">
      <c r="A333" s="6" t="s">
        <v>122</v>
      </c>
      <c r="B333" s="4" t="str">
        <f t="shared" si="30"/>
        <v xml:space="preserve">Lg </v>
      </c>
      <c r="C333" s="6" t="s">
        <v>32</v>
      </c>
      <c r="D333" s="6">
        <v>55</v>
      </c>
      <c r="E333" s="6">
        <v>324990</v>
      </c>
      <c r="F333" s="6">
        <v>324990</v>
      </c>
      <c r="G333" s="6" t="s">
        <v>58</v>
      </c>
      <c r="H333" s="6">
        <v>4.5999999999999996</v>
      </c>
      <c r="I333" s="6">
        <f t="shared" si="31"/>
        <v>0</v>
      </c>
      <c r="J333" t="str">
        <f t="shared" si="32"/>
        <v>Discount Not Applied</v>
      </c>
      <c r="K333" s="6">
        <f t="shared" si="33"/>
        <v>0</v>
      </c>
      <c r="L333" s="7">
        <f t="shared" si="34"/>
        <v>0</v>
      </c>
      <c r="M333" s="6" t="str">
        <f t="shared" si="35"/>
        <v>Good Ratings</v>
      </c>
      <c r="N333" s="34">
        <f t="array" ref="N333">MEDIAN(_xlfn._xlws.FILTER(Table4[Original Price],Table4[Brand-Renamed] = Table4[[#This Row],[Brand]]))</f>
        <v>98990</v>
      </c>
      <c r="O333" s="35">
        <f t="array" ref="O333">MEDIAN(_xlfn._xlws.FILTER(Table4[Selling Price],Table4[Brand-Renamed] =Table4[[#This Row],[Brand-Renamed]]))</f>
        <v>76737</v>
      </c>
    </row>
    <row r="334" spans="1:15" ht="13.8" x14ac:dyDescent="0.25">
      <c r="A334" s="4" t="s">
        <v>76</v>
      </c>
      <c r="B334" s="4" t="str">
        <f t="shared" si="30"/>
        <v xml:space="preserve">Onix </v>
      </c>
      <c r="C334" s="4" t="s">
        <v>32</v>
      </c>
      <c r="D334" s="4">
        <v>50</v>
      </c>
      <c r="E334" s="4">
        <v>49990</v>
      </c>
      <c r="F334" s="4">
        <v>59990</v>
      </c>
      <c r="G334" s="4" t="s">
        <v>54</v>
      </c>
      <c r="H334" s="4"/>
      <c r="I334" s="4">
        <f t="shared" si="31"/>
        <v>10000</v>
      </c>
      <c r="J334">
        <f t="shared" si="32"/>
        <v>0.16669444907484582</v>
      </c>
      <c r="K334" s="4">
        <f t="shared" si="33"/>
        <v>-10000</v>
      </c>
      <c r="L334" s="5">
        <f t="shared" si="34"/>
        <v>-0.20004000800160032</v>
      </c>
      <c r="M334" s="4" t="str">
        <f t="shared" si="35"/>
        <v>Ratings Not Given</v>
      </c>
      <c r="N334" s="34">
        <f t="array" ref="N334">MEDIAN(_xlfn._xlws.FILTER(Table4[Original Price],Table4[Brand-Renamed] = Table4[[#This Row],[Brand]]))</f>
        <v>37390</v>
      </c>
      <c r="O334" s="35">
        <f t="array" ref="O334">MEDIAN(_xlfn._xlws.FILTER(Table4[Selling Price],Table4[Brand-Renamed] =Table4[[#This Row],[Brand-Renamed]]))</f>
        <v>32990</v>
      </c>
    </row>
    <row r="335" spans="1:15" ht="13.8" x14ac:dyDescent="0.25">
      <c r="A335" s="6" t="s">
        <v>125</v>
      </c>
      <c r="B335" s="4" t="str">
        <f t="shared" si="30"/>
        <v>Samsung</v>
      </c>
      <c r="C335" s="6" t="s">
        <v>29</v>
      </c>
      <c r="D335" s="6">
        <v>50</v>
      </c>
      <c r="E335" s="6">
        <v>69990</v>
      </c>
      <c r="F335" s="6">
        <v>99990</v>
      </c>
      <c r="G335" s="6" t="s">
        <v>56</v>
      </c>
      <c r="H335" s="6">
        <v>4</v>
      </c>
      <c r="I335" s="6">
        <f t="shared" si="31"/>
        <v>30000</v>
      </c>
      <c r="J335">
        <f t="shared" si="32"/>
        <v>0.30003000300030003</v>
      </c>
      <c r="K335" s="6">
        <f t="shared" si="33"/>
        <v>-30000</v>
      </c>
      <c r="L335" s="7">
        <f t="shared" si="34"/>
        <v>-0.42863266180882981</v>
      </c>
      <c r="M335" s="6" t="str">
        <f t="shared" si="35"/>
        <v>Medium Ratings</v>
      </c>
      <c r="N335" s="34">
        <f t="array" ref="N335">MEDIAN(_xlfn._xlws.FILTER(Table4[Original Price],Table4[Brand-Renamed] = Table4[[#This Row],[Brand]]))</f>
        <v>100945</v>
      </c>
      <c r="O335" s="35">
        <f t="array" ref="O335">MEDIAN(_xlfn._xlws.FILTER(Table4[Selling Price],Table4[Brand-Renamed] =Table4[[#This Row],[Brand-Renamed]]))</f>
        <v>74490</v>
      </c>
    </row>
    <row r="336" spans="1:15" ht="13.8" x14ac:dyDescent="0.25">
      <c r="A336" s="4" t="s">
        <v>125</v>
      </c>
      <c r="B336" s="4" t="str">
        <f t="shared" si="30"/>
        <v>Samsung</v>
      </c>
      <c r="C336" s="4" t="s">
        <v>8</v>
      </c>
      <c r="D336" s="4">
        <v>43</v>
      </c>
      <c r="E336" s="4">
        <v>45785</v>
      </c>
      <c r="F336" s="4">
        <v>45900</v>
      </c>
      <c r="G336" s="4" t="s">
        <v>56</v>
      </c>
      <c r="H336" s="4"/>
      <c r="I336" s="4">
        <f t="shared" si="31"/>
        <v>115</v>
      </c>
      <c r="J336">
        <f t="shared" si="32"/>
        <v>2.5054466230936818E-3</v>
      </c>
      <c r="K336" s="4">
        <f t="shared" si="33"/>
        <v>-115</v>
      </c>
      <c r="L336" s="5">
        <f t="shared" si="34"/>
        <v>-2.5117396527246914E-3</v>
      </c>
      <c r="M336" s="4" t="str">
        <f t="shared" si="35"/>
        <v>Ratings Not Given</v>
      </c>
      <c r="N336" s="34">
        <f t="array" ref="N336">MEDIAN(_xlfn._xlws.FILTER(Table4[Original Price],Table4[Brand-Renamed] = Table4[[#This Row],[Brand]]))</f>
        <v>100945</v>
      </c>
      <c r="O336" s="35">
        <f t="array" ref="O336">MEDIAN(_xlfn._xlws.FILTER(Table4[Selling Price],Table4[Brand-Renamed] =Table4[[#This Row],[Brand-Renamed]]))</f>
        <v>74490</v>
      </c>
    </row>
    <row r="337" spans="1:15" ht="13.8" x14ac:dyDescent="0.25">
      <c r="A337" s="6" t="s">
        <v>125</v>
      </c>
      <c r="B337" s="4" t="str">
        <f t="shared" si="30"/>
        <v>Samsung</v>
      </c>
      <c r="C337" s="6" t="s">
        <v>29</v>
      </c>
      <c r="D337" s="6">
        <v>55</v>
      </c>
      <c r="E337" s="6">
        <v>121999</v>
      </c>
      <c r="F337" s="6">
        <v>143900</v>
      </c>
      <c r="G337" s="6" t="s">
        <v>56</v>
      </c>
      <c r="H337" s="6">
        <v>4.3</v>
      </c>
      <c r="I337" s="6">
        <f t="shared" si="31"/>
        <v>21901</v>
      </c>
      <c r="J337">
        <f t="shared" si="32"/>
        <v>0.15219596942321056</v>
      </c>
      <c r="K337" s="6">
        <f t="shared" si="33"/>
        <v>-21901</v>
      </c>
      <c r="L337" s="7">
        <f t="shared" si="34"/>
        <v>-0.17951786490053198</v>
      </c>
      <c r="M337" s="6" t="str">
        <f t="shared" si="35"/>
        <v>Medium Ratings</v>
      </c>
      <c r="N337" s="34">
        <f t="array" ref="N337">MEDIAN(_xlfn._xlws.FILTER(Table4[Original Price],Table4[Brand-Renamed] = Table4[[#This Row],[Brand]]))</f>
        <v>100945</v>
      </c>
      <c r="O337" s="35">
        <f t="array" ref="O337">MEDIAN(_xlfn._xlws.FILTER(Table4[Selling Price],Table4[Brand-Renamed] =Table4[[#This Row],[Brand-Renamed]]))</f>
        <v>74490</v>
      </c>
    </row>
    <row r="338" spans="1:15" ht="13.8" x14ac:dyDescent="0.25">
      <c r="A338" s="4" t="s">
        <v>45</v>
      </c>
      <c r="B338" s="4" t="str">
        <f t="shared" si="30"/>
        <v xml:space="preserve">Croma </v>
      </c>
      <c r="C338" s="4" t="s">
        <v>19</v>
      </c>
      <c r="D338" s="4">
        <v>32</v>
      </c>
      <c r="E338" s="4">
        <v>14990</v>
      </c>
      <c r="F338" s="4">
        <v>25000</v>
      </c>
      <c r="G338" s="4" t="s">
        <v>66</v>
      </c>
      <c r="H338" s="4"/>
      <c r="I338" s="4">
        <f t="shared" si="31"/>
        <v>10010</v>
      </c>
      <c r="J338">
        <f t="shared" si="32"/>
        <v>0.40039999999999998</v>
      </c>
      <c r="K338" s="4">
        <f t="shared" si="33"/>
        <v>-10010</v>
      </c>
      <c r="L338" s="5">
        <f t="shared" si="34"/>
        <v>-0.66777851901267515</v>
      </c>
      <c r="M338" s="4" t="str">
        <f t="shared" si="35"/>
        <v>Ratings Not Given</v>
      </c>
      <c r="N338" s="34">
        <f t="array" ref="N338">MEDIAN(_xlfn._xlws.FILTER(Table4[Original Price],Table4[Brand-Renamed] = Table4[[#This Row],[Brand]]))</f>
        <v>25000</v>
      </c>
      <c r="O338" s="35">
        <f t="array" ref="O338">MEDIAN(_xlfn._xlws.FILTER(Table4[Selling Price],Table4[Brand-Renamed] =Table4[[#This Row],[Brand-Renamed]]))</f>
        <v>17740</v>
      </c>
    </row>
    <row r="339" spans="1:15" ht="13.8" x14ac:dyDescent="0.25">
      <c r="A339" s="6" t="s">
        <v>35</v>
      </c>
      <c r="B339" s="4" t="str">
        <f t="shared" si="30"/>
        <v>Acer</v>
      </c>
      <c r="C339" s="6" t="s">
        <v>19</v>
      </c>
      <c r="D339" s="6">
        <v>32</v>
      </c>
      <c r="E339" s="6">
        <v>14999</v>
      </c>
      <c r="F339" s="6">
        <v>22990</v>
      </c>
      <c r="G339" s="6" t="s">
        <v>54</v>
      </c>
      <c r="H339" s="6">
        <v>3.9</v>
      </c>
      <c r="I339" s="6">
        <f t="shared" si="31"/>
        <v>7991</v>
      </c>
      <c r="J339">
        <f t="shared" si="32"/>
        <v>0.34758590691605046</v>
      </c>
      <c r="K339" s="6">
        <f t="shared" si="33"/>
        <v>-7991</v>
      </c>
      <c r="L339" s="7">
        <f t="shared" si="34"/>
        <v>-0.53276885125675044</v>
      </c>
      <c r="M339" s="6" t="str">
        <f t="shared" si="35"/>
        <v>Medium Ratings</v>
      </c>
      <c r="N339" s="34">
        <f t="array" ref="N339">MEDIAN(_xlfn._xlws.FILTER(Table4[Original Price],Table4[Brand-Renamed] = Table4[[#This Row],[Brand]]))</f>
        <v>34990</v>
      </c>
      <c r="O339" s="35">
        <f t="array" ref="O339">MEDIAN(_xlfn._xlws.FILTER(Table4[Selling Price],Table4[Brand-Renamed] =Table4[[#This Row],[Brand-Renamed]]))</f>
        <v>34990</v>
      </c>
    </row>
    <row r="340" spans="1:15" ht="13.8" x14ac:dyDescent="0.25">
      <c r="A340" s="4" t="s">
        <v>125</v>
      </c>
      <c r="B340" s="4" t="str">
        <f t="shared" si="30"/>
        <v>Samsung</v>
      </c>
      <c r="C340" s="4" t="s">
        <v>8</v>
      </c>
      <c r="D340" s="4">
        <v>48</v>
      </c>
      <c r="E340" s="4">
        <v>49990</v>
      </c>
      <c r="F340" s="4">
        <v>77900</v>
      </c>
      <c r="G340" s="4" t="s">
        <v>56</v>
      </c>
      <c r="H340" s="4">
        <v>3.7</v>
      </c>
      <c r="I340" s="4">
        <f t="shared" si="31"/>
        <v>27910</v>
      </c>
      <c r="J340">
        <f t="shared" si="32"/>
        <v>0.35827984595635431</v>
      </c>
      <c r="K340" s="4">
        <f t="shared" si="33"/>
        <v>-27910</v>
      </c>
      <c r="L340" s="5">
        <f t="shared" si="34"/>
        <v>-0.55831166233246654</v>
      </c>
      <c r="M340" s="4" t="str">
        <f t="shared" si="35"/>
        <v>Bad Ratings</v>
      </c>
      <c r="N340" s="34">
        <f t="array" ref="N340">MEDIAN(_xlfn._xlws.FILTER(Table4[Original Price],Table4[Brand-Renamed] = Table4[[#This Row],[Brand]]))</f>
        <v>100945</v>
      </c>
      <c r="O340" s="35">
        <f t="array" ref="O340">MEDIAN(_xlfn._xlws.FILTER(Table4[Selling Price],Table4[Brand-Renamed] =Table4[[#This Row],[Brand-Renamed]]))</f>
        <v>74490</v>
      </c>
    </row>
    <row r="341" spans="1:15" ht="13.8" x14ac:dyDescent="0.25">
      <c r="A341" s="6" t="s">
        <v>125</v>
      </c>
      <c r="B341" s="4" t="str">
        <f t="shared" si="30"/>
        <v>Samsung</v>
      </c>
      <c r="C341" s="6" t="s">
        <v>32</v>
      </c>
      <c r="D341" s="6">
        <v>75</v>
      </c>
      <c r="E341" s="6">
        <v>159990</v>
      </c>
      <c r="F341" s="6">
        <v>266900</v>
      </c>
      <c r="G341" s="6" t="s">
        <v>56</v>
      </c>
      <c r="H341" s="6"/>
      <c r="I341" s="6">
        <f t="shared" si="31"/>
        <v>106910</v>
      </c>
      <c r="J341">
        <f t="shared" si="32"/>
        <v>0.40056200824278754</v>
      </c>
      <c r="K341" s="6">
        <f t="shared" si="33"/>
        <v>-106910</v>
      </c>
      <c r="L341" s="7">
        <f t="shared" si="34"/>
        <v>-0.66822926432902052</v>
      </c>
      <c r="M341" s="6" t="str">
        <f t="shared" si="35"/>
        <v>Ratings Not Given</v>
      </c>
      <c r="N341" s="34">
        <f t="array" ref="N341">MEDIAN(_xlfn._xlws.FILTER(Table4[Original Price],Table4[Brand-Renamed] = Table4[[#This Row],[Brand]]))</f>
        <v>100945</v>
      </c>
      <c r="O341" s="35">
        <f t="array" ref="O341">MEDIAN(_xlfn._xlws.FILTER(Table4[Selling Price],Table4[Brand-Renamed] =Table4[[#This Row],[Brand-Renamed]]))</f>
        <v>74490</v>
      </c>
    </row>
    <row r="342" spans="1:15" ht="13.8" x14ac:dyDescent="0.25">
      <c r="A342" s="4" t="s">
        <v>124</v>
      </c>
      <c r="B342" s="4" t="str">
        <f t="shared" si="30"/>
        <v>Iffalcon By Tcl</v>
      </c>
      <c r="C342" s="4" t="s">
        <v>29</v>
      </c>
      <c r="D342" s="4">
        <v>65</v>
      </c>
      <c r="E342" s="4">
        <v>156990</v>
      </c>
      <c r="F342" s="4">
        <v>156990</v>
      </c>
      <c r="G342" s="4" t="s">
        <v>54</v>
      </c>
      <c r="H342" s="4"/>
      <c r="I342" s="4">
        <f t="shared" si="31"/>
        <v>0</v>
      </c>
      <c r="J342" t="str">
        <f t="shared" si="32"/>
        <v>Discount Not Applied</v>
      </c>
      <c r="K342" s="4">
        <f t="shared" si="33"/>
        <v>0</v>
      </c>
      <c r="L342" s="5">
        <f t="shared" si="34"/>
        <v>0</v>
      </c>
      <c r="M342" s="4" t="str">
        <f t="shared" si="35"/>
        <v>Ratings Not Given</v>
      </c>
      <c r="N342" s="34">
        <f t="array" ref="N342">MEDIAN(_xlfn._xlws.FILTER(Table4[Original Price],Table4[Brand-Renamed] = Table4[[#This Row],[Brand]]))</f>
        <v>76990</v>
      </c>
      <c r="O342" s="35">
        <f t="array" ref="O342">MEDIAN(_xlfn._xlws.FILTER(Table4[Selling Price],Table4[Brand-Renamed] =Table4[[#This Row],[Brand-Renamed]]))</f>
        <v>36999</v>
      </c>
    </row>
    <row r="343" spans="1:15" ht="13.8" x14ac:dyDescent="0.25">
      <c r="A343" s="6" t="s">
        <v>125</v>
      </c>
      <c r="B343" s="4" t="str">
        <f t="shared" si="30"/>
        <v>Samsung</v>
      </c>
      <c r="C343" s="6" t="s">
        <v>32</v>
      </c>
      <c r="D343" s="6">
        <v>43</v>
      </c>
      <c r="E343" s="6">
        <v>44990</v>
      </c>
      <c r="F343" s="6">
        <v>78000</v>
      </c>
      <c r="G343" s="6" t="s">
        <v>56</v>
      </c>
      <c r="H343" s="6"/>
      <c r="I343" s="6">
        <f t="shared" si="31"/>
        <v>33010</v>
      </c>
      <c r="J343">
        <f t="shared" si="32"/>
        <v>0.42320512820512818</v>
      </c>
      <c r="K343" s="6">
        <f t="shared" si="33"/>
        <v>-33010</v>
      </c>
      <c r="L343" s="7">
        <f t="shared" si="34"/>
        <v>-0.73371860413425205</v>
      </c>
      <c r="M343" s="6" t="str">
        <f t="shared" si="35"/>
        <v>Ratings Not Given</v>
      </c>
      <c r="N343" s="34">
        <f t="array" ref="N343">MEDIAN(_xlfn._xlws.FILTER(Table4[Original Price],Table4[Brand-Renamed] = Table4[[#This Row],[Brand]]))</f>
        <v>100945</v>
      </c>
      <c r="O343" s="35">
        <f t="array" ref="O343">MEDIAN(_xlfn._xlws.FILTER(Table4[Selling Price],Table4[Brand-Renamed] =Table4[[#This Row],[Brand-Renamed]]))</f>
        <v>74490</v>
      </c>
    </row>
    <row r="344" spans="1:15" ht="13.8" x14ac:dyDescent="0.25">
      <c r="A344" s="4" t="s">
        <v>125</v>
      </c>
      <c r="B344" s="4" t="str">
        <f t="shared" si="30"/>
        <v>Samsung</v>
      </c>
      <c r="C344" s="4" t="s">
        <v>29</v>
      </c>
      <c r="D344" s="4">
        <v>65</v>
      </c>
      <c r="E344" s="4">
        <v>162900</v>
      </c>
      <c r="F344" s="4">
        <v>209900</v>
      </c>
      <c r="G344" s="4" t="s">
        <v>56</v>
      </c>
      <c r="H344" s="4"/>
      <c r="I344" s="4">
        <f t="shared" si="31"/>
        <v>47000</v>
      </c>
      <c r="J344">
        <f t="shared" si="32"/>
        <v>0.22391615054787994</v>
      </c>
      <c r="K344" s="4">
        <f t="shared" si="33"/>
        <v>-47000</v>
      </c>
      <c r="L344" s="5">
        <f t="shared" si="34"/>
        <v>-0.28852056476365867</v>
      </c>
      <c r="M344" s="4" t="str">
        <f t="shared" si="35"/>
        <v>Ratings Not Given</v>
      </c>
      <c r="N344" s="34">
        <f t="array" ref="N344">MEDIAN(_xlfn._xlws.FILTER(Table4[Original Price],Table4[Brand-Renamed] = Table4[[#This Row],[Brand]]))</f>
        <v>100945</v>
      </c>
      <c r="O344" s="35">
        <f t="array" ref="O344">MEDIAN(_xlfn._xlws.FILTER(Table4[Selling Price],Table4[Brand-Renamed] =Table4[[#This Row],[Brand-Renamed]]))</f>
        <v>74490</v>
      </c>
    </row>
    <row r="345" spans="1:15" ht="13.8" x14ac:dyDescent="0.25">
      <c r="A345" s="6" t="s">
        <v>125</v>
      </c>
      <c r="B345" s="4" t="str">
        <f t="shared" si="30"/>
        <v>Samsung</v>
      </c>
      <c r="C345" s="6" t="s">
        <v>32</v>
      </c>
      <c r="D345" s="6">
        <v>55</v>
      </c>
      <c r="E345" s="6">
        <v>145900</v>
      </c>
      <c r="F345" s="6">
        <v>145900</v>
      </c>
      <c r="G345" s="6" t="s">
        <v>56</v>
      </c>
      <c r="H345" s="6">
        <v>4.8</v>
      </c>
      <c r="I345" s="6">
        <f t="shared" si="31"/>
        <v>0</v>
      </c>
      <c r="J345" t="str">
        <f t="shared" si="32"/>
        <v>Discount Not Applied</v>
      </c>
      <c r="K345" s="6">
        <f t="shared" si="33"/>
        <v>0</v>
      </c>
      <c r="L345" s="7">
        <f t="shared" si="34"/>
        <v>0</v>
      </c>
      <c r="M345" s="6" t="str">
        <f t="shared" si="35"/>
        <v>Good Ratings</v>
      </c>
      <c r="N345" s="34">
        <f t="array" ref="N345">MEDIAN(_xlfn._xlws.FILTER(Table4[Original Price],Table4[Brand-Renamed] = Table4[[#This Row],[Brand]]))</f>
        <v>100945</v>
      </c>
      <c r="O345" s="35">
        <f t="array" ref="O345">MEDIAN(_xlfn._xlws.FILTER(Table4[Selling Price],Table4[Brand-Renamed] =Table4[[#This Row],[Brand-Renamed]]))</f>
        <v>74490</v>
      </c>
    </row>
    <row r="346" spans="1:15" ht="13.8" x14ac:dyDescent="0.25">
      <c r="A346" s="4" t="s">
        <v>122</v>
      </c>
      <c r="B346" s="4" t="str">
        <f t="shared" si="30"/>
        <v xml:space="preserve">Lg </v>
      </c>
      <c r="C346" s="4" t="s">
        <v>32</v>
      </c>
      <c r="D346" s="4">
        <v>65</v>
      </c>
      <c r="E346" s="4">
        <v>109999</v>
      </c>
      <c r="F346" s="4">
        <v>209990</v>
      </c>
      <c r="G346" s="4" t="s">
        <v>58</v>
      </c>
      <c r="H346" s="4">
        <v>5</v>
      </c>
      <c r="I346" s="4">
        <f t="shared" si="31"/>
        <v>99991</v>
      </c>
      <c r="J346">
        <f t="shared" si="32"/>
        <v>0.47617029382351539</v>
      </c>
      <c r="K346" s="4">
        <f t="shared" si="33"/>
        <v>-99991</v>
      </c>
      <c r="L346" s="5">
        <f t="shared" si="34"/>
        <v>-0.90901735470322453</v>
      </c>
      <c r="M346" s="4" t="str">
        <f t="shared" si="35"/>
        <v>Good Ratings</v>
      </c>
      <c r="N346" s="34">
        <f t="array" ref="N346">MEDIAN(_xlfn._xlws.FILTER(Table4[Original Price],Table4[Brand-Renamed] = Table4[[#This Row],[Brand]]))</f>
        <v>98990</v>
      </c>
      <c r="O346" s="35">
        <f t="array" ref="O346">MEDIAN(_xlfn._xlws.FILTER(Table4[Selling Price],Table4[Brand-Renamed] =Table4[[#This Row],[Brand-Renamed]]))</f>
        <v>76737</v>
      </c>
    </row>
    <row r="347" spans="1:15" ht="13.8" x14ac:dyDescent="0.25">
      <c r="A347" s="6" t="s">
        <v>48</v>
      </c>
      <c r="B347" s="4" t="str">
        <f t="shared" si="30"/>
        <v>Dyanora</v>
      </c>
      <c r="C347" s="6" t="s">
        <v>32</v>
      </c>
      <c r="D347" s="6">
        <v>50</v>
      </c>
      <c r="E347" s="6">
        <v>27599</v>
      </c>
      <c r="F347" s="6">
        <v>40999</v>
      </c>
      <c r="G347" s="6" t="s">
        <v>54</v>
      </c>
      <c r="H347" s="6"/>
      <c r="I347" s="6">
        <f t="shared" si="31"/>
        <v>13400</v>
      </c>
      <c r="J347">
        <f t="shared" si="32"/>
        <v>0.32683723993268127</v>
      </c>
      <c r="K347" s="6">
        <f t="shared" si="33"/>
        <v>-13400</v>
      </c>
      <c r="L347" s="7">
        <f t="shared" si="34"/>
        <v>-0.48552483785644407</v>
      </c>
      <c r="M347" s="6" t="str">
        <f t="shared" si="35"/>
        <v>Ratings Not Given</v>
      </c>
      <c r="N347" s="34">
        <f t="array" ref="N347">MEDIAN(_xlfn._xlws.FILTER(Table4[Original Price],Table4[Brand-Renamed] = Table4[[#This Row],[Brand]]))</f>
        <v>21499</v>
      </c>
      <c r="O347" s="35">
        <f t="array" ref="O347">MEDIAN(_xlfn._xlws.FILTER(Table4[Selling Price],Table4[Brand-Renamed] =Table4[[#This Row],[Brand-Renamed]]))</f>
        <v>13999</v>
      </c>
    </row>
    <row r="348" spans="1:15" ht="13.8" x14ac:dyDescent="0.25">
      <c r="A348" s="4" t="s">
        <v>132</v>
      </c>
      <c r="B348" s="4" t="str">
        <f t="shared" si="30"/>
        <v xml:space="preserve">Impex </v>
      </c>
      <c r="C348" s="4" t="s">
        <v>19</v>
      </c>
      <c r="D348" s="4">
        <v>32</v>
      </c>
      <c r="E348" s="4">
        <v>28690</v>
      </c>
      <c r="F348" s="4">
        <v>28690</v>
      </c>
      <c r="G348" s="4" t="s">
        <v>62</v>
      </c>
      <c r="H348" s="4"/>
      <c r="I348" s="4">
        <f t="shared" si="31"/>
        <v>0</v>
      </c>
      <c r="J348" t="str">
        <f t="shared" si="32"/>
        <v>Discount Not Applied</v>
      </c>
      <c r="K348" s="4">
        <f t="shared" si="33"/>
        <v>0</v>
      </c>
      <c r="L348" s="5">
        <f t="shared" si="34"/>
        <v>0</v>
      </c>
      <c r="M348" s="4" t="str">
        <f t="shared" si="35"/>
        <v>Ratings Not Given</v>
      </c>
      <c r="N348" s="34">
        <f t="array" ref="N348">MEDIAN(_xlfn._xlws.FILTER(Table4[Original Price],Table4[Brand-Renamed] = Table4[[#This Row],[Brand]]))</f>
        <v>32039</v>
      </c>
      <c r="O348" s="35">
        <f t="array" ref="O348">MEDIAN(_xlfn._xlws.FILTER(Table4[Selling Price],Table4[Brand-Renamed] =Table4[[#This Row],[Brand-Renamed]]))</f>
        <v>28690</v>
      </c>
    </row>
    <row r="349" spans="1:15" ht="13.8" x14ac:dyDescent="0.25">
      <c r="A349" s="6" t="s">
        <v>125</v>
      </c>
      <c r="B349" s="4" t="str">
        <f t="shared" si="30"/>
        <v>Samsung</v>
      </c>
      <c r="C349" s="6" t="s">
        <v>32</v>
      </c>
      <c r="D349" s="6">
        <v>43</v>
      </c>
      <c r="E349" s="6">
        <v>89850</v>
      </c>
      <c r="F349" s="6">
        <v>89850</v>
      </c>
      <c r="G349" s="6" t="s">
        <v>56</v>
      </c>
      <c r="H349" s="6">
        <v>4.0999999999999996</v>
      </c>
      <c r="I349" s="6">
        <f t="shared" si="31"/>
        <v>0</v>
      </c>
      <c r="J349" t="str">
        <f t="shared" si="32"/>
        <v>Discount Not Applied</v>
      </c>
      <c r="K349" s="6">
        <f t="shared" si="33"/>
        <v>0</v>
      </c>
      <c r="L349" s="7">
        <f t="shared" si="34"/>
        <v>0</v>
      </c>
      <c r="M349" s="6" t="str">
        <f t="shared" si="35"/>
        <v>Medium Ratings</v>
      </c>
      <c r="N349" s="34">
        <f t="array" ref="N349">MEDIAN(_xlfn._xlws.FILTER(Table4[Original Price],Table4[Brand-Renamed] = Table4[[#This Row],[Brand]]))</f>
        <v>100945</v>
      </c>
      <c r="O349" s="35">
        <f t="array" ref="O349">MEDIAN(_xlfn._xlws.FILTER(Table4[Selling Price],Table4[Brand-Renamed] =Table4[[#This Row],[Brand-Renamed]]))</f>
        <v>74490</v>
      </c>
    </row>
    <row r="350" spans="1:15" ht="13.8" x14ac:dyDescent="0.25">
      <c r="A350" s="4" t="s">
        <v>122</v>
      </c>
      <c r="B350" s="4" t="str">
        <f t="shared" si="30"/>
        <v xml:space="preserve">Lg </v>
      </c>
      <c r="C350" s="4" t="s">
        <v>32</v>
      </c>
      <c r="D350" s="4">
        <v>65</v>
      </c>
      <c r="E350" s="4">
        <v>349999</v>
      </c>
      <c r="F350" s="4">
        <v>499990</v>
      </c>
      <c r="G350" s="4" t="s">
        <v>58</v>
      </c>
      <c r="H350" s="4"/>
      <c r="I350" s="4">
        <f t="shared" si="31"/>
        <v>149991</v>
      </c>
      <c r="J350">
        <f t="shared" si="32"/>
        <v>0.29998799975999518</v>
      </c>
      <c r="K350" s="4">
        <f t="shared" si="33"/>
        <v>-149991</v>
      </c>
      <c r="L350" s="5">
        <f t="shared" si="34"/>
        <v>-0.42854693870553917</v>
      </c>
      <c r="M350" s="4" t="str">
        <f t="shared" si="35"/>
        <v>Ratings Not Given</v>
      </c>
      <c r="N350" s="34">
        <f t="array" ref="N350">MEDIAN(_xlfn._xlws.FILTER(Table4[Original Price],Table4[Brand-Renamed] = Table4[[#This Row],[Brand]]))</f>
        <v>98990</v>
      </c>
      <c r="O350" s="35">
        <f t="array" ref="O350">MEDIAN(_xlfn._xlws.FILTER(Table4[Selling Price],Table4[Brand-Renamed] =Table4[[#This Row],[Brand-Renamed]]))</f>
        <v>76737</v>
      </c>
    </row>
    <row r="351" spans="1:15" ht="13.8" x14ac:dyDescent="0.25">
      <c r="A351" s="6" t="s">
        <v>125</v>
      </c>
      <c r="B351" s="4" t="str">
        <f t="shared" si="30"/>
        <v>Samsung</v>
      </c>
      <c r="C351" s="6" t="s">
        <v>29</v>
      </c>
      <c r="D351" s="6">
        <v>55</v>
      </c>
      <c r="E351" s="6">
        <v>139990</v>
      </c>
      <c r="F351" s="6">
        <v>209900</v>
      </c>
      <c r="G351" s="6" t="s">
        <v>56</v>
      </c>
      <c r="H351" s="6"/>
      <c r="I351" s="6">
        <f t="shared" si="31"/>
        <v>69910</v>
      </c>
      <c r="J351">
        <f t="shared" si="32"/>
        <v>0.33306336350643162</v>
      </c>
      <c r="K351" s="6">
        <f t="shared" si="33"/>
        <v>-69910</v>
      </c>
      <c r="L351" s="7">
        <f t="shared" si="34"/>
        <v>-0.49939281377241229</v>
      </c>
      <c r="M351" s="6" t="str">
        <f t="shared" si="35"/>
        <v>Ratings Not Given</v>
      </c>
      <c r="N351" s="34">
        <f t="array" ref="N351">MEDIAN(_xlfn._xlws.FILTER(Table4[Original Price],Table4[Brand-Renamed] = Table4[[#This Row],[Brand]]))</f>
        <v>100945</v>
      </c>
      <c r="O351" s="35">
        <f t="array" ref="O351">MEDIAN(_xlfn._xlws.FILTER(Table4[Selling Price],Table4[Brand-Renamed] =Table4[[#This Row],[Brand-Renamed]]))</f>
        <v>74490</v>
      </c>
    </row>
    <row r="352" spans="1:15" ht="13.8" x14ac:dyDescent="0.25">
      <c r="A352" s="4" t="s">
        <v>126</v>
      </c>
      <c r="B352" s="4" t="str">
        <f t="shared" si="30"/>
        <v xml:space="preserve">Sony </v>
      </c>
      <c r="C352" s="4" t="s">
        <v>32</v>
      </c>
      <c r="D352" s="4">
        <v>65</v>
      </c>
      <c r="E352" s="4">
        <v>142499</v>
      </c>
      <c r="F352" s="4">
        <v>199900</v>
      </c>
      <c r="G352" s="4" t="s">
        <v>54</v>
      </c>
      <c r="H352" s="4"/>
      <c r="I352" s="4">
        <f t="shared" si="31"/>
        <v>57401</v>
      </c>
      <c r="J352">
        <f t="shared" si="32"/>
        <v>0.28714857428714358</v>
      </c>
      <c r="K352" s="4">
        <f t="shared" si="33"/>
        <v>-57401</v>
      </c>
      <c r="L352" s="5">
        <f t="shared" si="34"/>
        <v>-0.40281686187271487</v>
      </c>
      <c r="M352" s="4" t="str">
        <f t="shared" si="35"/>
        <v>Ratings Not Given</v>
      </c>
      <c r="N352" s="34">
        <f t="array" ref="N352">MEDIAN(_xlfn._xlws.FILTER(Table4[Original Price],Table4[Brand-Renamed] = Table4[[#This Row],[Brand]]))</f>
        <v>87400</v>
      </c>
      <c r="O352" s="35">
        <f t="array" ref="O352">MEDIAN(_xlfn._xlws.FILTER(Table4[Selling Price],Table4[Brand-Renamed] =Table4[[#This Row],[Brand-Renamed]]))</f>
        <v>64294.5</v>
      </c>
    </row>
    <row r="353" spans="1:15" ht="13.8" x14ac:dyDescent="0.25">
      <c r="A353" s="6" t="s">
        <v>125</v>
      </c>
      <c r="B353" s="4" t="str">
        <f t="shared" si="30"/>
        <v>Samsung</v>
      </c>
      <c r="C353" s="6" t="s">
        <v>32</v>
      </c>
      <c r="D353" s="6">
        <v>65</v>
      </c>
      <c r="E353" s="6">
        <v>167199</v>
      </c>
      <c r="F353" s="6">
        <v>269900</v>
      </c>
      <c r="G353" s="6" t="s">
        <v>56</v>
      </c>
      <c r="H353" s="6"/>
      <c r="I353" s="6">
        <f t="shared" si="31"/>
        <v>102701</v>
      </c>
      <c r="J353">
        <f t="shared" si="32"/>
        <v>0.38051500555761392</v>
      </c>
      <c r="K353" s="6">
        <f t="shared" si="33"/>
        <v>-102701</v>
      </c>
      <c r="L353" s="7">
        <f t="shared" si="34"/>
        <v>-0.61424410433076748</v>
      </c>
      <c r="M353" s="6" t="str">
        <f t="shared" si="35"/>
        <v>Ratings Not Given</v>
      </c>
      <c r="N353" s="34">
        <f t="array" ref="N353">MEDIAN(_xlfn._xlws.FILTER(Table4[Original Price],Table4[Brand-Renamed] = Table4[[#This Row],[Brand]]))</f>
        <v>100945</v>
      </c>
      <c r="O353" s="35">
        <f t="array" ref="O353">MEDIAN(_xlfn._xlws.FILTER(Table4[Selling Price],Table4[Brand-Renamed] =Table4[[#This Row],[Brand-Renamed]]))</f>
        <v>74490</v>
      </c>
    </row>
    <row r="354" spans="1:15" ht="13.8" x14ac:dyDescent="0.25">
      <c r="A354" s="4" t="s">
        <v>132</v>
      </c>
      <c r="B354" s="4" t="str">
        <f t="shared" si="30"/>
        <v xml:space="preserve">Impex </v>
      </c>
      <c r="C354" s="4" t="s">
        <v>19</v>
      </c>
      <c r="D354" s="4">
        <v>39</v>
      </c>
      <c r="E354" s="4">
        <v>29079</v>
      </c>
      <c r="F354" s="4">
        <v>39990</v>
      </c>
      <c r="G354" s="4" t="s">
        <v>62</v>
      </c>
      <c r="H354" s="4">
        <v>4.2</v>
      </c>
      <c r="I354" s="4">
        <f t="shared" si="31"/>
        <v>10911</v>
      </c>
      <c r="J354">
        <f t="shared" si="32"/>
        <v>0.27284321080270069</v>
      </c>
      <c r="K354" s="4">
        <f t="shared" si="33"/>
        <v>-10911</v>
      </c>
      <c r="L354" s="5">
        <f t="shared" si="34"/>
        <v>-0.37521923037243371</v>
      </c>
      <c r="M354" s="4" t="str">
        <f t="shared" si="35"/>
        <v>Medium Ratings</v>
      </c>
      <c r="N354" s="34">
        <f t="array" ref="N354">MEDIAN(_xlfn._xlws.FILTER(Table4[Original Price],Table4[Brand-Renamed] = Table4[[#This Row],[Brand]]))</f>
        <v>32039</v>
      </c>
      <c r="O354" s="35">
        <f t="array" ref="O354">MEDIAN(_xlfn._xlws.FILTER(Table4[Selling Price],Table4[Brand-Renamed] =Table4[[#This Row],[Brand-Renamed]]))</f>
        <v>28690</v>
      </c>
    </row>
    <row r="355" spans="1:15" ht="13.8" x14ac:dyDescent="0.25">
      <c r="A355" s="6" t="s">
        <v>122</v>
      </c>
      <c r="B355" s="4" t="str">
        <f t="shared" si="30"/>
        <v xml:space="preserve">Lg </v>
      </c>
      <c r="C355" s="6" t="s">
        <v>32</v>
      </c>
      <c r="D355" s="6">
        <v>49</v>
      </c>
      <c r="E355" s="6">
        <v>120989</v>
      </c>
      <c r="F355" s="6">
        <v>120990</v>
      </c>
      <c r="G355" s="6" t="s">
        <v>58</v>
      </c>
      <c r="H355" s="6">
        <v>4.4000000000000004</v>
      </c>
      <c r="I355" s="6">
        <f t="shared" si="31"/>
        <v>1</v>
      </c>
      <c r="J355">
        <f t="shared" si="32"/>
        <v>8.2651458798247788E-6</v>
      </c>
      <c r="K355" s="6">
        <f t="shared" si="33"/>
        <v>-1</v>
      </c>
      <c r="L355" s="7">
        <f t="shared" si="34"/>
        <v>-8.2652141930258118E-6</v>
      </c>
      <c r="M355" s="6" t="str">
        <f t="shared" si="35"/>
        <v>Medium Ratings</v>
      </c>
      <c r="N355" s="34">
        <f t="array" ref="N355">MEDIAN(_xlfn._xlws.FILTER(Table4[Original Price],Table4[Brand-Renamed] = Table4[[#This Row],[Brand]]))</f>
        <v>98990</v>
      </c>
      <c r="O355" s="35">
        <f t="array" ref="O355">MEDIAN(_xlfn._xlws.FILTER(Table4[Selling Price],Table4[Brand-Renamed] =Table4[[#This Row],[Brand-Renamed]]))</f>
        <v>76737</v>
      </c>
    </row>
    <row r="356" spans="1:15" ht="13.8" x14ac:dyDescent="0.25">
      <c r="A356" s="4" t="s">
        <v>45</v>
      </c>
      <c r="B356" s="4" t="str">
        <f t="shared" si="30"/>
        <v xml:space="preserve">Croma </v>
      </c>
      <c r="C356" s="4" t="s">
        <v>8</v>
      </c>
      <c r="D356" s="4">
        <v>43</v>
      </c>
      <c r="E356" s="4">
        <v>31990</v>
      </c>
      <c r="F356" s="4">
        <v>40000</v>
      </c>
      <c r="G356" s="4" t="s">
        <v>54</v>
      </c>
      <c r="H356" s="4"/>
      <c r="I356" s="4">
        <f t="shared" si="31"/>
        <v>8010</v>
      </c>
      <c r="J356">
        <f t="shared" si="32"/>
        <v>0.20025000000000001</v>
      </c>
      <c r="K356" s="4">
        <f t="shared" si="33"/>
        <v>-8010</v>
      </c>
      <c r="L356" s="5">
        <f t="shared" si="34"/>
        <v>-0.25039074710847142</v>
      </c>
      <c r="M356" s="4" t="str">
        <f t="shared" si="35"/>
        <v>Ratings Not Given</v>
      </c>
      <c r="N356" s="34">
        <f t="array" ref="N356">MEDIAN(_xlfn._xlws.FILTER(Table4[Original Price],Table4[Brand-Renamed] = Table4[[#This Row],[Brand]]))</f>
        <v>25000</v>
      </c>
      <c r="O356" s="35">
        <f t="array" ref="O356">MEDIAN(_xlfn._xlws.FILTER(Table4[Selling Price],Table4[Brand-Renamed] =Table4[[#This Row],[Brand-Renamed]]))</f>
        <v>17740</v>
      </c>
    </row>
    <row r="357" spans="1:15" ht="13.8" x14ac:dyDescent="0.25">
      <c r="A357" s="6" t="s">
        <v>126</v>
      </c>
      <c r="B357" s="4" t="str">
        <f t="shared" si="30"/>
        <v xml:space="preserve">Sony </v>
      </c>
      <c r="C357" s="6" t="s">
        <v>32</v>
      </c>
      <c r="D357" s="6">
        <v>43</v>
      </c>
      <c r="E357" s="6">
        <v>63990</v>
      </c>
      <c r="F357" s="6">
        <v>72900</v>
      </c>
      <c r="G357" s="6" t="s">
        <v>60</v>
      </c>
      <c r="H357" s="6">
        <v>4.4000000000000004</v>
      </c>
      <c r="I357" s="6">
        <f t="shared" si="31"/>
        <v>8910</v>
      </c>
      <c r="J357">
        <f t="shared" si="32"/>
        <v>0.12222222222222222</v>
      </c>
      <c r="K357" s="6">
        <f t="shared" si="33"/>
        <v>-8910</v>
      </c>
      <c r="L357" s="7">
        <f t="shared" si="34"/>
        <v>-0.13924050632911392</v>
      </c>
      <c r="M357" s="6" t="str">
        <f t="shared" si="35"/>
        <v>Medium Ratings</v>
      </c>
      <c r="N357" s="34">
        <f t="array" ref="N357">MEDIAN(_xlfn._xlws.FILTER(Table4[Original Price],Table4[Brand-Renamed] = Table4[[#This Row],[Brand]]))</f>
        <v>87400</v>
      </c>
      <c r="O357" s="35">
        <f t="array" ref="O357">MEDIAN(_xlfn._xlws.FILTER(Table4[Selling Price],Table4[Brand-Renamed] =Table4[[#This Row],[Brand-Renamed]]))</f>
        <v>64294.5</v>
      </c>
    </row>
    <row r="358" spans="1:15" ht="13.8" x14ac:dyDescent="0.25">
      <c r="A358" s="4" t="s">
        <v>125</v>
      </c>
      <c r="B358" s="4" t="str">
        <f t="shared" si="30"/>
        <v>Samsung</v>
      </c>
      <c r="C358" s="4" t="s">
        <v>29</v>
      </c>
      <c r="D358" s="4">
        <v>55</v>
      </c>
      <c r="E358" s="4">
        <v>105990</v>
      </c>
      <c r="F358" s="4">
        <v>162900</v>
      </c>
      <c r="G358" s="4" t="s">
        <v>56</v>
      </c>
      <c r="H358" s="4"/>
      <c r="I358" s="4">
        <f t="shared" si="31"/>
        <v>56910</v>
      </c>
      <c r="J358">
        <f t="shared" si="32"/>
        <v>0.34935543278084713</v>
      </c>
      <c r="K358" s="4">
        <f t="shared" si="33"/>
        <v>-56910</v>
      </c>
      <c r="L358" s="5">
        <f t="shared" si="34"/>
        <v>-0.53693744692895551</v>
      </c>
      <c r="M358" s="4" t="str">
        <f t="shared" si="35"/>
        <v>Ratings Not Given</v>
      </c>
      <c r="N358" s="34">
        <f t="array" ref="N358">MEDIAN(_xlfn._xlws.FILTER(Table4[Original Price],Table4[Brand-Renamed] = Table4[[#This Row],[Brand]]))</f>
        <v>100945</v>
      </c>
      <c r="O358" s="35">
        <f t="array" ref="O358">MEDIAN(_xlfn._xlws.FILTER(Table4[Selling Price],Table4[Brand-Renamed] =Table4[[#This Row],[Brand-Renamed]]))</f>
        <v>74490</v>
      </c>
    </row>
    <row r="359" spans="1:15" ht="13.8" x14ac:dyDescent="0.25">
      <c r="A359" s="6" t="s">
        <v>132</v>
      </c>
      <c r="B359" s="4" t="str">
        <f t="shared" si="30"/>
        <v xml:space="preserve">Impex </v>
      </c>
      <c r="C359" s="6" t="s">
        <v>19</v>
      </c>
      <c r="D359" s="6">
        <v>40</v>
      </c>
      <c r="E359" s="6">
        <v>28399</v>
      </c>
      <c r="F359" s="6">
        <v>45990</v>
      </c>
      <c r="G359" s="6" t="s">
        <v>62</v>
      </c>
      <c r="H359" s="6"/>
      <c r="I359" s="6">
        <f t="shared" si="31"/>
        <v>17591</v>
      </c>
      <c r="J359">
        <f t="shared" si="32"/>
        <v>0.38249619482496194</v>
      </c>
      <c r="K359" s="6">
        <f t="shared" si="33"/>
        <v>-17591</v>
      </c>
      <c r="L359" s="7">
        <f t="shared" si="34"/>
        <v>-0.61942321912743403</v>
      </c>
      <c r="M359" s="6" t="str">
        <f t="shared" si="35"/>
        <v>Ratings Not Given</v>
      </c>
      <c r="N359" s="34">
        <f t="array" ref="N359">MEDIAN(_xlfn._xlws.FILTER(Table4[Original Price],Table4[Brand-Renamed] = Table4[[#This Row],[Brand]]))</f>
        <v>32039</v>
      </c>
      <c r="O359" s="35">
        <f t="array" ref="O359">MEDIAN(_xlfn._xlws.FILTER(Table4[Selling Price],Table4[Brand-Renamed] =Table4[[#This Row],[Brand-Renamed]]))</f>
        <v>28690</v>
      </c>
    </row>
    <row r="360" spans="1:15" ht="13.8" x14ac:dyDescent="0.25">
      <c r="A360" s="4" t="s">
        <v>15</v>
      </c>
      <c r="B360" s="4" t="str">
        <f t="shared" si="30"/>
        <v>Vu</v>
      </c>
      <c r="C360" s="4" t="s">
        <v>29</v>
      </c>
      <c r="D360" s="4">
        <v>85</v>
      </c>
      <c r="E360" s="4">
        <v>259999</v>
      </c>
      <c r="F360" s="4">
        <v>350000</v>
      </c>
      <c r="G360" s="4" t="s">
        <v>54</v>
      </c>
      <c r="H360" s="4">
        <v>4.4000000000000004</v>
      </c>
      <c r="I360" s="4">
        <f t="shared" si="31"/>
        <v>90001</v>
      </c>
      <c r="J360">
        <f t="shared" si="32"/>
        <v>0.25714571428571431</v>
      </c>
      <c r="K360" s="4">
        <f t="shared" si="33"/>
        <v>-90001</v>
      </c>
      <c r="L360" s="5">
        <f t="shared" si="34"/>
        <v>-0.34615902368855267</v>
      </c>
      <c r="M360" s="4" t="str">
        <f t="shared" si="35"/>
        <v>Medium Ratings</v>
      </c>
      <c r="N360" s="34">
        <f t="array" ref="N360">MEDIAN(_xlfn._xlws.FILTER(Table4[Original Price],Table4[Brand-Renamed] = Table4[[#This Row],[Brand]]))</f>
        <v>49990</v>
      </c>
      <c r="O360" s="35">
        <f t="array" ref="O360">MEDIAN(_xlfn._xlws.FILTER(Table4[Selling Price],Table4[Brand-Renamed] =Table4[[#This Row],[Brand-Renamed]]))</f>
        <v>30999</v>
      </c>
    </row>
    <row r="361" spans="1:15" ht="13.8" x14ac:dyDescent="0.25">
      <c r="A361" s="6" t="s">
        <v>125</v>
      </c>
      <c r="B361" s="4" t="str">
        <f t="shared" si="30"/>
        <v>Samsung</v>
      </c>
      <c r="C361" s="6" t="s">
        <v>32</v>
      </c>
      <c r="D361" s="6">
        <v>55</v>
      </c>
      <c r="E361" s="6">
        <v>154900</v>
      </c>
      <c r="F361" s="6">
        <v>154900</v>
      </c>
      <c r="G361" s="6" t="s">
        <v>56</v>
      </c>
      <c r="H361" s="6">
        <v>5</v>
      </c>
      <c r="I361" s="6">
        <f t="shared" si="31"/>
        <v>0</v>
      </c>
      <c r="J361" t="str">
        <f t="shared" si="32"/>
        <v>Discount Not Applied</v>
      </c>
      <c r="K361" s="6">
        <f t="shared" si="33"/>
        <v>0</v>
      </c>
      <c r="L361" s="7">
        <f t="shared" si="34"/>
        <v>0</v>
      </c>
      <c r="M361" s="6" t="str">
        <f t="shared" si="35"/>
        <v>Good Ratings</v>
      </c>
      <c r="N361" s="34">
        <f t="array" ref="N361">MEDIAN(_xlfn._xlws.FILTER(Table4[Original Price],Table4[Brand-Renamed] = Table4[[#This Row],[Brand]]))</f>
        <v>100945</v>
      </c>
      <c r="O361" s="35">
        <f t="array" ref="O361">MEDIAN(_xlfn._xlws.FILTER(Table4[Selling Price],Table4[Brand-Renamed] =Table4[[#This Row],[Brand-Renamed]]))</f>
        <v>74490</v>
      </c>
    </row>
    <row r="362" spans="1:15" ht="13.8" x14ac:dyDescent="0.25">
      <c r="A362" s="4" t="s">
        <v>41</v>
      </c>
      <c r="B362" s="4" t="str">
        <f t="shared" si="30"/>
        <v xml:space="preserve">Candes </v>
      </c>
      <c r="C362" s="4" t="s">
        <v>8</v>
      </c>
      <c r="D362" s="4">
        <v>40</v>
      </c>
      <c r="E362" s="4">
        <v>15999</v>
      </c>
      <c r="F362" s="4">
        <v>29990</v>
      </c>
      <c r="G362" s="4" t="s">
        <v>54</v>
      </c>
      <c r="H362" s="4">
        <v>4.0999999999999996</v>
      </c>
      <c r="I362" s="4">
        <f t="shared" si="31"/>
        <v>13991</v>
      </c>
      <c r="J362">
        <f t="shared" si="32"/>
        <v>0.46652217405801932</v>
      </c>
      <c r="K362" s="4">
        <f t="shared" si="33"/>
        <v>-13991</v>
      </c>
      <c r="L362" s="5">
        <f t="shared" si="34"/>
        <v>-0.87449215575973493</v>
      </c>
      <c r="M362" s="4" t="str">
        <f t="shared" si="35"/>
        <v>Medium Ratings</v>
      </c>
      <c r="N362" s="34">
        <f t="array" ref="N362">MEDIAN(_xlfn._xlws.FILTER(Table4[Original Price],Table4[Brand-Renamed] = Table4[[#This Row],[Brand]]))</f>
        <v>26340</v>
      </c>
      <c r="O362" s="35">
        <f t="array" ref="O362">MEDIAN(_xlfn._xlws.FILTER(Table4[Selling Price],Table4[Brand-Renamed] =Table4[[#This Row],[Brand-Renamed]]))</f>
        <v>13649</v>
      </c>
    </row>
    <row r="363" spans="1:15" ht="13.8" x14ac:dyDescent="0.25">
      <c r="A363" s="6" t="s">
        <v>126</v>
      </c>
      <c r="B363" s="4" t="str">
        <f t="shared" si="30"/>
        <v xml:space="preserve">Sony </v>
      </c>
      <c r="C363" s="6" t="s">
        <v>32</v>
      </c>
      <c r="D363" s="6">
        <v>50</v>
      </c>
      <c r="E363" s="6">
        <v>72715</v>
      </c>
      <c r="F363" s="6">
        <v>92900</v>
      </c>
      <c r="G363" s="6" t="s">
        <v>54</v>
      </c>
      <c r="H363" s="6"/>
      <c r="I363" s="6">
        <f t="shared" si="31"/>
        <v>20185</v>
      </c>
      <c r="J363">
        <f t="shared" si="32"/>
        <v>0.21727664155005383</v>
      </c>
      <c r="K363" s="6">
        <f t="shared" si="33"/>
        <v>-20185</v>
      </c>
      <c r="L363" s="7">
        <f t="shared" si="34"/>
        <v>-0.27759059341263836</v>
      </c>
      <c r="M363" s="6" t="str">
        <f t="shared" si="35"/>
        <v>Ratings Not Given</v>
      </c>
      <c r="N363" s="34">
        <f t="array" ref="N363">MEDIAN(_xlfn._xlws.FILTER(Table4[Original Price],Table4[Brand-Renamed] = Table4[[#This Row],[Brand]]))</f>
        <v>87400</v>
      </c>
      <c r="O363" s="35">
        <f t="array" ref="O363">MEDIAN(_xlfn._xlws.FILTER(Table4[Selling Price],Table4[Brand-Renamed] =Table4[[#This Row],[Brand-Renamed]]))</f>
        <v>64294.5</v>
      </c>
    </row>
    <row r="364" spans="1:15" ht="13.8" x14ac:dyDescent="0.25">
      <c r="A364" s="4" t="s">
        <v>125</v>
      </c>
      <c r="B364" s="4" t="str">
        <f t="shared" si="30"/>
        <v>Samsung</v>
      </c>
      <c r="C364" s="4" t="s">
        <v>8</v>
      </c>
      <c r="D364" s="4">
        <v>49</v>
      </c>
      <c r="E364" s="4">
        <v>65999</v>
      </c>
      <c r="F364" s="4">
        <v>82500</v>
      </c>
      <c r="G364" s="4" t="s">
        <v>56</v>
      </c>
      <c r="H364" s="4">
        <v>4.3</v>
      </c>
      <c r="I364" s="4">
        <f t="shared" si="31"/>
        <v>16501</v>
      </c>
      <c r="J364">
        <f t="shared" si="32"/>
        <v>0.20001212121212122</v>
      </c>
      <c r="K364" s="4">
        <f t="shared" si="33"/>
        <v>-16501</v>
      </c>
      <c r="L364" s="5">
        <f t="shared" si="34"/>
        <v>-0.25001893968090427</v>
      </c>
      <c r="M364" s="4" t="str">
        <f t="shared" si="35"/>
        <v>Medium Ratings</v>
      </c>
      <c r="N364" s="34">
        <f t="array" ref="N364">MEDIAN(_xlfn._xlws.FILTER(Table4[Original Price],Table4[Brand-Renamed] = Table4[[#This Row],[Brand]]))</f>
        <v>100945</v>
      </c>
      <c r="O364" s="35">
        <f t="array" ref="O364">MEDIAN(_xlfn._xlws.FILTER(Table4[Selling Price],Table4[Brand-Renamed] =Table4[[#This Row],[Brand-Renamed]]))</f>
        <v>74490</v>
      </c>
    </row>
    <row r="365" spans="1:15" ht="13.8" x14ac:dyDescent="0.25">
      <c r="A365" s="6" t="s">
        <v>125</v>
      </c>
      <c r="B365" s="4" t="str">
        <f t="shared" si="30"/>
        <v>Samsung</v>
      </c>
      <c r="C365" s="6" t="s">
        <v>29</v>
      </c>
      <c r="D365" s="6">
        <v>65</v>
      </c>
      <c r="E365" s="6">
        <v>144900</v>
      </c>
      <c r="F365" s="6">
        <v>229990</v>
      </c>
      <c r="G365" s="6" t="s">
        <v>56</v>
      </c>
      <c r="H365" s="6"/>
      <c r="I365" s="6">
        <f t="shared" si="31"/>
        <v>85090</v>
      </c>
      <c r="J365">
        <f t="shared" si="32"/>
        <v>0.36997260750467409</v>
      </c>
      <c r="K365" s="6">
        <f t="shared" si="33"/>
        <v>-85090</v>
      </c>
      <c r="L365" s="7">
        <f t="shared" si="34"/>
        <v>-0.58723257418909591</v>
      </c>
      <c r="M365" s="6" t="str">
        <f t="shared" si="35"/>
        <v>Ratings Not Given</v>
      </c>
      <c r="N365" s="34">
        <f t="array" ref="N365">MEDIAN(_xlfn._xlws.FILTER(Table4[Original Price],Table4[Brand-Renamed] = Table4[[#This Row],[Brand]]))</f>
        <v>100945</v>
      </c>
      <c r="O365" s="35">
        <f t="array" ref="O365">MEDIAN(_xlfn._xlws.FILTER(Table4[Selling Price],Table4[Brand-Renamed] =Table4[[#This Row],[Brand-Renamed]]))</f>
        <v>74490</v>
      </c>
    </row>
    <row r="366" spans="1:15" ht="13.8" x14ac:dyDescent="0.25">
      <c r="A366" s="4" t="s">
        <v>122</v>
      </c>
      <c r="B366" s="4" t="str">
        <f t="shared" si="30"/>
        <v xml:space="preserve">Lg </v>
      </c>
      <c r="C366" s="4" t="s">
        <v>32</v>
      </c>
      <c r="D366" s="4">
        <v>65</v>
      </c>
      <c r="E366" s="4">
        <v>229000</v>
      </c>
      <c r="F366" s="4">
        <v>359990</v>
      </c>
      <c r="G366" s="4" t="s">
        <v>58</v>
      </c>
      <c r="H366" s="4"/>
      <c r="I366" s="4">
        <f t="shared" si="31"/>
        <v>130990</v>
      </c>
      <c r="J366">
        <f t="shared" si="32"/>
        <v>0.36387121864496236</v>
      </c>
      <c r="K366" s="4">
        <f t="shared" si="33"/>
        <v>-130990</v>
      </c>
      <c r="L366" s="5">
        <f t="shared" si="34"/>
        <v>-0.57200873362445415</v>
      </c>
      <c r="M366" s="4" t="str">
        <f t="shared" si="35"/>
        <v>Ratings Not Given</v>
      </c>
      <c r="N366" s="34">
        <f t="array" ref="N366">MEDIAN(_xlfn._xlws.FILTER(Table4[Original Price],Table4[Brand-Renamed] = Table4[[#This Row],[Brand]]))</f>
        <v>98990</v>
      </c>
      <c r="O366" s="35">
        <f t="array" ref="O366">MEDIAN(_xlfn._xlws.FILTER(Table4[Selling Price],Table4[Brand-Renamed] =Table4[[#This Row],[Brand-Renamed]]))</f>
        <v>76737</v>
      </c>
    </row>
    <row r="367" spans="1:15" ht="13.8" x14ac:dyDescent="0.25">
      <c r="A367" s="6" t="s">
        <v>119</v>
      </c>
      <c r="B367" s="4" t="str">
        <f t="shared" si="30"/>
        <v xml:space="preserve">Tcl </v>
      </c>
      <c r="C367" s="6" t="s">
        <v>19</v>
      </c>
      <c r="D367" s="6">
        <v>32</v>
      </c>
      <c r="E367" s="6">
        <v>15000</v>
      </c>
      <c r="F367" s="6">
        <v>29990</v>
      </c>
      <c r="G367" s="6" t="s">
        <v>54</v>
      </c>
      <c r="H367" s="6">
        <v>4.2</v>
      </c>
      <c r="I367" s="6">
        <f t="shared" si="31"/>
        <v>14990</v>
      </c>
      <c r="J367">
        <f t="shared" si="32"/>
        <v>0.49983327775925307</v>
      </c>
      <c r="K367" s="6">
        <f t="shared" si="33"/>
        <v>-14990</v>
      </c>
      <c r="L367" s="7">
        <f t="shared" si="34"/>
        <v>-0.9993333333333333</v>
      </c>
      <c r="M367" s="6" t="str">
        <f t="shared" si="35"/>
        <v>Medium Ratings</v>
      </c>
      <c r="N367" s="34">
        <f t="array" ref="N367">MEDIAN(_xlfn._xlws.FILTER(Table4[Original Price],Table4[Brand-Renamed] = Table4[[#This Row],[Brand]]))</f>
        <v>77990</v>
      </c>
      <c r="O367" s="35">
        <f t="array" ref="O367">MEDIAN(_xlfn._xlws.FILTER(Table4[Selling Price],Table4[Brand-Renamed] =Table4[[#This Row],[Brand-Renamed]]))</f>
        <v>40999</v>
      </c>
    </row>
    <row r="368" spans="1:15" ht="13.8" x14ac:dyDescent="0.25">
      <c r="A368" s="4" t="s">
        <v>81</v>
      </c>
      <c r="B368" s="4" t="str">
        <f t="shared" si="30"/>
        <v xml:space="preserve">Sansui </v>
      </c>
      <c r="C368" s="4" t="s">
        <v>32</v>
      </c>
      <c r="D368" s="4">
        <v>43</v>
      </c>
      <c r="E368" s="4">
        <v>29490</v>
      </c>
      <c r="F368" s="4">
        <v>32290</v>
      </c>
      <c r="G368" s="4" t="s">
        <v>54</v>
      </c>
      <c r="H368" s="4">
        <v>4.0999999999999996</v>
      </c>
      <c r="I368" s="4">
        <f t="shared" si="31"/>
        <v>2800</v>
      </c>
      <c r="J368">
        <f t="shared" si="32"/>
        <v>8.6714152988541349E-2</v>
      </c>
      <c r="K368" s="4">
        <f t="shared" si="33"/>
        <v>-2800</v>
      </c>
      <c r="L368" s="5">
        <f t="shared" si="34"/>
        <v>-9.4947439810105116E-2</v>
      </c>
      <c r="M368" s="4" t="str">
        <f t="shared" si="35"/>
        <v>Medium Ratings</v>
      </c>
      <c r="N368" s="34">
        <f t="array" ref="N368">MEDIAN(_xlfn._xlws.FILTER(Table4[Original Price],Table4[Brand-Renamed] = Table4[[#This Row],[Brand]]))</f>
        <v>35174.5</v>
      </c>
      <c r="O368" s="35">
        <f t="array" ref="O368">MEDIAN(_xlfn._xlws.FILTER(Table4[Selling Price],Table4[Brand-Renamed] =Table4[[#This Row],[Brand-Renamed]]))</f>
        <v>29990</v>
      </c>
    </row>
    <row r="369" spans="1:15" ht="13.8" x14ac:dyDescent="0.25">
      <c r="A369" s="6" t="s">
        <v>125</v>
      </c>
      <c r="B369" s="4" t="str">
        <f t="shared" si="30"/>
        <v>Samsung</v>
      </c>
      <c r="C369" s="6" t="s">
        <v>29</v>
      </c>
      <c r="D369" s="6">
        <v>65</v>
      </c>
      <c r="E369" s="6">
        <v>122290</v>
      </c>
      <c r="F369" s="6">
        <v>222900</v>
      </c>
      <c r="G369" s="6" t="s">
        <v>56</v>
      </c>
      <c r="H369" s="6">
        <v>4.5</v>
      </c>
      <c r="I369" s="6">
        <f t="shared" si="31"/>
        <v>100610</v>
      </c>
      <c r="J369">
        <f t="shared" si="32"/>
        <v>0.45136832660385823</v>
      </c>
      <c r="K369" s="6">
        <f t="shared" si="33"/>
        <v>-100610</v>
      </c>
      <c r="L369" s="7">
        <f t="shared" si="34"/>
        <v>-0.82271649358083243</v>
      </c>
      <c r="M369" s="6" t="str">
        <f t="shared" si="35"/>
        <v>Good Ratings</v>
      </c>
      <c r="N369" s="34">
        <f t="array" ref="N369">MEDIAN(_xlfn._xlws.FILTER(Table4[Original Price],Table4[Brand-Renamed] = Table4[[#This Row],[Brand]]))</f>
        <v>100945</v>
      </c>
      <c r="O369" s="35">
        <f t="array" ref="O369">MEDIAN(_xlfn._xlws.FILTER(Table4[Selling Price],Table4[Brand-Renamed] =Table4[[#This Row],[Brand-Renamed]]))</f>
        <v>74490</v>
      </c>
    </row>
    <row r="370" spans="1:15" ht="13.8" x14ac:dyDescent="0.25">
      <c r="A370" s="4" t="s">
        <v>125</v>
      </c>
      <c r="B370" s="4" t="str">
        <f t="shared" si="30"/>
        <v>Samsung</v>
      </c>
      <c r="C370" s="4" t="s">
        <v>32</v>
      </c>
      <c r="D370" s="4">
        <v>55</v>
      </c>
      <c r="E370" s="4">
        <v>284900</v>
      </c>
      <c r="F370" s="4">
        <v>284900</v>
      </c>
      <c r="G370" s="4" t="s">
        <v>56</v>
      </c>
      <c r="H370" s="4">
        <v>3.6</v>
      </c>
      <c r="I370" s="4">
        <f t="shared" si="31"/>
        <v>0</v>
      </c>
      <c r="J370" t="str">
        <f t="shared" si="32"/>
        <v>Discount Not Applied</v>
      </c>
      <c r="K370" s="4">
        <f t="shared" si="33"/>
        <v>0</v>
      </c>
      <c r="L370" s="5">
        <f t="shared" si="34"/>
        <v>0</v>
      </c>
      <c r="M370" s="4" t="str">
        <f t="shared" si="35"/>
        <v>Bad Ratings</v>
      </c>
      <c r="N370" s="34">
        <f t="array" ref="N370">MEDIAN(_xlfn._xlws.FILTER(Table4[Original Price],Table4[Brand-Renamed] = Table4[[#This Row],[Brand]]))</f>
        <v>100945</v>
      </c>
      <c r="O370" s="35">
        <f t="array" ref="O370">MEDIAN(_xlfn._xlws.FILTER(Table4[Selling Price],Table4[Brand-Renamed] =Table4[[#This Row],[Brand-Renamed]]))</f>
        <v>74490</v>
      </c>
    </row>
    <row r="371" spans="1:15" ht="13.8" x14ac:dyDescent="0.25">
      <c r="A371" s="6" t="s">
        <v>125</v>
      </c>
      <c r="B371" s="4" t="str">
        <f t="shared" si="30"/>
        <v>Samsung</v>
      </c>
      <c r="C371" s="6" t="s">
        <v>32</v>
      </c>
      <c r="D371" s="6">
        <v>65</v>
      </c>
      <c r="E371" s="6">
        <v>103990</v>
      </c>
      <c r="F371" s="6">
        <v>135900</v>
      </c>
      <c r="G371" s="6" t="s">
        <v>56</v>
      </c>
      <c r="H371" s="6"/>
      <c r="I371" s="6">
        <f t="shared" si="31"/>
        <v>31910</v>
      </c>
      <c r="J371">
        <f t="shared" si="32"/>
        <v>0.23480500367917587</v>
      </c>
      <c r="K371" s="6">
        <f t="shared" si="33"/>
        <v>-31910</v>
      </c>
      <c r="L371" s="7">
        <f t="shared" si="34"/>
        <v>-0.30685642850274064</v>
      </c>
      <c r="M371" s="6" t="str">
        <f t="shared" si="35"/>
        <v>Ratings Not Given</v>
      </c>
      <c r="N371" s="34">
        <f t="array" ref="N371">MEDIAN(_xlfn._xlws.FILTER(Table4[Original Price],Table4[Brand-Renamed] = Table4[[#This Row],[Brand]]))</f>
        <v>100945</v>
      </c>
      <c r="O371" s="35">
        <f t="array" ref="O371">MEDIAN(_xlfn._xlws.FILTER(Table4[Selling Price],Table4[Brand-Renamed] =Table4[[#This Row],[Brand-Renamed]]))</f>
        <v>74490</v>
      </c>
    </row>
    <row r="372" spans="1:15" ht="13.8" x14ac:dyDescent="0.25">
      <c r="A372" s="4" t="s">
        <v>122</v>
      </c>
      <c r="B372" s="4" t="str">
        <f t="shared" si="30"/>
        <v xml:space="preserve">Lg </v>
      </c>
      <c r="C372" s="4" t="s">
        <v>32</v>
      </c>
      <c r="D372" s="4">
        <v>55</v>
      </c>
      <c r="E372" s="4">
        <v>97990</v>
      </c>
      <c r="F372" s="4">
        <v>139989</v>
      </c>
      <c r="G372" s="4" t="s">
        <v>58</v>
      </c>
      <c r="H372" s="4"/>
      <c r="I372" s="4">
        <f t="shared" si="31"/>
        <v>41999</v>
      </c>
      <c r="J372">
        <f t="shared" si="32"/>
        <v>0.30001642986234633</v>
      </c>
      <c r="K372" s="4">
        <f t="shared" si="33"/>
        <v>-41999</v>
      </c>
      <c r="L372" s="5">
        <f t="shared" si="34"/>
        <v>-0.42860495968976425</v>
      </c>
      <c r="M372" s="4" t="str">
        <f t="shared" si="35"/>
        <v>Ratings Not Given</v>
      </c>
      <c r="N372" s="34">
        <f t="array" ref="N372">MEDIAN(_xlfn._xlws.FILTER(Table4[Original Price],Table4[Brand-Renamed] = Table4[[#This Row],[Brand]]))</f>
        <v>98990</v>
      </c>
      <c r="O372" s="35">
        <f t="array" ref="O372">MEDIAN(_xlfn._xlws.FILTER(Table4[Selling Price],Table4[Brand-Renamed] =Table4[[#This Row],[Brand-Renamed]]))</f>
        <v>76737</v>
      </c>
    </row>
    <row r="373" spans="1:15" ht="13.8" x14ac:dyDescent="0.25">
      <c r="A373" s="6" t="s">
        <v>125</v>
      </c>
      <c r="B373" s="4" t="str">
        <f t="shared" si="30"/>
        <v>Samsung</v>
      </c>
      <c r="C373" s="6" t="s">
        <v>19</v>
      </c>
      <c r="D373" s="6">
        <v>24</v>
      </c>
      <c r="E373" s="6">
        <v>15200</v>
      </c>
      <c r="F373" s="6">
        <v>15200</v>
      </c>
      <c r="G373" s="6" t="s">
        <v>56</v>
      </c>
      <c r="H373" s="6">
        <v>4.2</v>
      </c>
      <c r="I373" s="6">
        <f t="shared" si="31"/>
        <v>0</v>
      </c>
      <c r="J373" t="str">
        <f t="shared" si="32"/>
        <v>Discount Not Applied</v>
      </c>
      <c r="K373" s="6">
        <f t="shared" si="33"/>
        <v>0</v>
      </c>
      <c r="L373" s="7">
        <f t="shared" si="34"/>
        <v>0</v>
      </c>
      <c r="M373" s="6" t="str">
        <f t="shared" si="35"/>
        <v>Medium Ratings</v>
      </c>
      <c r="N373" s="34">
        <f t="array" ref="N373">MEDIAN(_xlfn._xlws.FILTER(Table4[Original Price],Table4[Brand-Renamed] = Table4[[#This Row],[Brand]]))</f>
        <v>100945</v>
      </c>
      <c r="O373" s="35">
        <f t="array" ref="O373">MEDIAN(_xlfn._xlws.FILTER(Table4[Selling Price],Table4[Brand-Renamed] =Table4[[#This Row],[Brand-Renamed]]))</f>
        <v>74490</v>
      </c>
    </row>
    <row r="374" spans="1:15" ht="13.8" x14ac:dyDescent="0.25">
      <c r="A374" s="4" t="s">
        <v>15</v>
      </c>
      <c r="B374" s="4" t="str">
        <f t="shared" si="30"/>
        <v>Vu</v>
      </c>
      <c r="C374" s="4" t="s">
        <v>32</v>
      </c>
      <c r="D374" s="4">
        <v>55</v>
      </c>
      <c r="E374" s="4">
        <v>46899</v>
      </c>
      <c r="F374" s="4">
        <v>75000</v>
      </c>
      <c r="G374" s="4" t="s">
        <v>54</v>
      </c>
      <c r="H374" s="4">
        <v>4.4000000000000004</v>
      </c>
      <c r="I374" s="4">
        <f t="shared" si="31"/>
        <v>28101</v>
      </c>
      <c r="J374">
        <f t="shared" si="32"/>
        <v>0.37468000000000001</v>
      </c>
      <c r="K374" s="4">
        <f t="shared" si="33"/>
        <v>-28101</v>
      </c>
      <c r="L374" s="5">
        <f t="shared" si="34"/>
        <v>-0.59918121921576151</v>
      </c>
      <c r="M374" s="4" t="str">
        <f t="shared" si="35"/>
        <v>Medium Ratings</v>
      </c>
      <c r="N374" s="34">
        <f t="array" ref="N374">MEDIAN(_xlfn._xlws.FILTER(Table4[Original Price],Table4[Brand-Renamed] = Table4[[#This Row],[Brand]]))</f>
        <v>49990</v>
      </c>
      <c r="O374" s="35">
        <f t="array" ref="O374">MEDIAN(_xlfn._xlws.FILTER(Table4[Selling Price],Table4[Brand-Renamed] =Table4[[#This Row],[Brand-Renamed]]))</f>
        <v>30999</v>
      </c>
    </row>
    <row r="375" spans="1:15" ht="13.8" x14ac:dyDescent="0.25">
      <c r="A375" s="6" t="s">
        <v>41</v>
      </c>
      <c r="B375" s="4" t="str">
        <f t="shared" si="30"/>
        <v xml:space="preserve">Candes </v>
      </c>
      <c r="C375" s="6" t="s">
        <v>19</v>
      </c>
      <c r="D375" s="6">
        <v>24</v>
      </c>
      <c r="E375" s="6">
        <v>9999</v>
      </c>
      <c r="F375" s="6">
        <v>17990</v>
      </c>
      <c r="G375" s="6" t="s">
        <v>54</v>
      </c>
      <c r="H375" s="6">
        <v>4.0999999999999996</v>
      </c>
      <c r="I375" s="6">
        <f t="shared" si="31"/>
        <v>7991</v>
      </c>
      <c r="J375">
        <f t="shared" si="32"/>
        <v>0.44419121734296829</v>
      </c>
      <c r="K375" s="6">
        <f t="shared" si="33"/>
        <v>-7991</v>
      </c>
      <c r="L375" s="7">
        <f t="shared" si="34"/>
        <v>-0.79917991799179922</v>
      </c>
      <c r="M375" s="6" t="str">
        <f t="shared" si="35"/>
        <v>Medium Ratings</v>
      </c>
      <c r="N375" s="34">
        <f t="array" ref="N375">MEDIAN(_xlfn._xlws.FILTER(Table4[Original Price],Table4[Brand-Renamed] = Table4[[#This Row],[Brand]]))</f>
        <v>26340</v>
      </c>
      <c r="O375" s="35">
        <f t="array" ref="O375">MEDIAN(_xlfn._xlws.FILTER(Table4[Selling Price],Table4[Brand-Renamed] =Table4[[#This Row],[Brand-Renamed]]))</f>
        <v>13649</v>
      </c>
    </row>
    <row r="376" spans="1:15" ht="13.8" x14ac:dyDescent="0.25">
      <c r="A376" s="4" t="s">
        <v>18</v>
      </c>
      <c r="B376" s="4" t="str">
        <f t="shared" si="30"/>
        <v>Hisense</v>
      </c>
      <c r="C376" s="4" t="s">
        <v>19</v>
      </c>
      <c r="D376" s="4">
        <v>32</v>
      </c>
      <c r="E376" s="4">
        <v>17499</v>
      </c>
      <c r="F376" s="4">
        <v>17990</v>
      </c>
      <c r="G376" s="4" t="s">
        <v>54</v>
      </c>
      <c r="H376" s="4">
        <v>4.2</v>
      </c>
      <c r="I376" s="4">
        <f t="shared" si="31"/>
        <v>491</v>
      </c>
      <c r="J376">
        <f t="shared" si="32"/>
        <v>2.7292940522512507E-2</v>
      </c>
      <c r="K376" s="4">
        <f t="shared" si="33"/>
        <v>-491</v>
      </c>
      <c r="L376" s="5">
        <f t="shared" si="34"/>
        <v>-2.8058746214069376E-2</v>
      </c>
      <c r="M376" s="4" t="str">
        <f t="shared" si="35"/>
        <v>Medium Ratings</v>
      </c>
      <c r="N376" s="34">
        <f t="array" ref="N376">MEDIAN(_xlfn._xlws.FILTER(Table4[Original Price],Table4[Brand-Renamed] = Table4[[#This Row],[Brand]]))</f>
        <v>50490</v>
      </c>
      <c r="O376" s="35">
        <f t="array" ref="O376">MEDIAN(_xlfn._xlws.FILTER(Table4[Selling Price],Table4[Brand-Renamed] =Table4[[#This Row],[Brand-Renamed]]))</f>
        <v>39499</v>
      </c>
    </row>
    <row r="377" spans="1:15" ht="13.8" x14ac:dyDescent="0.25">
      <c r="A377" s="6" t="s">
        <v>75</v>
      </c>
      <c r="B377" s="4" t="str">
        <f t="shared" si="30"/>
        <v>Onida</v>
      </c>
      <c r="C377" s="6" t="s">
        <v>19</v>
      </c>
      <c r="D377" s="6">
        <v>39</v>
      </c>
      <c r="E377" s="6">
        <v>23990</v>
      </c>
      <c r="F377" s="6">
        <v>31990</v>
      </c>
      <c r="G377" s="6" t="s">
        <v>54</v>
      </c>
      <c r="H377" s="6">
        <v>3.9</v>
      </c>
      <c r="I377" s="6">
        <f t="shared" si="31"/>
        <v>8000</v>
      </c>
      <c r="J377">
        <f t="shared" si="32"/>
        <v>0.25007814942169426</v>
      </c>
      <c r="K377" s="6">
        <f t="shared" si="33"/>
        <v>-8000</v>
      </c>
      <c r="L377" s="7">
        <f t="shared" si="34"/>
        <v>-0.33347228011671531</v>
      </c>
      <c r="M377" s="6" t="str">
        <f t="shared" si="35"/>
        <v>Medium Ratings</v>
      </c>
      <c r="N377" s="34">
        <f t="array" ref="N377">MEDIAN(_xlfn._xlws.FILTER(Table4[Original Price],Table4[Brand-Renamed] = Table4[[#This Row],[Brand]]))</f>
        <v>34990</v>
      </c>
      <c r="O377" s="35">
        <f t="array" ref="O377">MEDIAN(_xlfn._xlws.FILTER(Table4[Selling Price],Table4[Brand-Renamed] =Table4[[#This Row],[Brand-Renamed]]))</f>
        <v>29399.5</v>
      </c>
    </row>
    <row r="378" spans="1:15" ht="13.8" x14ac:dyDescent="0.25">
      <c r="A378" s="4" t="s">
        <v>125</v>
      </c>
      <c r="B378" s="4" t="str">
        <f t="shared" si="30"/>
        <v>Samsung</v>
      </c>
      <c r="C378" s="4" t="s">
        <v>8</v>
      </c>
      <c r="D378" s="4">
        <v>49</v>
      </c>
      <c r="E378" s="4">
        <v>45700</v>
      </c>
      <c r="F378" s="4">
        <v>66900</v>
      </c>
      <c r="G378" s="4" t="s">
        <v>56</v>
      </c>
      <c r="H378" s="4">
        <v>4.2</v>
      </c>
      <c r="I378" s="4">
        <f t="shared" si="31"/>
        <v>21200</v>
      </c>
      <c r="J378">
        <f t="shared" si="32"/>
        <v>0.31689088191330345</v>
      </c>
      <c r="K378" s="4">
        <f t="shared" si="33"/>
        <v>-21200</v>
      </c>
      <c r="L378" s="5">
        <f t="shared" si="34"/>
        <v>-0.46389496717724288</v>
      </c>
      <c r="M378" s="4" t="str">
        <f t="shared" si="35"/>
        <v>Medium Ratings</v>
      </c>
      <c r="N378" s="34">
        <f t="array" ref="N378">MEDIAN(_xlfn._xlws.FILTER(Table4[Original Price],Table4[Brand-Renamed] = Table4[[#This Row],[Brand]]))</f>
        <v>100945</v>
      </c>
      <c r="O378" s="35">
        <f t="array" ref="O378">MEDIAN(_xlfn._xlws.FILTER(Table4[Selling Price],Table4[Brand-Renamed] =Table4[[#This Row],[Brand-Renamed]]))</f>
        <v>74490</v>
      </c>
    </row>
    <row r="379" spans="1:15" ht="13.8" x14ac:dyDescent="0.25">
      <c r="A379" s="6" t="s">
        <v>41</v>
      </c>
      <c r="B379" s="4" t="str">
        <f t="shared" si="30"/>
        <v xml:space="preserve">Candes </v>
      </c>
      <c r="C379" s="6" t="s">
        <v>8</v>
      </c>
      <c r="D379" s="6">
        <v>40</v>
      </c>
      <c r="E379" s="6">
        <v>15999</v>
      </c>
      <c r="F379" s="6">
        <v>29990</v>
      </c>
      <c r="G379" s="6" t="s">
        <v>54</v>
      </c>
      <c r="H379" s="6">
        <v>4.0999999999999996</v>
      </c>
      <c r="I379" s="6">
        <f t="shared" si="31"/>
        <v>13991</v>
      </c>
      <c r="J379">
        <f t="shared" si="32"/>
        <v>0.46652217405801932</v>
      </c>
      <c r="K379" s="6">
        <f t="shared" si="33"/>
        <v>-13991</v>
      </c>
      <c r="L379" s="7">
        <f t="shared" si="34"/>
        <v>-0.87449215575973493</v>
      </c>
      <c r="M379" s="6" t="str">
        <f t="shared" si="35"/>
        <v>Medium Ratings</v>
      </c>
      <c r="N379" s="34">
        <f t="array" ref="N379">MEDIAN(_xlfn._xlws.FILTER(Table4[Original Price],Table4[Brand-Renamed] = Table4[[#This Row],[Brand]]))</f>
        <v>26340</v>
      </c>
      <c r="O379" s="35">
        <f t="array" ref="O379">MEDIAN(_xlfn._xlws.FILTER(Table4[Selling Price],Table4[Brand-Renamed] =Table4[[#This Row],[Brand-Renamed]]))</f>
        <v>13649</v>
      </c>
    </row>
    <row r="380" spans="1:15" ht="13.8" x14ac:dyDescent="0.25">
      <c r="A380" s="4" t="s">
        <v>125</v>
      </c>
      <c r="B380" s="4" t="str">
        <f t="shared" si="30"/>
        <v>Samsung</v>
      </c>
      <c r="C380" s="4" t="s">
        <v>32</v>
      </c>
      <c r="D380" s="4">
        <v>49</v>
      </c>
      <c r="E380" s="4">
        <v>146900</v>
      </c>
      <c r="F380" s="4">
        <v>146900</v>
      </c>
      <c r="G380" s="4" t="s">
        <v>56</v>
      </c>
      <c r="H380" s="4">
        <v>4.5</v>
      </c>
      <c r="I380" s="4">
        <f t="shared" si="31"/>
        <v>0</v>
      </c>
      <c r="J380" t="str">
        <f t="shared" si="32"/>
        <v>Discount Not Applied</v>
      </c>
      <c r="K380" s="4">
        <f t="shared" si="33"/>
        <v>0</v>
      </c>
      <c r="L380" s="5">
        <f t="shared" si="34"/>
        <v>0</v>
      </c>
      <c r="M380" s="4" t="str">
        <f t="shared" si="35"/>
        <v>Good Ratings</v>
      </c>
      <c r="N380" s="34">
        <f t="array" ref="N380">MEDIAN(_xlfn._xlws.FILTER(Table4[Original Price],Table4[Brand-Renamed] = Table4[[#This Row],[Brand]]))</f>
        <v>100945</v>
      </c>
      <c r="O380" s="35">
        <f t="array" ref="O380">MEDIAN(_xlfn._xlws.FILTER(Table4[Selling Price],Table4[Brand-Renamed] =Table4[[#This Row],[Brand-Renamed]]))</f>
        <v>74490</v>
      </c>
    </row>
    <row r="381" spans="1:15" ht="13.8" x14ac:dyDescent="0.25">
      <c r="A381" s="6" t="s">
        <v>122</v>
      </c>
      <c r="B381" s="4" t="str">
        <f t="shared" si="30"/>
        <v xml:space="preserve">Lg </v>
      </c>
      <c r="C381" s="6" t="s">
        <v>8</v>
      </c>
      <c r="D381" s="6">
        <v>49</v>
      </c>
      <c r="E381" s="6">
        <v>40000</v>
      </c>
      <c r="F381" s="6">
        <v>65900</v>
      </c>
      <c r="G381" s="6" t="s">
        <v>60</v>
      </c>
      <c r="H381" s="6">
        <v>4.2</v>
      </c>
      <c r="I381" s="6">
        <f t="shared" si="31"/>
        <v>25900</v>
      </c>
      <c r="J381">
        <f t="shared" si="32"/>
        <v>0.39301972685887709</v>
      </c>
      <c r="K381" s="6">
        <f t="shared" si="33"/>
        <v>-25900</v>
      </c>
      <c r="L381" s="7">
        <f t="shared" si="34"/>
        <v>-0.64749999999999996</v>
      </c>
      <c r="M381" s="6" t="str">
        <f t="shared" si="35"/>
        <v>Medium Ratings</v>
      </c>
      <c r="N381" s="34">
        <f t="array" ref="N381">MEDIAN(_xlfn._xlws.FILTER(Table4[Original Price],Table4[Brand-Renamed] = Table4[[#This Row],[Brand]]))</f>
        <v>98990</v>
      </c>
      <c r="O381" s="35">
        <f t="array" ref="O381">MEDIAN(_xlfn._xlws.FILTER(Table4[Selling Price],Table4[Brand-Renamed] =Table4[[#This Row],[Brand-Renamed]]))</f>
        <v>76737</v>
      </c>
    </row>
    <row r="382" spans="1:15" ht="13.8" x14ac:dyDescent="0.25">
      <c r="A382" s="4" t="s">
        <v>133</v>
      </c>
      <c r="B382" s="4" t="str">
        <f t="shared" si="30"/>
        <v xml:space="preserve">Bpl </v>
      </c>
      <c r="C382" s="4" t="s">
        <v>32</v>
      </c>
      <c r="D382" s="4">
        <v>55</v>
      </c>
      <c r="E382" s="4">
        <v>50490</v>
      </c>
      <c r="F382" s="4">
        <v>73000</v>
      </c>
      <c r="G382" s="4" t="s">
        <v>54</v>
      </c>
      <c r="H382" s="4"/>
      <c r="I382" s="4">
        <f t="shared" si="31"/>
        <v>22510</v>
      </c>
      <c r="J382">
        <f t="shared" si="32"/>
        <v>0.30835616438356167</v>
      </c>
      <c r="K382" s="4">
        <f t="shared" si="33"/>
        <v>-22510</v>
      </c>
      <c r="L382" s="5">
        <f t="shared" si="34"/>
        <v>-0.44583085759556346</v>
      </c>
      <c r="M382" s="4" t="str">
        <f t="shared" si="35"/>
        <v>Ratings Not Given</v>
      </c>
      <c r="N382" s="34">
        <f t="array" ref="N382">MEDIAN(_xlfn._xlws.FILTER(Table4[Original Price],Table4[Brand-Renamed] = Table4[[#This Row],[Brand]]))</f>
        <v>47999.5</v>
      </c>
      <c r="O382" s="35">
        <f t="array" ref="O382">MEDIAN(_xlfn._xlws.FILTER(Table4[Selling Price],Table4[Brand-Renamed] =Table4[[#This Row],[Brand-Renamed]]))</f>
        <v>35740</v>
      </c>
    </row>
    <row r="383" spans="1:15" ht="13.8" x14ac:dyDescent="0.25">
      <c r="A383" s="6" t="s">
        <v>48</v>
      </c>
      <c r="B383" s="4" t="str">
        <f t="shared" si="30"/>
        <v>Dyanora</v>
      </c>
      <c r="C383" s="6" t="s">
        <v>19</v>
      </c>
      <c r="D383" s="6">
        <v>24</v>
      </c>
      <c r="E383" s="6">
        <v>7999</v>
      </c>
      <c r="F383" s="6">
        <v>10999</v>
      </c>
      <c r="G383" s="6" t="s">
        <v>54</v>
      </c>
      <c r="H383" s="6">
        <v>4.3</v>
      </c>
      <c r="I383" s="6">
        <f t="shared" si="31"/>
        <v>3000</v>
      </c>
      <c r="J383">
        <f t="shared" si="32"/>
        <v>0.27275206836985183</v>
      </c>
      <c r="K383" s="6">
        <f t="shared" si="33"/>
        <v>-3000</v>
      </c>
      <c r="L383" s="7">
        <f t="shared" si="34"/>
        <v>-0.37504688086010751</v>
      </c>
      <c r="M383" s="6" t="str">
        <f t="shared" si="35"/>
        <v>Medium Ratings</v>
      </c>
      <c r="N383" s="34">
        <f t="array" ref="N383">MEDIAN(_xlfn._xlws.FILTER(Table4[Original Price],Table4[Brand-Renamed] = Table4[[#This Row],[Brand]]))</f>
        <v>21499</v>
      </c>
      <c r="O383" s="35">
        <f t="array" ref="O383">MEDIAN(_xlfn._xlws.FILTER(Table4[Selling Price],Table4[Brand-Renamed] =Table4[[#This Row],[Brand-Renamed]]))</f>
        <v>13999</v>
      </c>
    </row>
    <row r="384" spans="1:15" ht="13.8" x14ac:dyDescent="0.25">
      <c r="A384" s="4" t="s">
        <v>125</v>
      </c>
      <c r="B384" s="4" t="str">
        <f t="shared" si="30"/>
        <v>Samsung</v>
      </c>
      <c r="C384" s="4" t="s">
        <v>19</v>
      </c>
      <c r="D384" s="4">
        <v>32</v>
      </c>
      <c r="E384" s="4">
        <v>19599</v>
      </c>
      <c r="F384" s="4">
        <v>25900</v>
      </c>
      <c r="G384" s="4" t="s">
        <v>56</v>
      </c>
      <c r="H384" s="4">
        <v>4.3</v>
      </c>
      <c r="I384" s="4">
        <f t="shared" si="31"/>
        <v>6301</v>
      </c>
      <c r="J384">
        <f t="shared" si="32"/>
        <v>0.24328185328185328</v>
      </c>
      <c r="K384" s="4">
        <f t="shared" si="33"/>
        <v>-6301</v>
      </c>
      <c r="L384" s="5">
        <f t="shared" si="34"/>
        <v>-0.32149599469360679</v>
      </c>
      <c r="M384" s="4" t="str">
        <f t="shared" si="35"/>
        <v>Medium Ratings</v>
      </c>
      <c r="N384" s="34">
        <f t="array" ref="N384">MEDIAN(_xlfn._xlws.FILTER(Table4[Original Price],Table4[Brand-Renamed] = Table4[[#This Row],[Brand]]))</f>
        <v>100945</v>
      </c>
      <c r="O384" s="35">
        <f t="array" ref="O384">MEDIAN(_xlfn._xlws.FILTER(Table4[Selling Price],Table4[Brand-Renamed] =Table4[[#This Row],[Brand-Renamed]]))</f>
        <v>74490</v>
      </c>
    </row>
    <row r="385" spans="1:15" ht="13.8" x14ac:dyDescent="0.25">
      <c r="A385" s="6" t="s">
        <v>125</v>
      </c>
      <c r="B385" s="4" t="str">
        <f t="shared" si="30"/>
        <v>Samsung</v>
      </c>
      <c r="C385" s="6" t="s">
        <v>29</v>
      </c>
      <c r="D385" s="6">
        <v>65</v>
      </c>
      <c r="E385" s="6">
        <v>219990</v>
      </c>
      <c r="F385" s="6">
        <v>257900</v>
      </c>
      <c r="G385" s="6" t="s">
        <v>56</v>
      </c>
      <c r="H385" s="6"/>
      <c r="I385" s="6">
        <f t="shared" si="31"/>
        <v>37910</v>
      </c>
      <c r="J385">
        <f t="shared" si="32"/>
        <v>0.14699495928654518</v>
      </c>
      <c r="K385" s="6">
        <f t="shared" si="33"/>
        <v>-37910</v>
      </c>
      <c r="L385" s="7">
        <f t="shared" si="34"/>
        <v>-0.1723260148188554</v>
      </c>
      <c r="M385" s="6" t="str">
        <f t="shared" si="35"/>
        <v>Ratings Not Given</v>
      </c>
      <c r="N385" s="34">
        <f t="array" ref="N385">MEDIAN(_xlfn._xlws.FILTER(Table4[Original Price],Table4[Brand-Renamed] = Table4[[#This Row],[Brand]]))</f>
        <v>100945</v>
      </c>
      <c r="O385" s="35">
        <f t="array" ref="O385">MEDIAN(_xlfn._xlws.FILTER(Table4[Selling Price],Table4[Brand-Renamed] =Table4[[#This Row],[Brand-Renamed]]))</f>
        <v>74490</v>
      </c>
    </row>
    <row r="386" spans="1:15" ht="13.8" x14ac:dyDescent="0.25">
      <c r="A386" s="4" t="s">
        <v>125</v>
      </c>
      <c r="B386" s="4" t="str">
        <f t="shared" ref="B386:B449" si="36">PROPER(A386)</f>
        <v>Samsung</v>
      </c>
      <c r="C386" s="4" t="s">
        <v>29</v>
      </c>
      <c r="D386" s="4">
        <v>55</v>
      </c>
      <c r="E386" s="4">
        <v>89990</v>
      </c>
      <c r="F386" s="4">
        <v>163900</v>
      </c>
      <c r="G386" s="4" t="s">
        <v>56</v>
      </c>
      <c r="H386" s="4">
        <v>4.7</v>
      </c>
      <c r="I386" s="4">
        <f t="shared" ref="I386:I449" si="37">F386-E386</f>
        <v>73910</v>
      </c>
      <c r="J386">
        <f t="shared" ref="J386:J449" si="38">IF((F386-E386)/F386 = 0, "Discount Not Applied", (F386-E386)/F386)</f>
        <v>0.4509456985967053</v>
      </c>
      <c r="K386" s="4">
        <f t="shared" ref="K386:K449" si="39">E386-F386</f>
        <v>-73910</v>
      </c>
      <c r="L386" s="5">
        <f t="shared" ref="L386:L449" si="40">(E386-F386)/E386</f>
        <v>-0.82131347927547504</v>
      </c>
      <c r="M386" s="4" t="str">
        <f t="shared" ref="M386:M449" si="41">IF(ISBLANK(H386),"Ratings Not Given",IF(H386&gt;=4.5,"Good Ratings",IF(H386&lt;=3.7,"Bad Ratings","Medium Ratings")))</f>
        <v>Good Ratings</v>
      </c>
      <c r="N386" s="34">
        <f t="array" ref="N386">MEDIAN(_xlfn._xlws.FILTER(Table4[Original Price],Table4[Brand-Renamed] = Table4[[#This Row],[Brand]]))</f>
        <v>100945</v>
      </c>
      <c r="O386" s="35">
        <f t="array" ref="O386">MEDIAN(_xlfn._xlws.FILTER(Table4[Selling Price],Table4[Brand-Renamed] =Table4[[#This Row],[Brand-Renamed]]))</f>
        <v>74490</v>
      </c>
    </row>
    <row r="387" spans="1:15" ht="13.8" x14ac:dyDescent="0.25">
      <c r="A387" s="6" t="s">
        <v>45</v>
      </c>
      <c r="B387" s="4" t="str">
        <f t="shared" si="36"/>
        <v xml:space="preserve">Croma </v>
      </c>
      <c r="C387" s="6" t="s">
        <v>32</v>
      </c>
      <c r="D387" s="6">
        <v>43</v>
      </c>
      <c r="E387" s="6">
        <v>35990</v>
      </c>
      <c r="F387" s="6">
        <v>50000</v>
      </c>
      <c r="G387" s="6" t="s">
        <v>66</v>
      </c>
      <c r="H387" s="6">
        <v>5</v>
      </c>
      <c r="I387" s="6">
        <f t="shared" si="37"/>
        <v>14010</v>
      </c>
      <c r="J387">
        <f t="shared" si="38"/>
        <v>0.2802</v>
      </c>
      <c r="K387" s="6">
        <f t="shared" si="39"/>
        <v>-14010</v>
      </c>
      <c r="L387" s="7">
        <f t="shared" si="40"/>
        <v>-0.38927479855515423</v>
      </c>
      <c r="M387" s="6" t="str">
        <f t="shared" si="41"/>
        <v>Good Ratings</v>
      </c>
      <c r="N387" s="34">
        <f t="array" ref="N387">MEDIAN(_xlfn._xlws.FILTER(Table4[Original Price],Table4[Brand-Renamed] = Table4[[#This Row],[Brand]]))</f>
        <v>25000</v>
      </c>
      <c r="O387" s="35">
        <f t="array" ref="O387">MEDIAN(_xlfn._xlws.FILTER(Table4[Selling Price],Table4[Brand-Renamed] =Table4[[#This Row],[Brand-Renamed]]))</f>
        <v>17740</v>
      </c>
    </row>
    <row r="388" spans="1:15" ht="13.8" x14ac:dyDescent="0.25">
      <c r="A388" s="4" t="s">
        <v>134</v>
      </c>
      <c r="B388" s="4" t="str">
        <f t="shared" si="36"/>
        <v>Cloudwalker</v>
      </c>
      <c r="C388" s="4" t="s">
        <v>32</v>
      </c>
      <c r="D388" s="4">
        <v>65</v>
      </c>
      <c r="E388" s="4">
        <v>59999</v>
      </c>
      <c r="F388" s="4">
        <v>94990</v>
      </c>
      <c r="G388" s="4" t="s">
        <v>54</v>
      </c>
      <c r="H388" s="4">
        <v>4</v>
      </c>
      <c r="I388" s="4">
        <f t="shared" si="37"/>
        <v>34991</v>
      </c>
      <c r="J388">
        <f t="shared" si="38"/>
        <v>0.3683650910622171</v>
      </c>
      <c r="K388" s="4">
        <f t="shared" si="39"/>
        <v>-34991</v>
      </c>
      <c r="L388" s="5">
        <f t="shared" si="40"/>
        <v>-0.58319305321755366</v>
      </c>
      <c r="M388" s="4" t="str">
        <f t="shared" si="41"/>
        <v>Medium Ratings</v>
      </c>
      <c r="N388" s="34">
        <f t="array" ref="N388">MEDIAN(_xlfn._xlws.FILTER(Table4[Original Price],Table4[Brand-Renamed] = Table4[[#This Row],[Brand]]))</f>
        <v>32990</v>
      </c>
      <c r="O388" s="35">
        <f t="array" ref="O388">MEDIAN(_xlfn._xlws.FILTER(Table4[Selling Price],Table4[Brand-Renamed] =Table4[[#This Row],[Brand-Renamed]]))</f>
        <v>21999</v>
      </c>
    </row>
    <row r="389" spans="1:15" ht="13.8" x14ac:dyDescent="0.25">
      <c r="A389" s="6" t="s">
        <v>119</v>
      </c>
      <c r="B389" s="4" t="str">
        <f t="shared" si="36"/>
        <v xml:space="preserve">Tcl </v>
      </c>
      <c r="C389" s="6" t="s">
        <v>29</v>
      </c>
      <c r="D389" s="6">
        <v>55</v>
      </c>
      <c r="E389" s="6">
        <v>47990</v>
      </c>
      <c r="F389" s="6">
        <v>99990</v>
      </c>
      <c r="G389" s="6" t="s">
        <v>54</v>
      </c>
      <c r="H389" s="6"/>
      <c r="I389" s="6">
        <f t="shared" si="37"/>
        <v>52000</v>
      </c>
      <c r="J389">
        <f t="shared" si="38"/>
        <v>0.52005200520052008</v>
      </c>
      <c r="K389" s="6">
        <f t="shared" si="39"/>
        <v>-52000</v>
      </c>
      <c r="L389" s="7">
        <f t="shared" si="40"/>
        <v>-1.0835590748072514</v>
      </c>
      <c r="M389" s="6" t="str">
        <f t="shared" si="41"/>
        <v>Ratings Not Given</v>
      </c>
      <c r="N389" s="34">
        <f t="array" ref="N389">MEDIAN(_xlfn._xlws.FILTER(Table4[Original Price],Table4[Brand-Renamed] = Table4[[#This Row],[Brand]]))</f>
        <v>77990</v>
      </c>
      <c r="O389" s="35">
        <f t="array" ref="O389">MEDIAN(_xlfn._xlws.FILTER(Table4[Selling Price],Table4[Brand-Renamed] =Table4[[#This Row],[Brand-Renamed]]))</f>
        <v>40999</v>
      </c>
    </row>
    <row r="390" spans="1:15" ht="13.8" x14ac:dyDescent="0.25">
      <c r="A390" s="4" t="s">
        <v>123</v>
      </c>
      <c r="B390" s="4" t="str">
        <f t="shared" si="36"/>
        <v>Marq By Flipkart</v>
      </c>
      <c r="C390" s="4" t="s">
        <v>32</v>
      </c>
      <c r="D390" s="4">
        <v>65</v>
      </c>
      <c r="E390" s="4">
        <v>64999</v>
      </c>
      <c r="F390" s="4">
        <v>94499</v>
      </c>
      <c r="G390" s="4" t="s">
        <v>54</v>
      </c>
      <c r="H390" s="4">
        <v>4.4000000000000004</v>
      </c>
      <c r="I390" s="4">
        <f t="shared" si="37"/>
        <v>29500</v>
      </c>
      <c r="J390">
        <f t="shared" si="38"/>
        <v>0.31217261558323367</v>
      </c>
      <c r="K390" s="4">
        <f t="shared" si="39"/>
        <v>-29500</v>
      </c>
      <c r="L390" s="5">
        <f t="shared" si="40"/>
        <v>-0.45385313620209544</v>
      </c>
      <c r="M390" s="4" t="str">
        <f t="shared" si="41"/>
        <v>Medium Ratings</v>
      </c>
      <c r="N390" s="34">
        <f t="array" ref="N390">MEDIAN(_xlfn._xlws.FILTER(Table4[Original Price],Table4[Brand-Renamed] = Table4[[#This Row],[Brand]]))</f>
        <v>17499</v>
      </c>
      <c r="O390" s="35">
        <f t="array" ref="O390">MEDIAN(_xlfn._xlws.FILTER(Table4[Selling Price],Table4[Brand-Renamed] =Table4[[#This Row],[Brand-Renamed]]))</f>
        <v>10249</v>
      </c>
    </row>
    <row r="391" spans="1:15" ht="13.8" x14ac:dyDescent="0.25">
      <c r="A391" s="6" t="s">
        <v>122</v>
      </c>
      <c r="B391" s="4" t="str">
        <f t="shared" si="36"/>
        <v xml:space="preserve">Lg </v>
      </c>
      <c r="C391" s="6" t="s">
        <v>32</v>
      </c>
      <c r="D391" s="6">
        <v>75</v>
      </c>
      <c r="E391" s="6">
        <v>189999</v>
      </c>
      <c r="F391" s="6">
        <v>284990</v>
      </c>
      <c r="G391" s="6" t="s">
        <v>58</v>
      </c>
      <c r="H391" s="6">
        <v>3</v>
      </c>
      <c r="I391" s="6">
        <f t="shared" si="37"/>
        <v>94991</v>
      </c>
      <c r="J391">
        <f t="shared" si="38"/>
        <v>0.33331344959472264</v>
      </c>
      <c r="K391" s="6">
        <f t="shared" si="39"/>
        <v>-94991</v>
      </c>
      <c r="L391" s="7">
        <f t="shared" si="40"/>
        <v>-0.49995526292243642</v>
      </c>
      <c r="M391" s="6" t="str">
        <f t="shared" si="41"/>
        <v>Bad Ratings</v>
      </c>
      <c r="N391" s="34">
        <f t="array" ref="N391">MEDIAN(_xlfn._xlws.FILTER(Table4[Original Price],Table4[Brand-Renamed] = Table4[[#This Row],[Brand]]))</f>
        <v>98990</v>
      </c>
      <c r="O391" s="35">
        <f t="array" ref="O391">MEDIAN(_xlfn._xlws.FILTER(Table4[Selling Price],Table4[Brand-Renamed] =Table4[[#This Row],[Brand-Renamed]]))</f>
        <v>76737</v>
      </c>
    </row>
    <row r="392" spans="1:15" ht="13.8" x14ac:dyDescent="0.25">
      <c r="A392" s="4" t="s">
        <v>13</v>
      </c>
      <c r="B392" s="4" t="str">
        <f t="shared" si="36"/>
        <v>Panasonic</v>
      </c>
      <c r="C392" s="4" t="s">
        <v>32</v>
      </c>
      <c r="D392" s="4">
        <v>65</v>
      </c>
      <c r="E392" s="4">
        <v>86890</v>
      </c>
      <c r="F392" s="4">
        <v>93500</v>
      </c>
      <c r="G392" s="4" t="s">
        <v>60</v>
      </c>
      <c r="H392" s="4"/>
      <c r="I392" s="4">
        <f t="shared" si="37"/>
        <v>6610</v>
      </c>
      <c r="J392">
        <f t="shared" si="38"/>
        <v>7.06951871657754E-2</v>
      </c>
      <c r="K392" s="4">
        <f t="shared" si="39"/>
        <v>-6610</v>
      </c>
      <c r="L392" s="5">
        <f t="shared" si="40"/>
        <v>-7.607319599493613E-2</v>
      </c>
      <c r="M392" s="4" t="str">
        <f t="shared" si="41"/>
        <v>Ratings Not Given</v>
      </c>
      <c r="N392" s="34">
        <f t="array" ref="N392">MEDIAN(_xlfn._xlws.FILTER(Table4[Original Price],Table4[Brand-Renamed] = Table4[[#This Row],[Brand]]))</f>
        <v>64195</v>
      </c>
      <c r="O392" s="35">
        <f t="array" ref="O392">MEDIAN(_xlfn._xlws.FILTER(Table4[Selling Price],Table4[Brand-Renamed] =Table4[[#This Row],[Brand-Renamed]]))</f>
        <v>43129</v>
      </c>
    </row>
    <row r="393" spans="1:15" ht="13.8" x14ac:dyDescent="0.25">
      <c r="A393" s="6" t="s">
        <v>125</v>
      </c>
      <c r="B393" s="4" t="str">
        <f t="shared" si="36"/>
        <v>Samsung</v>
      </c>
      <c r="C393" s="6" t="s">
        <v>29</v>
      </c>
      <c r="D393" s="6">
        <v>50</v>
      </c>
      <c r="E393" s="6">
        <v>69744</v>
      </c>
      <c r="F393" s="6">
        <v>99900</v>
      </c>
      <c r="G393" s="6" t="s">
        <v>56</v>
      </c>
      <c r="H393" s="6"/>
      <c r="I393" s="6">
        <f t="shared" si="37"/>
        <v>30156</v>
      </c>
      <c r="J393">
        <f t="shared" si="38"/>
        <v>0.30186186186186187</v>
      </c>
      <c r="K393" s="6">
        <f t="shared" si="39"/>
        <v>-30156</v>
      </c>
      <c r="L393" s="7">
        <f t="shared" si="40"/>
        <v>-0.43238128011011701</v>
      </c>
      <c r="M393" s="6" t="str">
        <f t="shared" si="41"/>
        <v>Ratings Not Given</v>
      </c>
      <c r="N393" s="34">
        <f t="array" ref="N393">MEDIAN(_xlfn._xlws.FILTER(Table4[Original Price],Table4[Brand-Renamed] = Table4[[#This Row],[Brand]]))</f>
        <v>100945</v>
      </c>
      <c r="O393" s="35">
        <f t="array" ref="O393">MEDIAN(_xlfn._xlws.FILTER(Table4[Selling Price],Table4[Brand-Renamed] =Table4[[#This Row],[Brand-Renamed]]))</f>
        <v>74490</v>
      </c>
    </row>
    <row r="394" spans="1:15" ht="13.8" x14ac:dyDescent="0.25">
      <c r="A394" s="4" t="s">
        <v>73</v>
      </c>
      <c r="B394" s="4" t="str">
        <f t="shared" si="36"/>
        <v xml:space="preserve">Nokia </v>
      </c>
      <c r="C394" s="4" t="s">
        <v>32</v>
      </c>
      <c r="D394" s="4">
        <v>65</v>
      </c>
      <c r="E394" s="4">
        <v>57999</v>
      </c>
      <c r="F394" s="4">
        <v>79999</v>
      </c>
      <c r="G394" s="4" t="s">
        <v>54</v>
      </c>
      <c r="H394" s="4">
        <v>4.3</v>
      </c>
      <c r="I394" s="4">
        <f t="shared" si="37"/>
        <v>22000</v>
      </c>
      <c r="J394">
        <f t="shared" si="38"/>
        <v>0.2750034375429693</v>
      </c>
      <c r="K394" s="4">
        <f t="shared" si="39"/>
        <v>-22000</v>
      </c>
      <c r="L394" s="5">
        <f t="shared" si="40"/>
        <v>-0.37931688477387543</v>
      </c>
      <c r="M394" s="4" t="str">
        <f t="shared" si="41"/>
        <v>Medium Ratings</v>
      </c>
      <c r="N394" s="34">
        <f t="array" ref="N394">MEDIAN(_xlfn._xlws.FILTER(Table4[Original Price],Table4[Brand-Renamed] = Table4[[#This Row],[Brand]]))</f>
        <v>59999</v>
      </c>
      <c r="O394" s="35">
        <f t="array" ref="O394">MEDIAN(_xlfn._xlws.FILTER(Table4[Selling Price],Table4[Brand-Renamed] =Table4[[#This Row],[Brand-Renamed]]))</f>
        <v>39999</v>
      </c>
    </row>
    <row r="395" spans="1:15" ht="13.8" x14ac:dyDescent="0.25">
      <c r="A395" s="6" t="s">
        <v>88</v>
      </c>
      <c r="B395" s="4" t="str">
        <f t="shared" si="36"/>
        <v>Thomson</v>
      </c>
      <c r="C395" s="6" t="s">
        <v>19</v>
      </c>
      <c r="D395" s="6">
        <v>32</v>
      </c>
      <c r="E395" s="6">
        <v>13499</v>
      </c>
      <c r="F395" s="6">
        <v>15499</v>
      </c>
      <c r="G395" s="6" t="s">
        <v>54</v>
      </c>
      <c r="H395" s="6">
        <v>4.4000000000000004</v>
      </c>
      <c r="I395" s="6">
        <f t="shared" si="37"/>
        <v>2000</v>
      </c>
      <c r="J395">
        <f t="shared" si="38"/>
        <v>0.12904058326343634</v>
      </c>
      <c r="K395" s="6">
        <f t="shared" si="39"/>
        <v>-2000</v>
      </c>
      <c r="L395" s="7">
        <f t="shared" si="40"/>
        <v>-0.14815912289799243</v>
      </c>
      <c r="M395" s="6" t="str">
        <f t="shared" si="41"/>
        <v>Medium Ratings</v>
      </c>
      <c r="N395" s="34">
        <f t="array" ref="N395">MEDIAN(_xlfn._xlws.FILTER(Table4[Original Price],Table4[Brand-Renamed] = Table4[[#This Row],[Brand]]))</f>
        <v>28999</v>
      </c>
      <c r="O395" s="35">
        <f t="array" ref="O395">MEDIAN(_xlfn._xlws.FILTER(Table4[Selling Price],Table4[Brand-Renamed] =Table4[[#This Row],[Brand-Renamed]]))</f>
        <v>21749</v>
      </c>
    </row>
    <row r="396" spans="1:15" ht="13.8" x14ac:dyDescent="0.25">
      <c r="A396" s="4" t="s">
        <v>125</v>
      </c>
      <c r="B396" s="4" t="str">
        <f t="shared" si="36"/>
        <v>Samsung</v>
      </c>
      <c r="C396" s="4" t="s">
        <v>8</v>
      </c>
      <c r="D396" s="4">
        <v>43</v>
      </c>
      <c r="E396" s="4">
        <v>36990</v>
      </c>
      <c r="F396" s="4">
        <v>38900</v>
      </c>
      <c r="G396" s="4" t="s">
        <v>56</v>
      </c>
      <c r="H396" s="4">
        <v>4.0999999999999996</v>
      </c>
      <c r="I396" s="4">
        <f t="shared" si="37"/>
        <v>1910</v>
      </c>
      <c r="J396">
        <f t="shared" si="38"/>
        <v>4.9100257069408737E-2</v>
      </c>
      <c r="K396" s="4">
        <f t="shared" si="39"/>
        <v>-1910</v>
      </c>
      <c r="L396" s="5">
        <f t="shared" si="40"/>
        <v>-5.1635577183022439E-2</v>
      </c>
      <c r="M396" s="4" t="str">
        <f t="shared" si="41"/>
        <v>Medium Ratings</v>
      </c>
      <c r="N396" s="34">
        <f t="array" ref="N396">MEDIAN(_xlfn._xlws.FILTER(Table4[Original Price],Table4[Brand-Renamed] = Table4[[#This Row],[Brand]]))</f>
        <v>100945</v>
      </c>
      <c r="O396" s="35">
        <f t="array" ref="O396">MEDIAN(_xlfn._xlws.FILTER(Table4[Selling Price],Table4[Brand-Renamed] =Table4[[#This Row],[Brand-Renamed]]))</f>
        <v>74490</v>
      </c>
    </row>
    <row r="397" spans="1:15" ht="13.8" x14ac:dyDescent="0.25">
      <c r="A397" s="6" t="s">
        <v>88</v>
      </c>
      <c r="B397" s="4" t="str">
        <f t="shared" si="36"/>
        <v>Thomson</v>
      </c>
      <c r="C397" s="6" t="s">
        <v>8</v>
      </c>
      <c r="D397" s="6">
        <v>43</v>
      </c>
      <c r="E397" s="6">
        <v>20499</v>
      </c>
      <c r="F397" s="6">
        <v>25999</v>
      </c>
      <c r="G397" s="6" t="s">
        <v>54</v>
      </c>
      <c r="H397" s="6">
        <v>4.4000000000000004</v>
      </c>
      <c r="I397" s="6">
        <f t="shared" si="37"/>
        <v>5500</v>
      </c>
      <c r="J397">
        <f t="shared" si="38"/>
        <v>0.21154659794607486</v>
      </c>
      <c r="K397" s="6">
        <f t="shared" si="39"/>
        <v>-5500</v>
      </c>
      <c r="L397" s="7">
        <f t="shared" si="40"/>
        <v>-0.26830577101322017</v>
      </c>
      <c r="M397" s="6" t="str">
        <f t="shared" si="41"/>
        <v>Medium Ratings</v>
      </c>
      <c r="N397" s="34">
        <f t="array" ref="N397">MEDIAN(_xlfn._xlws.FILTER(Table4[Original Price],Table4[Brand-Renamed] = Table4[[#This Row],[Brand]]))</f>
        <v>28999</v>
      </c>
      <c r="O397" s="35">
        <f t="array" ref="O397">MEDIAN(_xlfn._xlws.FILTER(Table4[Selling Price],Table4[Brand-Renamed] =Table4[[#This Row],[Brand-Renamed]]))</f>
        <v>21749</v>
      </c>
    </row>
    <row r="398" spans="1:15" ht="13.8" x14ac:dyDescent="0.25">
      <c r="A398" s="4" t="s">
        <v>39</v>
      </c>
      <c r="B398" s="4" t="str">
        <f t="shared" si="36"/>
        <v>Blaupunkt</v>
      </c>
      <c r="C398" s="4" t="s">
        <v>19</v>
      </c>
      <c r="D398" s="4">
        <v>32</v>
      </c>
      <c r="E398" s="4">
        <v>12999</v>
      </c>
      <c r="F398" s="4">
        <v>19499</v>
      </c>
      <c r="G398" s="4" t="s">
        <v>54</v>
      </c>
      <c r="H398" s="4">
        <v>4.4000000000000004</v>
      </c>
      <c r="I398" s="4">
        <f t="shared" si="37"/>
        <v>6500</v>
      </c>
      <c r="J398">
        <f t="shared" si="38"/>
        <v>0.33335042822708855</v>
      </c>
      <c r="K398" s="4">
        <f t="shared" si="39"/>
        <v>-6500</v>
      </c>
      <c r="L398" s="5">
        <f t="shared" si="40"/>
        <v>-0.50003846449726908</v>
      </c>
      <c r="M398" s="4" t="str">
        <f t="shared" si="41"/>
        <v>Medium Ratings</v>
      </c>
      <c r="N398" s="34">
        <f t="array" ref="N398">MEDIAN(_xlfn._xlws.FILTER(Table4[Original Price],Table4[Brand-Renamed] = Table4[[#This Row],[Brand]]))</f>
        <v>40000</v>
      </c>
      <c r="O398" s="35">
        <f t="array" ref="O398">MEDIAN(_xlfn._xlws.FILTER(Table4[Selling Price],Table4[Brand-Renamed] =Table4[[#This Row],[Brand-Renamed]]))</f>
        <v>21999</v>
      </c>
    </row>
    <row r="399" spans="1:15" ht="13.8" x14ac:dyDescent="0.25">
      <c r="A399" s="6" t="s">
        <v>65</v>
      </c>
      <c r="B399" s="4" t="str">
        <f t="shared" si="36"/>
        <v xml:space="preserve">Lloyd </v>
      </c>
      <c r="C399" s="6" t="s">
        <v>19</v>
      </c>
      <c r="D399" s="6">
        <v>32</v>
      </c>
      <c r="E399" s="6">
        <v>20990</v>
      </c>
      <c r="F399" s="6">
        <v>25900</v>
      </c>
      <c r="G399" s="6" t="s">
        <v>60</v>
      </c>
      <c r="H399" s="6">
        <v>4.8</v>
      </c>
      <c r="I399" s="6">
        <f t="shared" si="37"/>
        <v>4910</v>
      </c>
      <c r="J399">
        <f t="shared" si="38"/>
        <v>0.18957528957528957</v>
      </c>
      <c r="K399" s="6">
        <f t="shared" si="39"/>
        <v>-4910</v>
      </c>
      <c r="L399" s="7">
        <f t="shared" si="40"/>
        <v>-0.23392091472129586</v>
      </c>
      <c r="M399" s="6" t="str">
        <f t="shared" si="41"/>
        <v>Good Ratings</v>
      </c>
      <c r="N399" s="34">
        <f t="array" ref="N399">MEDIAN(_xlfn._xlws.FILTER(Table4[Original Price],Table4[Brand-Renamed] = Table4[[#This Row],[Brand]]))</f>
        <v>44490</v>
      </c>
      <c r="O399" s="35">
        <f t="array" ref="O399">MEDIAN(_xlfn._xlws.FILTER(Table4[Selling Price],Table4[Brand-Renamed] =Table4[[#This Row],[Brand-Renamed]]))</f>
        <v>25740</v>
      </c>
    </row>
    <row r="400" spans="1:15" ht="13.8" x14ac:dyDescent="0.25">
      <c r="A400" s="4" t="s">
        <v>77</v>
      </c>
      <c r="B400" s="4" t="str">
        <f t="shared" si="36"/>
        <v xml:space="preserve">Oxygen </v>
      </c>
      <c r="C400" s="4" t="s">
        <v>32</v>
      </c>
      <c r="D400" s="4">
        <v>50</v>
      </c>
      <c r="E400" s="4">
        <v>35990</v>
      </c>
      <c r="F400" s="4">
        <v>52990</v>
      </c>
      <c r="G400" s="4" t="s">
        <v>54</v>
      </c>
      <c r="H400" s="4"/>
      <c r="I400" s="4">
        <f t="shared" si="37"/>
        <v>17000</v>
      </c>
      <c r="J400">
        <f t="shared" si="38"/>
        <v>0.32081524816003021</v>
      </c>
      <c r="K400" s="4">
        <f t="shared" si="39"/>
        <v>-17000</v>
      </c>
      <c r="L400" s="5">
        <f t="shared" si="40"/>
        <v>-0.47235343150875242</v>
      </c>
      <c r="M400" s="4" t="str">
        <f t="shared" si="41"/>
        <v>Ratings Not Given</v>
      </c>
      <c r="N400" s="34">
        <f t="array" ref="N400">MEDIAN(_xlfn._xlws.FILTER(Table4[Original Price],Table4[Brand-Renamed] = Table4[[#This Row],[Brand]]))</f>
        <v>52990</v>
      </c>
      <c r="O400" s="35">
        <f t="array" ref="O400">MEDIAN(_xlfn._xlws.FILTER(Table4[Selling Price],Table4[Brand-Renamed] =Table4[[#This Row],[Brand-Renamed]]))</f>
        <v>35990</v>
      </c>
    </row>
    <row r="401" spans="1:15" ht="13.8" x14ac:dyDescent="0.25">
      <c r="A401" s="6" t="s">
        <v>13</v>
      </c>
      <c r="B401" s="4" t="str">
        <f t="shared" si="36"/>
        <v>Panasonic</v>
      </c>
      <c r="C401" s="6" t="s">
        <v>32</v>
      </c>
      <c r="D401" s="6">
        <v>65</v>
      </c>
      <c r="E401" s="6">
        <v>90314</v>
      </c>
      <c r="F401" s="6">
        <v>119990</v>
      </c>
      <c r="G401" s="6" t="s">
        <v>60</v>
      </c>
      <c r="H401" s="6"/>
      <c r="I401" s="6">
        <f t="shared" si="37"/>
        <v>29676</v>
      </c>
      <c r="J401">
        <f t="shared" si="38"/>
        <v>0.24732061005083758</v>
      </c>
      <c r="K401" s="6">
        <f t="shared" si="39"/>
        <v>-29676</v>
      </c>
      <c r="L401" s="7">
        <f t="shared" si="40"/>
        <v>-0.32858693004406847</v>
      </c>
      <c r="M401" s="6" t="str">
        <f t="shared" si="41"/>
        <v>Ratings Not Given</v>
      </c>
      <c r="N401" s="34">
        <f t="array" ref="N401">MEDIAN(_xlfn._xlws.FILTER(Table4[Original Price],Table4[Brand-Renamed] = Table4[[#This Row],[Brand]]))</f>
        <v>64195</v>
      </c>
      <c r="O401" s="35">
        <f t="array" ref="O401">MEDIAN(_xlfn._xlws.FILTER(Table4[Selling Price],Table4[Brand-Renamed] =Table4[[#This Row],[Brand-Renamed]]))</f>
        <v>43129</v>
      </c>
    </row>
    <row r="402" spans="1:15" ht="13.8" x14ac:dyDescent="0.25">
      <c r="A402" s="4" t="s">
        <v>45</v>
      </c>
      <c r="B402" s="4" t="str">
        <f t="shared" si="36"/>
        <v xml:space="preserve">Croma </v>
      </c>
      <c r="C402" s="4" t="s">
        <v>19</v>
      </c>
      <c r="D402" s="4">
        <v>32</v>
      </c>
      <c r="E402" s="4">
        <v>20990</v>
      </c>
      <c r="F402" s="4">
        <v>30000</v>
      </c>
      <c r="G402" s="4" t="s">
        <v>54</v>
      </c>
      <c r="H402" s="4">
        <v>3.7</v>
      </c>
      <c r="I402" s="4">
        <f t="shared" si="37"/>
        <v>9010</v>
      </c>
      <c r="J402">
        <f t="shared" si="38"/>
        <v>0.30033333333333334</v>
      </c>
      <c r="K402" s="4">
        <f t="shared" si="39"/>
        <v>-9010</v>
      </c>
      <c r="L402" s="5">
        <f t="shared" si="40"/>
        <v>-0.42925202477370178</v>
      </c>
      <c r="M402" s="4" t="str">
        <f t="shared" si="41"/>
        <v>Bad Ratings</v>
      </c>
      <c r="N402" s="34">
        <f t="array" ref="N402">MEDIAN(_xlfn._xlws.FILTER(Table4[Original Price],Table4[Brand-Renamed] = Table4[[#This Row],[Brand]]))</f>
        <v>25000</v>
      </c>
      <c r="O402" s="35">
        <f t="array" ref="O402">MEDIAN(_xlfn._xlws.FILTER(Table4[Selling Price],Table4[Brand-Renamed] =Table4[[#This Row],[Brand-Renamed]]))</f>
        <v>17740</v>
      </c>
    </row>
    <row r="403" spans="1:15" ht="13.8" x14ac:dyDescent="0.25">
      <c r="A403" s="6" t="s">
        <v>45</v>
      </c>
      <c r="B403" s="4" t="str">
        <f t="shared" si="36"/>
        <v xml:space="preserve">Croma </v>
      </c>
      <c r="C403" s="6" t="s">
        <v>8</v>
      </c>
      <c r="D403" s="6">
        <v>43</v>
      </c>
      <c r="E403" s="6">
        <v>30990</v>
      </c>
      <c r="F403" s="6">
        <v>40000</v>
      </c>
      <c r="G403" s="6" t="s">
        <v>66</v>
      </c>
      <c r="H403" s="6"/>
      <c r="I403" s="6">
        <f t="shared" si="37"/>
        <v>9010</v>
      </c>
      <c r="J403">
        <f t="shared" si="38"/>
        <v>0.22525000000000001</v>
      </c>
      <c r="K403" s="6">
        <f t="shared" si="39"/>
        <v>-9010</v>
      </c>
      <c r="L403" s="7">
        <f t="shared" si="40"/>
        <v>-0.29073894804775735</v>
      </c>
      <c r="M403" s="6" t="str">
        <f t="shared" si="41"/>
        <v>Ratings Not Given</v>
      </c>
      <c r="N403" s="34">
        <f t="array" ref="N403">MEDIAN(_xlfn._xlws.FILTER(Table4[Original Price],Table4[Brand-Renamed] = Table4[[#This Row],[Brand]]))</f>
        <v>25000</v>
      </c>
      <c r="O403" s="35">
        <f t="array" ref="O403">MEDIAN(_xlfn._xlws.FILTER(Table4[Selling Price],Table4[Brand-Renamed] =Table4[[#This Row],[Brand-Renamed]]))</f>
        <v>17740</v>
      </c>
    </row>
    <row r="404" spans="1:15" ht="13.8" x14ac:dyDescent="0.25">
      <c r="A404" s="4" t="s">
        <v>21</v>
      </c>
      <c r="B404" s="4" t="str">
        <f t="shared" si="36"/>
        <v>Micromax</v>
      </c>
      <c r="C404" s="4" t="s">
        <v>19</v>
      </c>
      <c r="D404" s="4">
        <v>32</v>
      </c>
      <c r="E404" s="4">
        <v>23989</v>
      </c>
      <c r="F404" s="4">
        <v>23990</v>
      </c>
      <c r="G404" s="4" t="s">
        <v>54</v>
      </c>
      <c r="H404" s="4">
        <v>4.2</v>
      </c>
      <c r="I404" s="4">
        <f t="shared" si="37"/>
        <v>1</v>
      </c>
      <c r="J404">
        <f t="shared" si="38"/>
        <v>4.1684035014589409E-5</v>
      </c>
      <c r="K404" s="4">
        <f t="shared" si="39"/>
        <v>-1</v>
      </c>
      <c r="L404" s="5">
        <f t="shared" si="40"/>
        <v>-4.1685772645795988E-5</v>
      </c>
      <c r="M404" s="4" t="str">
        <f t="shared" si="41"/>
        <v>Medium Ratings</v>
      </c>
      <c r="N404" s="34">
        <f t="array" ref="N404">MEDIAN(_xlfn._xlws.FILTER(Table4[Original Price],Table4[Brand-Renamed] = Table4[[#This Row],[Brand]]))</f>
        <v>24990</v>
      </c>
      <c r="O404" s="35">
        <f t="array" ref="O404">MEDIAN(_xlfn._xlws.FILTER(Table4[Selling Price],Table4[Brand-Renamed] =Table4[[#This Row],[Brand-Renamed]]))</f>
        <v>16825</v>
      </c>
    </row>
    <row r="405" spans="1:15" ht="13.8" x14ac:dyDescent="0.25">
      <c r="A405" s="6" t="s">
        <v>125</v>
      </c>
      <c r="B405" s="4" t="str">
        <f t="shared" si="36"/>
        <v>Samsung</v>
      </c>
      <c r="C405" s="6" t="s">
        <v>19</v>
      </c>
      <c r="D405" s="6">
        <v>32</v>
      </c>
      <c r="E405" s="6">
        <v>23000</v>
      </c>
      <c r="F405" s="6">
        <v>25900</v>
      </c>
      <c r="G405" s="6" t="s">
        <v>56</v>
      </c>
      <c r="H405" s="6">
        <v>4.4000000000000004</v>
      </c>
      <c r="I405" s="6">
        <f t="shared" si="37"/>
        <v>2900</v>
      </c>
      <c r="J405">
        <f t="shared" si="38"/>
        <v>0.11196911196911197</v>
      </c>
      <c r="K405" s="6">
        <f t="shared" si="39"/>
        <v>-2900</v>
      </c>
      <c r="L405" s="7">
        <f t="shared" si="40"/>
        <v>-0.12608695652173912</v>
      </c>
      <c r="M405" s="6" t="str">
        <f t="shared" si="41"/>
        <v>Medium Ratings</v>
      </c>
      <c r="N405" s="34">
        <f t="array" ref="N405">MEDIAN(_xlfn._xlws.FILTER(Table4[Original Price],Table4[Brand-Renamed] = Table4[[#This Row],[Brand]]))</f>
        <v>100945</v>
      </c>
      <c r="O405" s="35">
        <f t="array" ref="O405">MEDIAN(_xlfn._xlws.FILTER(Table4[Selling Price],Table4[Brand-Renamed] =Table4[[#This Row],[Brand-Renamed]]))</f>
        <v>74490</v>
      </c>
    </row>
    <row r="406" spans="1:15" ht="13.8" x14ac:dyDescent="0.25">
      <c r="A406" s="4" t="s">
        <v>78</v>
      </c>
      <c r="B406" s="4" t="str">
        <f t="shared" si="36"/>
        <v>Power Guard</v>
      </c>
      <c r="C406" s="4" t="s">
        <v>19</v>
      </c>
      <c r="D406" s="4">
        <v>32</v>
      </c>
      <c r="E406" s="4">
        <v>15499</v>
      </c>
      <c r="F406" s="4">
        <v>24990</v>
      </c>
      <c r="G406" s="4" t="s">
        <v>54</v>
      </c>
      <c r="H406" s="4"/>
      <c r="I406" s="4">
        <f t="shared" si="37"/>
        <v>9491</v>
      </c>
      <c r="J406">
        <f t="shared" si="38"/>
        <v>0.37979191676670671</v>
      </c>
      <c r="K406" s="4">
        <f t="shared" si="39"/>
        <v>-9491</v>
      </c>
      <c r="L406" s="5">
        <f t="shared" si="40"/>
        <v>-0.61236208787663715</v>
      </c>
      <c r="M406" s="4" t="str">
        <f t="shared" si="41"/>
        <v>Ratings Not Given</v>
      </c>
      <c r="N406" s="34">
        <f t="array" ref="N406">MEDIAN(_xlfn._xlws.FILTER(Table4[Original Price],Table4[Brand-Renamed] = Table4[[#This Row],[Brand]]))</f>
        <v>28990</v>
      </c>
      <c r="O406" s="35">
        <f t="array" ref="O406">MEDIAN(_xlfn._xlws.FILTER(Table4[Selling Price],Table4[Brand-Renamed] =Table4[[#This Row],[Brand-Renamed]]))</f>
        <v>15650</v>
      </c>
    </row>
    <row r="407" spans="1:15" ht="13.8" x14ac:dyDescent="0.25">
      <c r="A407" s="6" t="s">
        <v>38</v>
      </c>
      <c r="B407" s="4" t="str">
        <f t="shared" si="36"/>
        <v xml:space="preserve">Akai </v>
      </c>
      <c r="C407" s="6" t="s">
        <v>32</v>
      </c>
      <c r="D407" s="6">
        <v>65</v>
      </c>
      <c r="E407" s="6">
        <v>72940</v>
      </c>
      <c r="F407" s="6">
        <v>124990</v>
      </c>
      <c r="G407" s="6" t="s">
        <v>54</v>
      </c>
      <c r="H407" s="6"/>
      <c r="I407" s="6">
        <f t="shared" si="37"/>
        <v>52050</v>
      </c>
      <c r="J407">
        <f t="shared" si="38"/>
        <v>0.41643331466517319</v>
      </c>
      <c r="K407" s="6">
        <f t="shared" si="39"/>
        <v>-52050</v>
      </c>
      <c r="L407" s="7">
        <f t="shared" si="40"/>
        <v>-0.7136002193583767</v>
      </c>
      <c r="M407" s="6" t="str">
        <f t="shared" si="41"/>
        <v>Ratings Not Given</v>
      </c>
      <c r="N407" s="34">
        <f t="array" ref="N407">MEDIAN(_xlfn._xlws.FILTER(Table4[Original Price],Table4[Brand-Renamed] = Table4[[#This Row],[Brand]]))</f>
        <v>79990</v>
      </c>
      <c r="O407" s="35">
        <f t="array" ref="O407">MEDIAN(_xlfn._xlws.FILTER(Table4[Selling Price],Table4[Brand-Renamed] =Table4[[#This Row],[Brand-Renamed]]))</f>
        <v>51146</v>
      </c>
    </row>
    <row r="408" spans="1:15" ht="13.8" x14ac:dyDescent="0.25">
      <c r="A408" s="4" t="s">
        <v>135</v>
      </c>
      <c r="B408" s="4" t="str">
        <f t="shared" si="36"/>
        <v xml:space="preserve">Vg </v>
      </c>
      <c r="C408" s="4" t="s">
        <v>32</v>
      </c>
      <c r="D408" s="4">
        <v>43</v>
      </c>
      <c r="E408" s="4">
        <v>24990</v>
      </c>
      <c r="F408" s="4">
        <v>51000</v>
      </c>
      <c r="G408" s="4" t="s">
        <v>54</v>
      </c>
      <c r="H408" s="4"/>
      <c r="I408" s="4">
        <f t="shared" si="37"/>
        <v>26010</v>
      </c>
      <c r="J408">
        <f t="shared" si="38"/>
        <v>0.51</v>
      </c>
      <c r="K408" s="4">
        <f t="shared" si="39"/>
        <v>-26010</v>
      </c>
      <c r="L408" s="5">
        <f t="shared" si="40"/>
        <v>-1.0408163265306123</v>
      </c>
      <c r="M408" s="4" t="str">
        <f t="shared" si="41"/>
        <v>Ratings Not Given</v>
      </c>
      <c r="N408" s="34">
        <f t="array" ref="N408">MEDIAN(_xlfn._xlws.FILTER(Table4[Original Price],Table4[Brand-Renamed] = Table4[[#This Row],[Brand]]))</f>
        <v>28500</v>
      </c>
      <c r="O408" s="35">
        <f t="array" ref="O408">MEDIAN(_xlfn._xlws.FILTER(Table4[Selling Price],Table4[Brand-Renamed] =Table4[[#This Row],[Brand-Renamed]]))</f>
        <v>18494.5</v>
      </c>
    </row>
    <row r="409" spans="1:15" ht="13.8" x14ac:dyDescent="0.25">
      <c r="A409" s="6" t="s">
        <v>45</v>
      </c>
      <c r="B409" s="4" t="str">
        <f t="shared" si="36"/>
        <v xml:space="preserve">Croma </v>
      </c>
      <c r="C409" s="6" t="s">
        <v>19</v>
      </c>
      <c r="D409" s="6">
        <v>32</v>
      </c>
      <c r="E409" s="6">
        <v>19490</v>
      </c>
      <c r="F409" s="6">
        <v>25000</v>
      </c>
      <c r="G409" s="6" t="s">
        <v>66</v>
      </c>
      <c r="H409" s="6"/>
      <c r="I409" s="6">
        <f t="shared" si="37"/>
        <v>5510</v>
      </c>
      <c r="J409">
        <f t="shared" si="38"/>
        <v>0.22040000000000001</v>
      </c>
      <c r="K409" s="6">
        <f t="shared" si="39"/>
        <v>-5510</v>
      </c>
      <c r="L409" s="7">
        <f t="shared" si="40"/>
        <v>-0.28270908158029756</v>
      </c>
      <c r="M409" s="6" t="str">
        <f t="shared" si="41"/>
        <v>Ratings Not Given</v>
      </c>
      <c r="N409" s="34">
        <f t="array" ref="N409">MEDIAN(_xlfn._xlws.FILTER(Table4[Original Price],Table4[Brand-Renamed] = Table4[[#This Row],[Brand]]))</f>
        <v>25000</v>
      </c>
      <c r="O409" s="35">
        <f t="array" ref="O409">MEDIAN(_xlfn._xlws.FILTER(Table4[Selling Price],Table4[Brand-Renamed] =Table4[[#This Row],[Brand-Renamed]]))</f>
        <v>17740</v>
      </c>
    </row>
    <row r="410" spans="1:15" ht="13.8" x14ac:dyDescent="0.25">
      <c r="A410" s="4" t="s">
        <v>53</v>
      </c>
      <c r="B410" s="4" t="str">
        <f t="shared" si="36"/>
        <v>Infinix</v>
      </c>
      <c r="C410" s="4" t="s">
        <v>8</v>
      </c>
      <c r="D410" s="4">
        <v>40</v>
      </c>
      <c r="E410" s="4">
        <v>18999</v>
      </c>
      <c r="F410" s="4">
        <v>26990</v>
      </c>
      <c r="G410" s="4" t="s">
        <v>54</v>
      </c>
      <c r="H410" s="4">
        <v>4.2</v>
      </c>
      <c r="I410" s="4">
        <f t="shared" si="37"/>
        <v>7991</v>
      </c>
      <c r="J410">
        <f t="shared" si="38"/>
        <v>0.29607261948869951</v>
      </c>
      <c r="K410" s="4">
        <f t="shared" si="39"/>
        <v>-7991</v>
      </c>
      <c r="L410" s="5">
        <f t="shared" si="40"/>
        <v>-0.42060108426759302</v>
      </c>
      <c r="M410" s="4" t="str">
        <f t="shared" si="41"/>
        <v>Medium Ratings</v>
      </c>
      <c r="N410" s="34">
        <f t="array" ref="N410">MEDIAN(_xlfn._xlws.FILTER(Table4[Original Price],Table4[Brand-Renamed] = Table4[[#This Row],[Brand]]))</f>
        <v>24999</v>
      </c>
      <c r="O410" s="35">
        <f t="array" ref="O410">MEDIAN(_xlfn._xlws.FILTER(Table4[Selling Price],Table4[Brand-Renamed] =Table4[[#This Row],[Brand-Renamed]]))</f>
        <v>18999</v>
      </c>
    </row>
    <row r="411" spans="1:15" ht="13.8" x14ac:dyDescent="0.25">
      <c r="A411" s="6" t="s">
        <v>36</v>
      </c>
      <c r="B411" s="4" t="str">
        <f t="shared" si="36"/>
        <v>Adsun</v>
      </c>
      <c r="C411" s="6" t="s">
        <v>19</v>
      </c>
      <c r="D411" s="6">
        <v>24</v>
      </c>
      <c r="E411" s="6">
        <v>6799</v>
      </c>
      <c r="F411" s="6">
        <v>10999</v>
      </c>
      <c r="G411" s="6" t="s">
        <v>54</v>
      </c>
      <c r="H411" s="6">
        <v>3.8</v>
      </c>
      <c r="I411" s="6">
        <f t="shared" si="37"/>
        <v>4200</v>
      </c>
      <c r="J411">
        <f t="shared" si="38"/>
        <v>0.38185289571779252</v>
      </c>
      <c r="K411" s="6">
        <f t="shared" si="39"/>
        <v>-4200</v>
      </c>
      <c r="L411" s="7">
        <f t="shared" si="40"/>
        <v>-0.61773790263274009</v>
      </c>
      <c r="M411" s="6" t="str">
        <f t="shared" si="41"/>
        <v>Medium Ratings</v>
      </c>
      <c r="N411" s="34">
        <f t="array" ref="N411">MEDIAN(_xlfn._xlws.FILTER(Table4[Original Price],Table4[Brand-Renamed] = Table4[[#This Row],[Brand]]))</f>
        <v>21999</v>
      </c>
      <c r="O411" s="35">
        <f t="array" ref="O411">MEDIAN(_xlfn._xlws.FILTER(Table4[Selling Price],Table4[Brand-Renamed] =Table4[[#This Row],[Brand-Renamed]]))</f>
        <v>13699</v>
      </c>
    </row>
    <row r="412" spans="1:15" ht="13.8" x14ac:dyDescent="0.25">
      <c r="A412" s="4" t="s">
        <v>119</v>
      </c>
      <c r="B412" s="4" t="str">
        <f t="shared" si="36"/>
        <v xml:space="preserve">Tcl </v>
      </c>
      <c r="C412" s="4" t="s">
        <v>32</v>
      </c>
      <c r="D412" s="4">
        <v>65</v>
      </c>
      <c r="E412" s="4">
        <v>68990</v>
      </c>
      <c r="F412" s="4">
        <v>127445</v>
      </c>
      <c r="G412" s="4" t="s">
        <v>54</v>
      </c>
      <c r="H412" s="4">
        <v>4.5</v>
      </c>
      <c r="I412" s="4">
        <f t="shared" si="37"/>
        <v>58455</v>
      </c>
      <c r="J412">
        <f t="shared" si="38"/>
        <v>0.45866844521165995</v>
      </c>
      <c r="K412" s="4">
        <f t="shared" si="39"/>
        <v>-58455</v>
      </c>
      <c r="L412" s="5">
        <f t="shared" si="40"/>
        <v>-0.8472967096680678</v>
      </c>
      <c r="M412" s="4" t="str">
        <f t="shared" si="41"/>
        <v>Good Ratings</v>
      </c>
      <c r="N412" s="34">
        <f t="array" ref="N412">MEDIAN(_xlfn._xlws.FILTER(Table4[Original Price],Table4[Brand-Renamed] = Table4[[#This Row],[Brand]]))</f>
        <v>77990</v>
      </c>
      <c r="O412" s="35">
        <f t="array" ref="O412">MEDIAN(_xlfn._xlws.FILTER(Table4[Selling Price],Table4[Brand-Renamed] =Table4[[#This Row],[Brand-Renamed]]))</f>
        <v>40999</v>
      </c>
    </row>
    <row r="413" spans="1:15" ht="13.8" x14ac:dyDescent="0.25">
      <c r="A413" s="6" t="s">
        <v>127</v>
      </c>
      <c r="B413" s="4" t="str">
        <f t="shared" si="36"/>
        <v xml:space="preserve">Kodak </v>
      </c>
      <c r="C413" s="6" t="s">
        <v>8</v>
      </c>
      <c r="D413" s="6">
        <v>43</v>
      </c>
      <c r="E413" s="6">
        <v>22499</v>
      </c>
      <c r="F413" s="6">
        <v>24999</v>
      </c>
      <c r="G413" s="6" t="s">
        <v>54</v>
      </c>
      <c r="H413" s="6">
        <v>4.4000000000000004</v>
      </c>
      <c r="I413" s="6">
        <f t="shared" si="37"/>
        <v>2500</v>
      </c>
      <c r="J413">
        <f t="shared" si="38"/>
        <v>0.10000400016000641</v>
      </c>
      <c r="K413" s="6">
        <f t="shared" si="39"/>
        <v>-2500</v>
      </c>
      <c r="L413" s="7">
        <f t="shared" si="40"/>
        <v>-0.11111604960220454</v>
      </c>
      <c r="M413" s="6" t="str">
        <f t="shared" si="41"/>
        <v>Medium Ratings</v>
      </c>
      <c r="N413" s="34">
        <f t="array" ref="N413">MEDIAN(_xlfn._xlws.FILTER(Table4[Original Price],Table4[Brand-Renamed] = Table4[[#This Row],[Brand]]))</f>
        <v>31990</v>
      </c>
      <c r="O413" s="35">
        <f t="array" ref="O413">MEDIAN(_xlfn._xlws.FILTER(Table4[Selling Price],Table4[Brand-Renamed] =Table4[[#This Row],[Brand-Renamed]]))</f>
        <v>22499</v>
      </c>
    </row>
    <row r="414" spans="1:15" ht="13.8" x14ac:dyDescent="0.25">
      <c r="A414" s="4" t="s">
        <v>128</v>
      </c>
      <c r="B414" s="4" t="str">
        <f t="shared" si="36"/>
        <v>Motorola</v>
      </c>
      <c r="C414" s="4" t="s">
        <v>8</v>
      </c>
      <c r="D414" s="4">
        <v>43</v>
      </c>
      <c r="E414" s="4">
        <v>27999</v>
      </c>
      <c r="F414" s="4">
        <v>35500</v>
      </c>
      <c r="G414" s="4" t="s">
        <v>54</v>
      </c>
      <c r="H414" s="4">
        <v>4.3</v>
      </c>
      <c r="I414" s="4">
        <f t="shared" si="37"/>
        <v>7501</v>
      </c>
      <c r="J414">
        <f t="shared" si="38"/>
        <v>0.21129577464788732</v>
      </c>
      <c r="K414" s="4">
        <f t="shared" si="39"/>
        <v>-7501</v>
      </c>
      <c r="L414" s="5">
        <f t="shared" si="40"/>
        <v>-0.26790242508661022</v>
      </c>
      <c r="M414" s="4" t="str">
        <f t="shared" si="41"/>
        <v>Medium Ratings</v>
      </c>
      <c r="N414" s="34">
        <f t="array" ref="N414">MEDIAN(_xlfn._xlws.FILTER(Table4[Original Price],Table4[Brand-Renamed] = Table4[[#This Row],[Brand]]))</f>
        <v>54050</v>
      </c>
      <c r="O414" s="35">
        <f t="array" ref="O414">MEDIAN(_xlfn._xlws.FILTER(Table4[Selling Price],Table4[Brand-Renamed] =Table4[[#This Row],[Brand-Renamed]]))</f>
        <v>35999</v>
      </c>
    </row>
    <row r="415" spans="1:15" ht="13.8" x14ac:dyDescent="0.25">
      <c r="A415" s="6" t="s">
        <v>76</v>
      </c>
      <c r="B415" s="4" t="str">
        <f t="shared" si="36"/>
        <v xml:space="preserve">Onix </v>
      </c>
      <c r="C415" s="6" t="s">
        <v>8</v>
      </c>
      <c r="D415" s="6">
        <v>43</v>
      </c>
      <c r="E415" s="6">
        <v>29990</v>
      </c>
      <c r="F415" s="6">
        <v>38790</v>
      </c>
      <c r="G415" s="6" t="s">
        <v>54</v>
      </c>
      <c r="H415" s="6">
        <v>4.9000000000000004</v>
      </c>
      <c r="I415" s="6">
        <f t="shared" si="37"/>
        <v>8800</v>
      </c>
      <c r="J415">
        <f t="shared" si="38"/>
        <v>0.22686259345192059</v>
      </c>
      <c r="K415" s="6">
        <f t="shared" si="39"/>
        <v>-8800</v>
      </c>
      <c r="L415" s="7">
        <f t="shared" si="40"/>
        <v>-0.29343114371457152</v>
      </c>
      <c r="M415" s="6" t="str">
        <f t="shared" si="41"/>
        <v>Good Ratings</v>
      </c>
      <c r="N415" s="34">
        <f t="array" ref="N415">MEDIAN(_xlfn._xlws.FILTER(Table4[Original Price],Table4[Brand-Renamed] = Table4[[#This Row],[Brand]]))</f>
        <v>37390</v>
      </c>
      <c r="O415" s="35">
        <f t="array" ref="O415">MEDIAN(_xlfn._xlws.FILTER(Table4[Selling Price],Table4[Brand-Renamed] =Table4[[#This Row],[Brand-Renamed]]))</f>
        <v>32990</v>
      </c>
    </row>
    <row r="416" spans="1:15" ht="13.8" x14ac:dyDescent="0.25">
      <c r="A416" s="4" t="s">
        <v>86</v>
      </c>
      <c r="B416" s="4" t="str">
        <f t="shared" si="36"/>
        <v>Sun King</v>
      </c>
      <c r="C416" s="4" t="s">
        <v>19</v>
      </c>
      <c r="D416" s="4">
        <v>32</v>
      </c>
      <c r="E416" s="4">
        <v>24999</v>
      </c>
      <c r="F416" s="4">
        <v>49998</v>
      </c>
      <c r="G416" s="4"/>
      <c r="H416" s="4"/>
      <c r="I416" s="4">
        <f t="shared" si="37"/>
        <v>24999</v>
      </c>
      <c r="J416">
        <f t="shared" si="38"/>
        <v>0.5</v>
      </c>
      <c r="K416" s="4">
        <f t="shared" si="39"/>
        <v>-24999</v>
      </c>
      <c r="L416" s="5">
        <f t="shared" si="40"/>
        <v>-1</v>
      </c>
      <c r="M416" s="4" t="str">
        <f t="shared" si="41"/>
        <v>Ratings Not Given</v>
      </c>
      <c r="N416" s="34">
        <f t="array" ref="N416">MEDIAN(_xlfn._xlws.FILTER(Table4[Original Price],Table4[Brand-Renamed] = Table4[[#This Row],[Brand]]))</f>
        <v>49998</v>
      </c>
      <c r="O416" s="35">
        <f t="array" ref="O416">MEDIAN(_xlfn._xlws.FILTER(Table4[Selling Price],Table4[Brand-Renamed] =Table4[[#This Row],[Brand-Renamed]]))</f>
        <v>24999</v>
      </c>
    </row>
    <row r="417" spans="1:15" ht="13.8" x14ac:dyDescent="0.25">
      <c r="A417" s="6" t="s">
        <v>122</v>
      </c>
      <c r="B417" s="4" t="str">
        <f t="shared" si="36"/>
        <v xml:space="preserve">Lg </v>
      </c>
      <c r="C417" s="6" t="s">
        <v>32</v>
      </c>
      <c r="D417" s="6">
        <v>48</v>
      </c>
      <c r="E417" s="6">
        <v>105990</v>
      </c>
      <c r="F417" s="6">
        <v>110690</v>
      </c>
      <c r="G417" s="6" t="s">
        <v>58</v>
      </c>
      <c r="H417" s="6"/>
      <c r="I417" s="6">
        <f t="shared" si="37"/>
        <v>4700</v>
      </c>
      <c r="J417">
        <f t="shared" si="38"/>
        <v>4.2460926913000269E-2</v>
      </c>
      <c r="K417" s="6">
        <f t="shared" si="39"/>
        <v>-4700</v>
      </c>
      <c r="L417" s="7">
        <f t="shared" si="40"/>
        <v>-4.4343806019435793E-2</v>
      </c>
      <c r="M417" s="6" t="str">
        <f t="shared" si="41"/>
        <v>Ratings Not Given</v>
      </c>
      <c r="N417" s="34">
        <f t="array" ref="N417">MEDIAN(_xlfn._xlws.FILTER(Table4[Original Price],Table4[Brand-Renamed] = Table4[[#This Row],[Brand]]))</f>
        <v>98990</v>
      </c>
      <c r="O417" s="35">
        <f t="array" ref="O417">MEDIAN(_xlfn._xlws.FILTER(Table4[Selling Price],Table4[Brand-Renamed] =Table4[[#This Row],[Brand-Renamed]]))</f>
        <v>76737</v>
      </c>
    </row>
    <row r="418" spans="1:15" ht="13.8" x14ac:dyDescent="0.25">
      <c r="A418" s="4" t="s">
        <v>122</v>
      </c>
      <c r="B418" s="4" t="str">
        <f t="shared" si="36"/>
        <v xml:space="preserve">Lg </v>
      </c>
      <c r="C418" s="4" t="s">
        <v>32</v>
      </c>
      <c r="D418" s="4">
        <v>65</v>
      </c>
      <c r="E418" s="4">
        <v>174999</v>
      </c>
      <c r="F418" s="4">
        <v>209990</v>
      </c>
      <c r="G418" s="4" t="s">
        <v>58</v>
      </c>
      <c r="H418" s="4"/>
      <c r="I418" s="4">
        <f t="shared" si="37"/>
        <v>34991</v>
      </c>
      <c r="J418">
        <f t="shared" si="38"/>
        <v>0.16663174436877948</v>
      </c>
      <c r="K418" s="4">
        <f t="shared" si="39"/>
        <v>-34991</v>
      </c>
      <c r="L418" s="5">
        <f t="shared" si="40"/>
        <v>-0.1999497139983657</v>
      </c>
      <c r="M418" s="4" t="str">
        <f t="shared" si="41"/>
        <v>Ratings Not Given</v>
      </c>
      <c r="N418" s="34">
        <f t="array" ref="N418">MEDIAN(_xlfn._xlws.FILTER(Table4[Original Price],Table4[Brand-Renamed] = Table4[[#This Row],[Brand]]))</f>
        <v>98990</v>
      </c>
      <c r="O418" s="35">
        <f t="array" ref="O418">MEDIAN(_xlfn._xlws.FILTER(Table4[Selling Price],Table4[Brand-Renamed] =Table4[[#This Row],[Brand-Renamed]]))</f>
        <v>76737</v>
      </c>
    </row>
    <row r="419" spans="1:15" ht="13.8" x14ac:dyDescent="0.25">
      <c r="A419" s="6" t="s">
        <v>119</v>
      </c>
      <c r="B419" s="4" t="str">
        <f t="shared" si="36"/>
        <v xml:space="preserve">Tcl </v>
      </c>
      <c r="C419" s="6" t="s">
        <v>19</v>
      </c>
      <c r="D419" s="6">
        <v>32</v>
      </c>
      <c r="E419" s="6">
        <v>15499</v>
      </c>
      <c r="F419" s="6">
        <v>22990</v>
      </c>
      <c r="G419" s="6" t="s">
        <v>54</v>
      </c>
      <c r="H419" s="6">
        <v>4.2</v>
      </c>
      <c r="I419" s="6">
        <f t="shared" si="37"/>
        <v>7491</v>
      </c>
      <c r="J419">
        <f t="shared" si="38"/>
        <v>0.3258373205741627</v>
      </c>
      <c r="K419" s="6">
        <f t="shared" si="39"/>
        <v>-7491</v>
      </c>
      <c r="L419" s="7">
        <f t="shared" si="40"/>
        <v>-0.48332150461320084</v>
      </c>
      <c r="M419" s="6" t="str">
        <f t="shared" si="41"/>
        <v>Medium Ratings</v>
      </c>
      <c r="N419" s="34">
        <f t="array" ref="N419">MEDIAN(_xlfn._xlws.FILTER(Table4[Original Price],Table4[Brand-Renamed] = Table4[[#This Row],[Brand]]))</f>
        <v>77990</v>
      </c>
      <c r="O419" s="35">
        <f t="array" ref="O419">MEDIAN(_xlfn._xlws.FILTER(Table4[Selling Price],Table4[Brand-Renamed] =Table4[[#This Row],[Brand-Renamed]]))</f>
        <v>40999</v>
      </c>
    </row>
    <row r="420" spans="1:15" ht="13.8" x14ac:dyDescent="0.25">
      <c r="A420" s="4" t="s">
        <v>76</v>
      </c>
      <c r="B420" s="4" t="str">
        <f t="shared" si="36"/>
        <v xml:space="preserve">Onix </v>
      </c>
      <c r="C420" s="4" t="s">
        <v>8</v>
      </c>
      <c r="D420" s="4">
        <v>43</v>
      </c>
      <c r="E420" s="4">
        <v>39000</v>
      </c>
      <c r="F420" s="4">
        <v>46990</v>
      </c>
      <c r="G420" s="4" t="s">
        <v>54</v>
      </c>
      <c r="H420" s="4"/>
      <c r="I420" s="4">
        <f t="shared" si="37"/>
        <v>7990</v>
      </c>
      <c r="J420">
        <f t="shared" si="38"/>
        <v>0.17003617791019365</v>
      </c>
      <c r="K420" s="4">
        <f t="shared" si="39"/>
        <v>-7990</v>
      </c>
      <c r="L420" s="5">
        <f t="shared" si="40"/>
        <v>-0.20487179487179488</v>
      </c>
      <c r="M420" s="4" t="str">
        <f t="shared" si="41"/>
        <v>Ratings Not Given</v>
      </c>
      <c r="N420" s="34">
        <f t="array" ref="N420">MEDIAN(_xlfn._xlws.FILTER(Table4[Original Price],Table4[Brand-Renamed] = Table4[[#This Row],[Brand]]))</f>
        <v>37390</v>
      </c>
      <c r="O420" s="35">
        <f t="array" ref="O420">MEDIAN(_xlfn._xlws.FILTER(Table4[Selling Price],Table4[Brand-Renamed] =Table4[[#This Row],[Brand-Renamed]]))</f>
        <v>32990</v>
      </c>
    </row>
    <row r="421" spans="1:15" ht="13.8" x14ac:dyDescent="0.25">
      <c r="A421" s="6" t="s">
        <v>119</v>
      </c>
      <c r="B421" s="4" t="str">
        <f t="shared" si="36"/>
        <v xml:space="preserve">Tcl </v>
      </c>
      <c r="C421" s="6" t="s">
        <v>32</v>
      </c>
      <c r="D421" s="6">
        <v>55</v>
      </c>
      <c r="E421" s="6">
        <v>104999</v>
      </c>
      <c r="F421" s="6">
        <v>239990</v>
      </c>
      <c r="G421" s="6" t="s">
        <v>54</v>
      </c>
      <c r="H421" s="6"/>
      <c r="I421" s="6">
        <f t="shared" si="37"/>
        <v>134991</v>
      </c>
      <c r="J421">
        <f t="shared" si="38"/>
        <v>0.56248593691403803</v>
      </c>
      <c r="K421" s="6">
        <f t="shared" si="39"/>
        <v>-134991</v>
      </c>
      <c r="L421" s="7">
        <f t="shared" si="40"/>
        <v>-1.2856408156268155</v>
      </c>
      <c r="M421" s="6" t="str">
        <f t="shared" si="41"/>
        <v>Ratings Not Given</v>
      </c>
      <c r="N421" s="34">
        <f t="array" ref="N421">MEDIAN(_xlfn._xlws.FILTER(Table4[Original Price],Table4[Brand-Renamed] = Table4[[#This Row],[Brand]]))</f>
        <v>77990</v>
      </c>
      <c r="O421" s="35">
        <f t="array" ref="O421">MEDIAN(_xlfn._xlws.FILTER(Table4[Selling Price],Table4[Brand-Renamed] =Table4[[#This Row],[Brand-Renamed]]))</f>
        <v>40999</v>
      </c>
    </row>
    <row r="422" spans="1:15" ht="13.8" x14ac:dyDescent="0.25">
      <c r="A422" s="4" t="s">
        <v>125</v>
      </c>
      <c r="B422" s="4" t="str">
        <f t="shared" si="36"/>
        <v>Samsung</v>
      </c>
      <c r="C422" s="4" t="s">
        <v>32</v>
      </c>
      <c r="D422" s="4">
        <v>55</v>
      </c>
      <c r="E422" s="4">
        <v>149900</v>
      </c>
      <c r="F422" s="4">
        <v>149900</v>
      </c>
      <c r="G422" s="4" t="s">
        <v>56</v>
      </c>
      <c r="H422" s="4"/>
      <c r="I422" s="4">
        <f t="shared" si="37"/>
        <v>0</v>
      </c>
      <c r="J422" t="str">
        <f t="shared" si="38"/>
        <v>Discount Not Applied</v>
      </c>
      <c r="K422" s="4">
        <f t="shared" si="39"/>
        <v>0</v>
      </c>
      <c r="L422" s="5">
        <f t="shared" si="40"/>
        <v>0</v>
      </c>
      <c r="M422" s="4" t="str">
        <f t="shared" si="41"/>
        <v>Ratings Not Given</v>
      </c>
      <c r="N422" s="34">
        <f t="array" ref="N422">MEDIAN(_xlfn._xlws.FILTER(Table4[Original Price],Table4[Brand-Renamed] = Table4[[#This Row],[Brand]]))</f>
        <v>100945</v>
      </c>
      <c r="O422" s="35">
        <f t="array" ref="O422">MEDIAN(_xlfn._xlws.FILTER(Table4[Selling Price],Table4[Brand-Renamed] =Table4[[#This Row],[Brand-Renamed]]))</f>
        <v>74490</v>
      </c>
    </row>
    <row r="423" spans="1:15" ht="13.8" x14ac:dyDescent="0.25">
      <c r="A423" s="6" t="s">
        <v>50</v>
      </c>
      <c r="B423" s="4" t="str">
        <f t="shared" si="36"/>
        <v xml:space="preserve">Haier </v>
      </c>
      <c r="C423" s="6" t="s">
        <v>8</v>
      </c>
      <c r="D423" s="6">
        <v>43</v>
      </c>
      <c r="E423" s="6">
        <v>30490</v>
      </c>
      <c r="F423" s="6">
        <v>38990</v>
      </c>
      <c r="G423" s="6" t="s">
        <v>54</v>
      </c>
      <c r="H423" s="6">
        <v>4.3</v>
      </c>
      <c r="I423" s="6">
        <f t="shared" si="37"/>
        <v>8500</v>
      </c>
      <c r="J423">
        <f t="shared" si="38"/>
        <v>0.21800461656835085</v>
      </c>
      <c r="K423" s="6">
        <f t="shared" si="39"/>
        <v>-8500</v>
      </c>
      <c r="L423" s="7">
        <f t="shared" si="40"/>
        <v>-0.27877992784519512</v>
      </c>
      <c r="M423" s="6" t="str">
        <f t="shared" si="41"/>
        <v>Medium Ratings</v>
      </c>
      <c r="N423" s="34">
        <f t="array" ref="N423">MEDIAN(_xlfn._xlws.FILTER(Table4[Original Price],Table4[Brand-Renamed] = Table4[[#This Row],[Brand]]))</f>
        <v>43990</v>
      </c>
      <c r="O423" s="35">
        <f t="array" ref="O423">MEDIAN(_xlfn._xlws.FILTER(Table4[Selling Price],Table4[Brand-Renamed] =Table4[[#This Row],[Brand-Renamed]]))</f>
        <v>30994.5</v>
      </c>
    </row>
    <row r="424" spans="1:15" ht="13.8" x14ac:dyDescent="0.25">
      <c r="A424" s="4" t="s">
        <v>135</v>
      </c>
      <c r="B424" s="4" t="str">
        <f t="shared" si="36"/>
        <v xml:space="preserve">Vg </v>
      </c>
      <c r="C424" s="4" t="s">
        <v>19</v>
      </c>
      <c r="D424" s="4">
        <v>39</v>
      </c>
      <c r="E424" s="4">
        <v>18990</v>
      </c>
      <c r="F424" s="4">
        <v>26000</v>
      </c>
      <c r="G424" s="4" t="s">
        <v>54</v>
      </c>
      <c r="H424" s="4"/>
      <c r="I424" s="4">
        <f t="shared" si="37"/>
        <v>7010</v>
      </c>
      <c r="J424">
        <f t="shared" si="38"/>
        <v>0.26961538461538459</v>
      </c>
      <c r="K424" s="4">
        <f t="shared" si="39"/>
        <v>-7010</v>
      </c>
      <c r="L424" s="5">
        <f t="shared" si="40"/>
        <v>-0.36914165350184308</v>
      </c>
      <c r="M424" s="4" t="str">
        <f t="shared" si="41"/>
        <v>Ratings Not Given</v>
      </c>
      <c r="N424" s="34">
        <f t="array" ref="N424">MEDIAN(_xlfn._xlws.FILTER(Table4[Original Price],Table4[Brand-Renamed] = Table4[[#This Row],[Brand]]))</f>
        <v>28500</v>
      </c>
      <c r="O424" s="35">
        <f t="array" ref="O424">MEDIAN(_xlfn._xlws.FILTER(Table4[Selling Price],Table4[Brand-Renamed] =Table4[[#This Row],[Brand-Renamed]]))</f>
        <v>18494.5</v>
      </c>
    </row>
    <row r="425" spans="1:15" ht="13.8" x14ac:dyDescent="0.25">
      <c r="A425" s="6" t="s">
        <v>125</v>
      </c>
      <c r="B425" s="4" t="str">
        <f t="shared" si="36"/>
        <v>Samsung</v>
      </c>
      <c r="C425" s="6" t="s">
        <v>32</v>
      </c>
      <c r="D425" s="6">
        <v>49</v>
      </c>
      <c r="E425" s="6">
        <v>129900</v>
      </c>
      <c r="F425" s="6">
        <v>129900</v>
      </c>
      <c r="G425" s="6" t="s">
        <v>56</v>
      </c>
      <c r="H425" s="6">
        <v>3.4</v>
      </c>
      <c r="I425" s="6">
        <f t="shared" si="37"/>
        <v>0</v>
      </c>
      <c r="J425" t="str">
        <f t="shared" si="38"/>
        <v>Discount Not Applied</v>
      </c>
      <c r="K425" s="6">
        <f t="shared" si="39"/>
        <v>0</v>
      </c>
      <c r="L425" s="7">
        <f t="shared" si="40"/>
        <v>0</v>
      </c>
      <c r="M425" s="6" t="str">
        <f t="shared" si="41"/>
        <v>Bad Ratings</v>
      </c>
      <c r="N425" s="34">
        <f t="array" ref="N425">MEDIAN(_xlfn._xlws.FILTER(Table4[Original Price],Table4[Brand-Renamed] = Table4[[#This Row],[Brand]]))</f>
        <v>100945</v>
      </c>
      <c r="O425" s="35">
        <f t="array" ref="O425">MEDIAN(_xlfn._xlws.FILTER(Table4[Selling Price],Table4[Brand-Renamed] =Table4[[#This Row],[Brand-Renamed]]))</f>
        <v>74490</v>
      </c>
    </row>
    <row r="426" spans="1:15" ht="13.8" x14ac:dyDescent="0.25">
      <c r="A426" s="4" t="s">
        <v>122</v>
      </c>
      <c r="B426" s="4" t="str">
        <f t="shared" si="36"/>
        <v xml:space="preserve">Lg </v>
      </c>
      <c r="C426" s="4" t="s">
        <v>8</v>
      </c>
      <c r="D426" s="4">
        <v>49</v>
      </c>
      <c r="E426" s="4">
        <v>77900</v>
      </c>
      <c r="F426" s="4">
        <v>77900</v>
      </c>
      <c r="G426" s="4" t="s">
        <v>58</v>
      </c>
      <c r="H426" s="4">
        <v>4.0999999999999996</v>
      </c>
      <c r="I426" s="4">
        <f t="shared" si="37"/>
        <v>0</v>
      </c>
      <c r="J426" t="str">
        <f t="shared" si="38"/>
        <v>Discount Not Applied</v>
      </c>
      <c r="K426" s="4">
        <f t="shared" si="39"/>
        <v>0</v>
      </c>
      <c r="L426" s="5">
        <f t="shared" si="40"/>
        <v>0</v>
      </c>
      <c r="M426" s="4" t="str">
        <f t="shared" si="41"/>
        <v>Medium Ratings</v>
      </c>
      <c r="N426" s="34">
        <f t="array" ref="N426">MEDIAN(_xlfn._xlws.FILTER(Table4[Original Price],Table4[Brand-Renamed] = Table4[[#This Row],[Brand]]))</f>
        <v>98990</v>
      </c>
      <c r="O426" s="35">
        <f t="array" ref="O426">MEDIAN(_xlfn._xlws.FILTER(Table4[Selling Price],Table4[Brand-Renamed] =Table4[[#This Row],[Brand-Renamed]]))</f>
        <v>76737</v>
      </c>
    </row>
    <row r="427" spans="1:15" ht="13.8" x14ac:dyDescent="0.25">
      <c r="A427" s="6" t="s">
        <v>125</v>
      </c>
      <c r="B427" s="4" t="str">
        <f t="shared" si="36"/>
        <v>Samsung</v>
      </c>
      <c r="C427" s="6" t="s">
        <v>32</v>
      </c>
      <c r="D427" s="6">
        <v>49</v>
      </c>
      <c r="E427" s="6">
        <v>136500</v>
      </c>
      <c r="F427" s="6">
        <v>136500</v>
      </c>
      <c r="G427" s="6" t="s">
        <v>56</v>
      </c>
      <c r="H427" s="6">
        <v>4.4000000000000004</v>
      </c>
      <c r="I427" s="6">
        <f t="shared" si="37"/>
        <v>0</v>
      </c>
      <c r="J427" t="str">
        <f t="shared" si="38"/>
        <v>Discount Not Applied</v>
      </c>
      <c r="K427" s="6">
        <f t="shared" si="39"/>
        <v>0</v>
      </c>
      <c r="L427" s="7">
        <f t="shared" si="40"/>
        <v>0</v>
      </c>
      <c r="M427" s="6" t="str">
        <f t="shared" si="41"/>
        <v>Medium Ratings</v>
      </c>
      <c r="N427" s="34">
        <f t="array" ref="N427">MEDIAN(_xlfn._xlws.FILTER(Table4[Original Price],Table4[Brand-Renamed] = Table4[[#This Row],[Brand]]))</f>
        <v>100945</v>
      </c>
      <c r="O427" s="35">
        <f t="array" ref="O427">MEDIAN(_xlfn._xlws.FILTER(Table4[Selling Price],Table4[Brand-Renamed] =Table4[[#This Row],[Brand-Renamed]]))</f>
        <v>74490</v>
      </c>
    </row>
    <row r="428" spans="1:15" ht="13.8" x14ac:dyDescent="0.25">
      <c r="A428" s="4" t="s">
        <v>127</v>
      </c>
      <c r="B428" s="4" t="str">
        <f t="shared" si="36"/>
        <v xml:space="preserve">Kodak </v>
      </c>
      <c r="C428" s="4" t="s">
        <v>19</v>
      </c>
      <c r="D428" s="4">
        <v>32</v>
      </c>
      <c r="E428" s="4">
        <v>11499</v>
      </c>
      <c r="F428" s="4">
        <v>15999</v>
      </c>
      <c r="G428" s="4" t="s">
        <v>54</v>
      </c>
      <c r="H428" s="4">
        <v>4.0999999999999996</v>
      </c>
      <c r="I428" s="4">
        <f t="shared" si="37"/>
        <v>4500</v>
      </c>
      <c r="J428">
        <f t="shared" si="38"/>
        <v>0.28126757922370149</v>
      </c>
      <c r="K428" s="4">
        <f t="shared" si="39"/>
        <v>-4500</v>
      </c>
      <c r="L428" s="5">
        <f t="shared" si="40"/>
        <v>-0.39133837725019566</v>
      </c>
      <c r="M428" s="4" t="str">
        <f t="shared" si="41"/>
        <v>Medium Ratings</v>
      </c>
      <c r="N428" s="34">
        <f t="array" ref="N428">MEDIAN(_xlfn._xlws.FILTER(Table4[Original Price],Table4[Brand-Renamed] = Table4[[#This Row],[Brand]]))</f>
        <v>31990</v>
      </c>
      <c r="O428" s="35">
        <f t="array" ref="O428">MEDIAN(_xlfn._xlws.FILTER(Table4[Selling Price],Table4[Brand-Renamed] =Table4[[#This Row],[Brand-Renamed]]))</f>
        <v>22499</v>
      </c>
    </row>
    <row r="429" spans="1:15" ht="13.8" x14ac:dyDescent="0.25">
      <c r="A429" s="6" t="s">
        <v>76</v>
      </c>
      <c r="B429" s="4" t="str">
        <f t="shared" si="36"/>
        <v xml:space="preserve">Onix </v>
      </c>
      <c r="C429" s="6" t="s">
        <v>19</v>
      </c>
      <c r="D429" s="6">
        <v>32</v>
      </c>
      <c r="E429" s="6">
        <v>15990</v>
      </c>
      <c r="F429" s="6">
        <v>16990</v>
      </c>
      <c r="G429" s="6" t="s">
        <v>54</v>
      </c>
      <c r="H429" s="6"/>
      <c r="I429" s="6">
        <f t="shared" si="37"/>
        <v>1000</v>
      </c>
      <c r="J429">
        <f t="shared" si="38"/>
        <v>5.885815185403178E-2</v>
      </c>
      <c r="K429" s="6">
        <f t="shared" si="39"/>
        <v>-1000</v>
      </c>
      <c r="L429" s="7">
        <f t="shared" si="40"/>
        <v>-6.2539086929330828E-2</v>
      </c>
      <c r="M429" s="6" t="str">
        <f t="shared" si="41"/>
        <v>Ratings Not Given</v>
      </c>
      <c r="N429" s="34">
        <f t="array" ref="N429">MEDIAN(_xlfn._xlws.FILTER(Table4[Original Price],Table4[Brand-Renamed] = Table4[[#This Row],[Brand]]))</f>
        <v>37390</v>
      </c>
      <c r="O429" s="35">
        <f t="array" ref="O429">MEDIAN(_xlfn._xlws.FILTER(Table4[Selling Price],Table4[Brand-Renamed] =Table4[[#This Row],[Brand-Renamed]]))</f>
        <v>32990</v>
      </c>
    </row>
    <row r="430" spans="1:15" ht="13.8" x14ac:dyDescent="0.25">
      <c r="A430" s="4" t="s">
        <v>122</v>
      </c>
      <c r="B430" s="4" t="str">
        <f t="shared" si="36"/>
        <v xml:space="preserve">Lg </v>
      </c>
      <c r="C430" s="4" t="s">
        <v>32</v>
      </c>
      <c r="D430" s="4">
        <v>48</v>
      </c>
      <c r="E430" s="4">
        <v>103990</v>
      </c>
      <c r="F430" s="4">
        <v>199990</v>
      </c>
      <c r="G430" s="4" t="s">
        <v>58</v>
      </c>
      <c r="H430" s="4"/>
      <c r="I430" s="4">
        <f t="shared" si="37"/>
        <v>96000</v>
      </c>
      <c r="J430">
        <f t="shared" si="38"/>
        <v>0.48002400120006</v>
      </c>
      <c r="K430" s="4">
        <f t="shared" si="39"/>
        <v>-96000</v>
      </c>
      <c r="L430" s="5">
        <f t="shared" si="40"/>
        <v>-0.92316568900855855</v>
      </c>
      <c r="M430" s="4" t="str">
        <f t="shared" si="41"/>
        <v>Ratings Not Given</v>
      </c>
      <c r="N430" s="34">
        <f t="array" ref="N430">MEDIAN(_xlfn._xlws.FILTER(Table4[Original Price],Table4[Brand-Renamed] = Table4[[#This Row],[Brand]]))</f>
        <v>98990</v>
      </c>
      <c r="O430" s="35">
        <f t="array" ref="O430">MEDIAN(_xlfn._xlws.FILTER(Table4[Selling Price],Table4[Brand-Renamed] =Table4[[#This Row],[Brand-Renamed]]))</f>
        <v>76737</v>
      </c>
    </row>
    <row r="431" spans="1:15" ht="13.8" x14ac:dyDescent="0.25">
      <c r="A431" s="6" t="s">
        <v>125</v>
      </c>
      <c r="B431" s="4" t="str">
        <f t="shared" si="36"/>
        <v>Samsung</v>
      </c>
      <c r="C431" s="6" t="s">
        <v>29</v>
      </c>
      <c r="D431" s="6">
        <v>49</v>
      </c>
      <c r="E431" s="6">
        <v>84990</v>
      </c>
      <c r="F431" s="6">
        <v>110900</v>
      </c>
      <c r="G431" s="6" t="s">
        <v>56</v>
      </c>
      <c r="H431" s="6"/>
      <c r="I431" s="6">
        <f t="shared" si="37"/>
        <v>25910</v>
      </c>
      <c r="J431">
        <f t="shared" si="38"/>
        <v>0.23363390441839496</v>
      </c>
      <c r="K431" s="6">
        <f t="shared" si="39"/>
        <v>-25910</v>
      </c>
      <c r="L431" s="7">
        <f t="shared" si="40"/>
        <v>-0.3048593952229674</v>
      </c>
      <c r="M431" s="6" t="str">
        <f t="shared" si="41"/>
        <v>Ratings Not Given</v>
      </c>
      <c r="N431" s="34">
        <f t="array" ref="N431">MEDIAN(_xlfn._xlws.FILTER(Table4[Original Price],Table4[Brand-Renamed] = Table4[[#This Row],[Brand]]))</f>
        <v>100945</v>
      </c>
      <c r="O431" s="35">
        <f t="array" ref="O431">MEDIAN(_xlfn._xlws.FILTER(Table4[Selling Price],Table4[Brand-Renamed] =Table4[[#This Row],[Brand-Renamed]]))</f>
        <v>74490</v>
      </c>
    </row>
    <row r="432" spans="1:15" ht="13.8" x14ac:dyDescent="0.25">
      <c r="A432" s="4" t="s">
        <v>81</v>
      </c>
      <c r="B432" s="4" t="str">
        <f t="shared" si="36"/>
        <v xml:space="preserve">Sansui </v>
      </c>
      <c r="C432" s="4" t="s">
        <v>32</v>
      </c>
      <c r="D432" s="4">
        <v>43</v>
      </c>
      <c r="E432" s="4">
        <v>34999</v>
      </c>
      <c r="F432" s="4">
        <v>34999</v>
      </c>
      <c r="G432" s="4" t="s">
        <v>54</v>
      </c>
      <c r="H432" s="4">
        <v>4.3</v>
      </c>
      <c r="I432" s="4">
        <f t="shared" si="37"/>
        <v>0</v>
      </c>
      <c r="J432" t="str">
        <f t="shared" si="38"/>
        <v>Discount Not Applied</v>
      </c>
      <c r="K432" s="4">
        <f t="shared" si="39"/>
        <v>0</v>
      </c>
      <c r="L432" s="5">
        <f t="shared" si="40"/>
        <v>0</v>
      </c>
      <c r="M432" s="4" t="str">
        <f t="shared" si="41"/>
        <v>Medium Ratings</v>
      </c>
      <c r="N432" s="34">
        <f t="array" ref="N432">MEDIAN(_xlfn._xlws.FILTER(Table4[Original Price],Table4[Brand-Renamed] = Table4[[#This Row],[Brand]]))</f>
        <v>35174.5</v>
      </c>
      <c r="O432" s="35">
        <f t="array" ref="O432">MEDIAN(_xlfn._xlws.FILTER(Table4[Selling Price],Table4[Brand-Renamed] =Table4[[#This Row],[Brand-Renamed]]))</f>
        <v>29990</v>
      </c>
    </row>
    <row r="433" spans="1:15" ht="13.8" x14ac:dyDescent="0.25">
      <c r="A433" s="6" t="s">
        <v>13</v>
      </c>
      <c r="B433" s="4" t="str">
        <f t="shared" si="36"/>
        <v>Panasonic</v>
      </c>
      <c r="C433" s="6" t="s">
        <v>19</v>
      </c>
      <c r="D433" s="6">
        <v>32</v>
      </c>
      <c r="E433" s="6">
        <v>21078</v>
      </c>
      <c r="F433" s="6">
        <v>25490</v>
      </c>
      <c r="G433" s="6" t="s">
        <v>54</v>
      </c>
      <c r="H433" s="6"/>
      <c r="I433" s="6">
        <f t="shared" si="37"/>
        <v>4412</v>
      </c>
      <c r="J433">
        <f t="shared" si="38"/>
        <v>0.17308748528834836</v>
      </c>
      <c r="K433" s="6">
        <f t="shared" si="39"/>
        <v>-4412</v>
      </c>
      <c r="L433" s="7">
        <f t="shared" si="40"/>
        <v>-0.209317772084638</v>
      </c>
      <c r="M433" s="6" t="str">
        <f t="shared" si="41"/>
        <v>Ratings Not Given</v>
      </c>
      <c r="N433" s="34">
        <f t="array" ref="N433">MEDIAN(_xlfn._xlws.FILTER(Table4[Original Price],Table4[Brand-Renamed] = Table4[[#This Row],[Brand]]))</f>
        <v>64195</v>
      </c>
      <c r="O433" s="35">
        <f t="array" ref="O433">MEDIAN(_xlfn._xlws.FILTER(Table4[Selling Price],Table4[Brand-Renamed] =Table4[[#This Row],[Brand-Renamed]]))</f>
        <v>43129</v>
      </c>
    </row>
    <row r="434" spans="1:15" ht="13.8" x14ac:dyDescent="0.25">
      <c r="A434" s="4" t="s">
        <v>81</v>
      </c>
      <c r="B434" s="4" t="str">
        <f t="shared" si="36"/>
        <v xml:space="preserve">Sansui </v>
      </c>
      <c r="C434" s="4" t="s">
        <v>19</v>
      </c>
      <c r="D434" s="4">
        <v>32</v>
      </c>
      <c r="E434" s="4">
        <v>16990</v>
      </c>
      <c r="F434" s="4">
        <v>20990</v>
      </c>
      <c r="G434" s="4" t="s">
        <v>60</v>
      </c>
      <c r="H434" s="4">
        <v>4.0999999999999996</v>
      </c>
      <c r="I434" s="4">
        <f t="shared" si="37"/>
        <v>4000</v>
      </c>
      <c r="J434">
        <f t="shared" si="38"/>
        <v>0.19056693663649357</v>
      </c>
      <c r="K434" s="4">
        <f t="shared" si="39"/>
        <v>-4000</v>
      </c>
      <c r="L434" s="5">
        <f t="shared" si="40"/>
        <v>-0.23543260741612712</v>
      </c>
      <c r="M434" s="4" t="str">
        <f t="shared" si="41"/>
        <v>Medium Ratings</v>
      </c>
      <c r="N434" s="34">
        <f t="array" ref="N434">MEDIAN(_xlfn._xlws.FILTER(Table4[Original Price],Table4[Brand-Renamed] = Table4[[#This Row],[Brand]]))</f>
        <v>35174.5</v>
      </c>
      <c r="O434" s="35">
        <f t="array" ref="O434">MEDIAN(_xlfn._xlws.FILTER(Table4[Selling Price],Table4[Brand-Renamed] =Table4[[#This Row],[Brand-Renamed]]))</f>
        <v>29990</v>
      </c>
    </row>
    <row r="435" spans="1:15" ht="13.8" x14ac:dyDescent="0.25">
      <c r="A435" s="6" t="s">
        <v>125</v>
      </c>
      <c r="B435" s="4" t="str">
        <f t="shared" si="36"/>
        <v>Samsung</v>
      </c>
      <c r="C435" s="6" t="s">
        <v>8</v>
      </c>
      <c r="D435" s="6">
        <v>43</v>
      </c>
      <c r="E435" s="6">
        <v>48900</v>
      </c>
      <c r="F435" s="6">
        <v>48900</v>
      </c>
      <c r="G435" s="6" t="s">
        <v>56</v>
      </c>
      <c r="H435" s="6">
        <v>4.2</v>
      </c>
      <c r="I435" s="6">
        <f t="shared" si="37"/>
        <v>0</v>
      </c>
      <c r="J435" t="str">
        <f t="shared" si="38"/>
        <v>Discount Not Applied</v>
      </c>
      <c r="K435" s="6">
        <f t="shared" si="39"/>
        <v>0</v>
      </c>
      <c r="L435" s="7">
        <f t="shared" si="40"/>
        <v>0</v>
      </c>
      <c r="M435" s="6" t="str">
        <f t="shared" si="41"/>
        <v>Medium Ratings</v>
      </c>
      <c r="N435" s="34">
        <f t="array" ref="N435">MEDIAN(_xlfn._xlws.FILTER(Table4[Original Price],Table4[Brand-Renamed] = Table4[[#This Row],[Brand]]))</f>
        <v>100945</v>
      </c>
      <c r="O435" s="35">
        <f t="array" ref="O435">MEDIAN(_xlfn._xlws.FILTER(Table4[Selling Price],Table4[Brand-Renamed] =Table4[[#This Row],[Brand-Renamed]]))</f>
        <v>74490</v>
      </c>
    </row>
    <row r="436" spans="1:15" ht="13.8" x14ac:dyDescent="0.25">
      <c r="A436" s="4" t="s">
        <v>41</v>
      </c>
      <c r="B436" s="4" t="str">
        <f t="shared" si="36"/>
        <v xml:space="preserve">Candes </v>
      </c>
      <c r="C436" s="4" t="s">
        <v>8</v>
      </c>
      <c r="D436" s="4">
        <v>40</v>
      </c>
      <c r="E436" s="4">
        <v>15999</v>
      </c>
      <c r="F436" s="4">
        <v>29990</v>
      </c>
      <c r="G436" s="4" t="s">
        <v>54</v>
      </c>
      <c r="H436" s="4">
        <v>4.0999999999999996</v>
      </c>
      <c r="I436" s="4">
        <f t="shared" si="37"/>
        <v>13991</v>
      </c>
      <c r="J436">
        <f t="shared" si="38"/>
        <v>0.46652217405801932</v>
      </c>
      <c r="K436" s="4">
        <f t="shared" si="39"/>
        <v>-13991</v>
      </c>
      <c r="L436" s="5">
        <f t="shared" si="40"/>
        <v>-0.87449215575973493</v>
      </c>
      <c r="M436" s="4" t="str">
        <f t="shared" si="41"/>
        <v>Medium Ratings</v>
      </c>
      <c r="N436" s="34">
        <f t="array" ref="N436">MEDIAN(_xlfn._xlws.FILTER(Table4[Original Price],Table4[Brand-Renamed] = Table4[[#This Row],[Brand]]))</f>
        <v>26340</v>
      </c>
      <c r="O436" s="35">
        <f t="array" ref="O436">MEDIAN(_xlfn._xlws.FILTER(Table4[Selling Price],Table4[Brand-Renamed] =Table4[[#This Row],[Brand-Renamed]]))</f>
        <v>13649</v>
      </c>
    </row>
    <row r="437" spans="1:15" ht="13.8" x14ac:dyDescent="0.25">
      <c r="A437" s="6" t="s">
        <v>125</v>
      </c>
      <c r="B437" s="4" t="str">
        <f t="shared" si="36"/>
        <v>Samsung</v>
      </c>
      <c r="C437" s="6" t="s">
        <v>32</v>
      </c>
      <c r="D437" s="6">
        <v>65</v>
      </c>
      <c r="E437" s="6">
        <v>94990</v>
      </c>
      <c r="F437" s="6">
        <v>145900</v>
      </c>
      <c r="G437" s="6" t="s">
        <v>56</v>
      </c>
      <c r="H437" s="6">
        <v>2.8</v>
      </c>
      <c r="I437" s="6">
        <f t="shared" si="37"/>
        <v>50910</v>
      </c>
      <c r="J437">
        <f t="shared" si="38"/>
        <v>0.3489376285126799</v>
      </c>
      <c r="K437" s="6">
        <f t="shared" si="39"/>
        <v>-50910</v>
      </c>
      <c r="L437" s="7">
        <f t="shared" si="40"/>
        <v>-0.53595115275292138</v>
      </c>
      <c r="M437" s="6" t="str">
        <f t="shared" si="41"/>
        <v>Bad Ratings</v>
      </c>
      <c r="N437" s="34">
        <f t="array" ref="N437">MEDIAN(_xlfn._xlws.FILTER(Table4[Original Price],Table4[Brand-Renamed] = Table4[[#This Row],[Brand]]))</f>
        <v>100945</v>
      </c>
      <c r="O437" s="35">
        <f t="array" ref="O437">MEDIAN(_xlfn._xlws.FILTER(Table4[Selling Price],Table4[Brand-Renamed] =Table4[[#This Row],[Brand-Renamed]]))</f>
        <v>74490</v>
      </c>
    </row>
    <row r="438" spans="1:15" ht="13.8" x14ac:dyDescent="0.25">
      <c r="A438" s="4" t="s">
        <v>43</v>
      </c>
      <c r="B438" s="4" t="str">
        <f t="shared" si="36"/>
        <v xml:space="preserve">Compaq </v>
      </c>
      <c r="C438" s="4" t="s">
        <v>29</v>
      </c>
      <c r="D438" s="4">
        <v>65</v>
      </c>
      <c r="E438" s="4">
        <v>99999</v>
      </c>
      <c r="F438" s="4">
        <v>229990</v>
      </c>
      <c r="G438" s="4" t="s">
        <v>54</v>
      </c>
      <c r="H438" s="4">
        <v>4.4000000000000004</v>
      </c>
      <c r="I438" s="4">
        <f t="shared" si="37"/>
        <v>129991</v>
      </c>
      <c r="J438">
        <f t="shared" si="38"/>
        <v>0.56520283490586543</v>
      </c>
      <c r="K438" s="4">
        <f t="shared" si="39"/>
        <v>-129991</v>
      </c>
      <c r="L438" s="5">
        <f t="shared" si="40"/>
        <v>-1.2999229992299923</v>
      </c>
      <c r="M438" s="4" t="str">
        <f t="shared" si="41"/>
        <v>Medium Ratings</v>
      </c>
      <c r="N438" s="34">
        <f t="array" ref="N438">MEDIAN(_xlfn._xlws.FILTER(Table4[Original Price],Table4[Brand-Renamed] = Table4[[#This Row],[Brand]]))</f>
        <v>39999</v>
      </c>
      <c r="O438" s="35">
        <f t="array" ref="O438">MEDIAN(_xlfn._xlws.FILTER(Table4[Selling Price],Table4[Brand-Renamed] =Table4[[#This Row],[Brand-Renamed]]))</f>
        <v>32999</v>
      </c>
    </row>
    <row r="439" spans="1:15" ht="13.8" x14ac:dyDescent="0.25">
      <c r="A439" s="6" t="s">
        <v>13</v>
      </c>
      <c r="B439" s="4" t="str">
        <f t="shared" si="36"/>
        <v>Panasonic</v>
      </c>
      <c r="C439" s="6" t="s">
        <v>32</v>
      </c>
      <c r="D439" s="6">
        <v>65</v>
      </c>
      <c r="E439" s="6">
        <v>103353</v>
      </c>
      <c r="F439" s="6">
        <v>129990</v>
      </c>
      <c r="G439" s="6" t="s">
        <v>60</v>
      </c>
      <c r="H439" s="6"/>
      <c r="I439" s="6">
        <f t="shared" si="37"/>
        <v>26637</v>
      </c>
      <c r="J439">
        <f t="shared" si="38"/>
        <v>0.20491576275098083</v>
      </c>
      <c r="K439" s="6">
        <f t="shared" si="39"/>
        <v>-26637</v>
      </c>
      <c r="L439" s="7">
        <f t="shared" si="40"/>
        <v>-0.25772836782676845</v>
      </c>
      <c r="M439" s="6" t="str">
        <f t="shared" si="41"/>
        <v>Ratings Not Given</v>
      </c>
      <c r="N439" s="34">
        <f t="array" ref="N439">MEDIAN(_xlfn._xlws.FILTER(Table4[Original Price],Table4[Brand-Renamed] = Table4[[#This Row],[Brand]]))</f>
        <v>64195</v>
      </c>
      <c r="O439" s="35">
        <f t="array" ref="O439">MEDIAN(_xlfn._xlws.FILTER(Table4[Selling Price],Table4[Brand-Renamed] =Table4[[#This Row],[Brand-Renamed]]))</f>
        <v>43129</v>
      </c>
    </row>
    <row r="440" spans="1:15" ht="13.8" x14ac:dyDescent="0.25">
      <c r="A440" s="4" t="s">
        <v>136</v>
      </c>
      <c r="B440" s="4" t="str">
        <f t="shared" si="36"/>
        <v xml:space="preserve">Huidi </v>
      </c>
      <c r="C440" s="4" t="s">
        <v>19</v>
      </c>
      <c r="D440" s="4">
        <v>32</v>
      </c>
      <c r="E440" s="4">
        <v>10999</v>
      </c>
      <c r="F440" s="4">
        <v>18599</v>
      </c>
      <c r="G440" s="4" t="s">
        <v>54</v>
      </c>
      <c r="H440" s="4">
        <v>4</v>
      </c>
      <c r="I440" s="4">
        <f t="shared" si="37"/>
        <v>7600</v>
      </c>
      <c r="J440">
        <f t="shared" si="38"/>
        <v>0.40862411957632133</v>
      </c>
      <c r="K440" s="4">
        <f t="shared" si="39"/>
        <v>-7600</v>
      </c>
      <c r="L440" s="5">
        <f t="shared" si="40"/>
        <v>-0.69097190653695795</v>
      </c>
      <c r="M440" s="4" t="str">
        <f t="shared" si="41"/>
        <v>Medium Ratings</v>
      </c>
      <c r="N440" s="34">
        <f t="array" ref="N440">MEDIAN(_xlfn._xlws.FILTER(Table4[Original Price],Table4[Brand-Renamed] = Table4[[#This Row],[Brand]]))</f>
        <v>23299</v>
      </c>
      <c r="O440" s="35">
        <f t="array" ref="O440">MEDIAN(_xlfn._xlws.FILTER(Table4[Selling Price],Table4[Brand-Renamed] =Table4[[#This Row],[Brand-Renamed]]))</f>
        <v>13999</v>
      </c>
    </row>
    <row r="441" spans="1:15" ht="13.8" x14ac:dyDescent="0.25">
      <c r="A441" s="6" t="s">
        <v>132</v>
      </c>
      <c r="B441" s="4" t="str">
        <f t="shared" si="36"/>
        <v xml:space="preserve">Impex </v>
      </c>
      <c r="C441" s="6" t="s">
        <v>19</v>
      </c>
      <c r="D441" s="6">
        <v>32</v>
      </c>
      <c r="E441" s="6">
        <v>29790</v>
      </c>
      <c r="F441" s="6">
        <v>29790</v>
      </c>
      <c r="G441" s="6" t="s">
        <v>62</v>
      </c>
      <c r="H441" s="6"/>
      <c r="I441" s="6">
        <f t="shared" si="37"/>
        <v>0</v>
      </c>
      <c r="J441" t="str">
        <f t="shared" si="38"/>
        <v>Discount Not Applied</v>
      </c>
      <c r="K441" s="6">
        <f t="shared" si="39"/>
        <v>0</v>
      </c>
      <c r="L441" s="7">
        <f t="shared" si="40"/>
        <v>0</v>
      </c>
      <c r="M441" s="6" t="str">
        <f t="shared" si="41"/>
        <v>Ratings Not Given</v>
      </c>
      <c r="N441" s="34">
        <f t="array" ref="N441">MEDIAN(_xlfn._xlws.FILTER(Table4[Original Price],Table4[Brand-Renamed] = Table4[[#This Row],[Brand]]))</f>
        <v>32039</v>
      </c>
      <c r="O441" s="35">
        <f t="array" ref="O441">MEDIAN(_xlfn._xlws.FILTER(Table4[Selling Price],Table4[Brand-Renamed] =Table4[[#This Row],[Brand-Renamed]]))</f>
        <v>28690</v>
      </c>
    </row>
    <row r="442" spans="1:15" ht="13.8" x14ac:dyDescent="0.25">
      <c r="A442" s="4" t="s">
        <v>136</v>
      </c>
      <c r="B442" s="4" t="str">
        <f t="shared" si="36"/>
        <v xml:space="preserve">Huidi </v>
      </c>
      <c r="C442" s="4" t="s">
        <v>19</v>
      </c>
      <c r="D442" s="4">
        <v>24</v>
      </c>
      <c r="E442" s="4">
        <v>7499</v>
      </c>
      <c r="F442" s="4">
        <v>10999</v>
      </c>
      <c r="G442" s="4" t="s">
        <v>54</v>
      </c>
      <c r="H442" s="4">
        <v>4</v>
      </c>
      <c r="I442" s="4">
        <f t="shared" si="37"/>
        <v>3500</v>
      </c>
      <c r="J442">
        <f t="shared" si="38"/>
        <v>0.31821074643149377</v>
      </c>
      <c r="K442" s="4">
        <f t="shared" si="39"/>
        <v>-3500</v>
      </c>
      <c r="L442" s="5">
        <f t="shared" si="40"/>
        <v>-0.46672889718629151</v>
      </c>
      <c r="M442" s="4" t="str">
        <f t="shared" si="41"/>
        <v>Medium Ratings</v>
      </c>
      <c r="N442" s="34">
        <f t="array" ref="N442">MEDIAN(_xlfn._xlws.FILTER(Table4[Original Price],Table4[Brand-Renamed] = Table4[[#This Row],[Brand]]))</f>
        <v>23299</v>
      </c>
      <c r="O442" s="35">
        <f t="array" ref="O442">MEDIAN(_xlfn._xlws.FILTER(Table4[Selling Price],Table4[Brand-Renamed] =Table4[[#This Row],[Brand-Renamed]]))</f>
        <v>13999</v>
      </c>
    </row>
    <row r="443" spans="1:15" ht="13.8" x14ac:dyDescent="0.25">
      <c r="A443" s="6" t="s">
        <v>122</v>
      </c>
      <c r="B443" s="4" t="str">
        <f t="shared" si="36"/>
        <v xml:space="preserve">Lg </v>
      </c>
      <c r="C443" s="6" t="s">
        <v>19</v>
      </c>
      <c r="D443" s="6">
        <v>32</v>
      </c>
      <c r="E443" s="6">
        <v>18450</v>
      </c>
      <c r="F443" s="6">
        <v>19990</v>
      </c>
      <c r="G443" s="6" t="s">
        <v>60</v>
      </c>
      <c r="H443" s="6">
        <v>4.2</v>
      </c>
      <c r="I443" s="6">
        <f t="shared" si="37"/>
        <v>1540</v>
      </c>
      <c r="J443">
        <f t="shared" si="38"/>
        <v>7.7038519259629817E-2</v>
      </c>
      <c r="K443" s="6">
        <f t="shared" si="39"/>
        <v>-1540</v>
      </c>
      <c r="L443" s="7">
        <f t="shared" si="40"/>
        <v>-8.3468834688346885E-2</v>
      </c>
      <c r="M443" s="6" t="str">
        <f t="shared" si="41"/>
        <v>Medium Ratings</v>
      </c>
      <c r="N443" s="34">
        <f t="array" ref="N443">MEDIAN(_xlfn._xlws.FILTER(Table4[Original Price],Table4[Brand-Renamed] = Table4[[#This Row],[Brand]]))</f>
        <v>98990</v>
      </c>
      <c r="O443" s="35">
        <f t="array" ref="O443">MEDIAN(_xlfn._xlws.FILTER(Table4[Selling Price],Table4[Brand-Renamed] =Table4[[#This Row],[Brand-Renamed]]))</f>
        <v>76737</v>
      </c>
    </row>
    <row r="444" spans="1:15" ht="13.8" x14ac:dyDescent="0.25">
      <c r="A444" s="4" t="s">
        <v>36</v>
      </c>
      <c r="B444" s="4" t="str">
        <f t="shared" si="36"/>
        <v>Adsun</v>
      </c>
      <c r="C444" s="4" t="s">
        <v>19</v>
      </c>
      <c r="D444" s="4">
        <v>32</v>
      </c>
      <c r="E444" s="4">
        <v>9799</v>
      </c>
      <c r="F444" s="4">
        <v>21999</v>
      </c>
      <c r="G444" s="4" t="s">
        <v>54</v>
      </c>
      <c r="H444" s="4">
        <v>3.8</v>
      </c>
      <c r="I444" s="4">
        <f t="shared" si="37"/>
        <v>12200</v>
      </c>
      <c r="J444">
        <f t="shared" si="38"/>
        <v>0.55457066230283192</v>
      </c>
      <c r="K444" s="4">
        <f t="shared" si="39"/>
        <v>-12200</v>
      </c>
      <c r="L444" s="5">
        <f t="shared" si="40"/>
        <v>-1.2450250025512808</v>
      </c>
      <c r="M444" s="4" t="str">
        <f t="shared" si="41"/>
        <v>Medium Ratings</v>
      </c>
      <c r="N444" s="34">
        <f t="array" ref="N444">MEDIAN(_xlfn._xlws.FILTER(Table4[Original Price],Table4[Brand-Renamed] = Table4[[#This Row],[Brand]]))</f>
        <v>21999</v>
      </c>
      <c r="O444" s="35">
        <f t="array" ref="O444">MEDIAN(_xlfn._xlws.FILTER(Table4[Selling Price],Table4[Brand-Renamed] =Table4[[#This Row],[Brand-Renamed]]))</f>
        <v>13699</v>
      </c>
    </row>
    <row r="445" spans="1:15" ht="13.8" x14ac:dyDescent="0.25">
      <c r="A445" s="6" t="s">
        <v>21</v>
      </c>
      <c r="B445" s="4" t="str">
        <f t="shared" si="36"/>
        <v>Micromax</v>
      </c>
      <c r="C445" s="6" t="s">
        <v>19</v>
      </c>
      <c r="D445" s="6">
        <v>32</v>
      </c>
      <c r="E445" s="6">
        <v>13999</v>
      </c>
      <c r="F445" s="6">
        <v>24990</v>
      </c>
      <c r="G445" s="6" t="s">
        <v>54</v>
      </c>
      <c r="H445" s="6">
        <v>3.7</v>
      </c>
      <c r="I445" s="6">
        <f t="shared" si="37"/>
        <v>10991</v>
      </c>
      <c r="J445">
        <f t="shared" si="38"/>
        <v>0.43981592637054823</v>
      </c>
      <c r="K445" s="6">
        <f t="shared" si="39"/>
        <v>-10991</v>
      </c>
      <c r="L445" s="7">
        <f t="shared" si="40"/>
        <v>-0.78512750910779339</v>
      </c>
      <c r="M445" s="6" t="str">
        <f t="shared" si="41"/>
        <v>Bad Ratings</v>
      </c>
      <c r="N445" s="34">
        <f t="array" ref="N445">MEDIAN(_xlfn._xlws.FILTER(Table4[Original Price],Table4[Brand-Renamed] = Table4[[#This Row],[Brand]]))</f>
        <v>24990</v>
      </c>
      <c r="O445" s="35">
        <f t="array" ref="O445">MEDIAN(_xlfn._xlws.FILTER(Table4[Selling Price],Table4[Brand-Renamed] =Table4[[#This Row],[Brand-Renamed]]))</f>
        <v>16825</v>
      </c>
    </row>
    <row r="446" spans="1:15" ht="13.8" x14ac:dyDescent="0.25">
      <c r="A446" s="4" t="s">
        <v>45</v>
      </c>
      <c r="B446" s="4" t="str">
        <f t="shared" si="36"/>
        <v xml:space="preserve">Croma </v>
      </c>
      <c r="C446" s="4" t="s">
        <v>19</v>
      </c>
      <c r="D446" s="4">
        <v>32</v>
      </c>
      <c r="E446" s="4">
        <v>15990</v>
      </c>
      <c r="F446" s="4">
        <v>20000</v>
      </c>
      <c r="G446" s="4" t="s">
        <v>54</v>
      </c>
      <c r="H446" s="4"/>
      <c r="I446" s="4">
        <f t="shared" si="37"/>
        <v>4010</v>
      </c>
      <c r="J446">
        <f t="shared" si="38"/>
        <v>0.20050000000000001</v>
      </c>
      <c r="K446" s="4">
        <f t="shared" si="39"/>
        <v>-4010</v>
      </c>
      <c r="L446" s="5">
        <f t="shared" si="40"/>
        <v>-0.25078173858661662</v>
      </c>
      <c r="M446" s="4" t="str">
        <f t="shared" si="41"/>
        <v>Ratings Not Given</v>
      </c>
      <c r="N446" s="34">
        <f t="array" ref="N446">MEDIAN(_xlfn._xlws.FILTER(Table4[Original Price],Table4[Brand-Renamed] = Table4[[#This Row],[Brand]]))</f>
        <v>25000</v>
      </c>
      <c r="O446" s="35">
        <f t="array" ref="O446">MEDIAN(_xlfn._xlws.FILTER(Table4[Selling Price],Table4[Brand-Renamed] =Table4[[#This Row],[Brand-Renamed]]))</f>
        <v>17740</v>
      </c>
    </row>
    <row r="447" spans="1:15" ht="13.8" x14ac:dyDescent="0.25">
      <c r="A447" s="6" t="s">
        <v>81</v>
      </c>
      <c r="B447" s="4" t="str">
        <f t="shared" si="36"/>
        <v xml:space="preserve">Sansui </v>
      </c>
      <c r="C447" s="6" t="s">
        <v>19</v>
      </c>
      <c r="D447" s="6">
        <v>32</v>
      </c>
      <c r="E447" s="6">
        <v>15290</v>
      </c>
      <c r="F447" s="6">
        <v>20990</v>
      </c>
      <c r="G447" s="6" t="s">
        <v>60</v>
      </c>
      <c r="H447" s="6"/>
      <c r="I447" s="6">
        <f t="shared" si="37"/>
        <v>5700</v>
      </c>
      <c r="J447">
        <f t="shared" si="38"/>
        <v>0.27155788470700332</v>
      </c>
      <c r="K447" s="6">
        <f t="shared" si="39"/>
        <v>-5700</v>
      </c>
      <c r="L447" s="7">
        <f t="shared" si="40"/>
        <v>-0.37279267495094831</v>
      </c>
      <c r="M447" s="6" t="str">
        <f t="shared" si="41"/>
        <v>Ratings Not Given</v>
      </c>
      <c r="N447" s="34">
        <f t="array" ref="N447">MEDIAN(_xlfn._xlws.FILTER(Table4[Original Price],Table4[Brand-Renamed] = Table4[[#This Row],[Brand]]))</f>
        <v>35174.5</v>
      </c>
      <c r="O447" s="35">
        <f t="array" ref="O447">MEDIAN(_xlfn._xlws.FILTER(Table4[Selling Price],Table4[Brand-Renamed] =Table4[[#This Row],[Brand-Renamed]]))</f>
        <v>29990</v>
      </c>
    </row>
    <row r="448" spans="1:15" ht="13.8" x14ac:dyDescent="0.25">
      <c r="A448" s="4" t="s">
        <v>119</v>
      </c>
      <c r="B448" s="4" t="str">
        <f t="shared" si="36"/>
        <v xml:space="preserve">Tcl </v>
      </c>
      <c r="C448" s="4" t="s">
        <v>29</v>
      </c>
      <c r="D448" s="4">
        <v>65</v>
      </c>
      <c r="E448" s="4">
        <v>89999</v>
      </c>
      <c r="F448" s="4">
        <v>189990</v>
      </c>
      <c r="G448" s="4" t="s">
        <v>54</v>
      </c>
      <c r="H448" s="4">
        <v>4.4000000000000004</v>
      </c>
      <c r="I448" s="4">
        <f t="shared" si="37"/>
        <v>99991</v>
      </c>
      <c r="J448">
        <f t="shared" si="38"/>
        <v>0.52629612084846566</v>
      </c>
      <c r="K448" s="4">
        <f t="shared" si="39"/>
        <v>-99991</v>
      </c>
      <c r="L448" s="5">
        <f t="shared" si="40"/>
        <v>-1.1110234558161758</v>
      </c>
      <c r="M448" s="4" t="str">
        <f t="shared" si="41"/>
        <v>Medium Ratings</v>
      </c>
      <c r="N448" s="34">
        <f t="array" ref="N448">MEDIAN(_xlfn._xlws.FILTER(Table4[Original Price],Table4[Brand-Renamed] = Table4[[#This Row],[Brand]]))</f>
        <v>77990</v>
      </c>
      <c r="O448" s="35">
        <f t="array" ref="O448">MEDIAN(_xlfn._xlws.FILTER(Table4[Selling Price],Table4[Brand-Renamed] =Table4[[#This Row],[Brand-Renamed]]))</f>
        <v>40999</v>
      </c>
    </row>
    <row r="449" spans="1:15" ht="13.8" x14ac:dyDescent="0.25">
      <c r="A449" s="6" t="s">
        <v>136</v>
      </c>
      <c r="B449" s="4" t="str">
        <f t="shared" si="36"/>
        <v xml:space="preserve">Huidi </v>
      </c>
      <c r="C449" s="6" t="s">
        <v>19</v>
      </c>
      <c r="D449" s="6">
        <v>40</v>
      </c>
      <c r="E449" s="6">
        <v>16999</v>
      </c>
      <c r="F449" s="6">
        <v>27999</v>
      </c>
      <c r="G449" s="6" t="s">
        <v>54</v>
      </c>
      <c r="H449" s="6">
        <v>4</v>
      </c>
      <c r="I449" s="6">
        <f t="shared" si="37"/>
        <v>11000</v>
      </c>
      <c r="J449">
        <f t="shared" si="38"/>
        <v>0.39287117397049892</v>
      </c>
      <c r="K449" s="6">
        <f t="shared" si="39"/>
        <v>-11000</v>
      </c>
      <c r="L449" s="7">
        <f t="shared" si="40"/>
        <v>-0.64709688805223842</v>
      </c>
      <c r="M449" s="6" t="str">
        <f t="shared" si="41"/>
        <v>Medium Ratings</v>
      </c>
      <c r="N449" s="34">
        <f t="array" ref="N449">MEDIAN(_xlfn._xlws.FILTER(Table4[Original Price],Table4[Brand-Renamed] = Table4[[#This Row],[Brand]]))</f>
        <v>23299</v>
      </c>
      <c r="O449" s="35">
        <f t="array" ref="O449">MEDIAN(_xlfn._xlws.FILTER(Table4[Selling Price],Table4[Brand-Renamed] =Table4[[#This Row],[Brand-Renamed]]))</f>
        <v>13999</v>
      </c>
    </row>
    <row r="450" spans="1:15" ht="13.8" x14ac:dyDescent="0.25">
      <c r="A450" s="4" t="s">
        <v>44</v>
      </c>
      <c r="B450" s="4" t="str">
        <f t="shared" ref="B450:B513" si="42">PROPER(A450)</f>
        <v xml:space="preserve">Coocaa </v>
      </c>
      <c r="C450" s="4" t="s">
        <v>19</v>
      </c>
      <c r="D450" s="4">
        <v>32</v>
      </c>
      <c r="E450" s="4">
        <v>12499</v>
      </c>
      <c r="F450" s="4">
        <v>25990</v>
      </c>
      <c r="G450" s="4" t="s">
        <v>54</v>
      </c>
      <c r="H450" s="4">
        <v>4.2</v>
      </c>
      <c r="I450" s="4">
        <f t="shared" ref="I450:I513" si="43">F450-E450</f>
        <v>13491</v>
      </c>
      <c r="J450">
        <f t="shared" ref="J450:J513" si="44">IF((F450-E450)/F450 = 0, "Discount Not Applied", (F450-E450)/F450)</f>
        <v>0.51908426317814549</v>
      </c>
      <c r="K450" s="4">
        <f t="shared" ref="K450:K513" si="45">E450-F450</f>
        <v>-13491</v>
      </c>
      <c r="L450" s="5">
        <f t="shared" ref="L450:L513" si="46">(E450-F450)/E450</f>
        <v>-1.0793663493079446</v>
      </c>
      <c r="M450" s="4" t="str">
        <f t="shared" ref="M450:M513" si="47">IF(ISBLANK(H450),"Ratings Not Given",IF(H450&gt;=4.5,"Good Ratings",IF(H450&lt;=3.7,"Bad Ratings","Medium Ratings")))</f>
        <v>Medium Ratings</v>
      </c>
      <c r="N450" s="34">
        <f t="array" ref="N450">MEDIAN(_xlfn._xlws.FILTER(Table4[Original Price],Table4[Brand-Renamed] = Table4[[#This Row],[Brand]]))</f>
        <v>54990</v>
      </c>
      <c r="O450" s="35">
        <f t="array" ref="O450">MEDIAN(_xlfn._xlws.FILTER(Table4[Selling Price],Table4[Brand-Renamed] =Table4[[#This Row],[Brand-Renamed]]))</f>
        <v>25999</v>
      </c>
    </row>
    <row r="451" spans="1:15" ht="13.8" x14ac:dyDescent="0.25">
      <c r="A451" s="6" t="s">
        <v>119</v>
      </c>
      <c r="B451" s="4" t="str">
        <f t="shared" si="42"/>
        <v xml:space="preserve">Tcl </v>
      </c>
      <c r="C451" s="6" t="s">
        <v>29</v>
      </c>
      <c r="D451" s="6">
        <v>55</v>
      </c>
      <c r="E451" s="6">
        <v>59999</v>
      </c>
      <c r="F451" s="6">
        <v>189990</v>
      </c>
      <c r="G451" s="6" t="s">
        <v>54</v>
      </c>
      <c r="H451" s="6">
        <v>3.9</v>
      </c>
      <c r="I451" s="6">
        <f t="shared" si="43"/>
        <v>129991</v>
      </c>
      <c r="J451">
        <f t="shared" si="44"/>
        <v>0.68419916837728301</v>
      </c>
      <c r="K451" s="6">
        <f t="shared" si="45"/>
        <v>-129991</v>
      </c>
      <c r="L451" s="7">
        <f t="shared" si="46"/>
        <v>-2.1665527758795982</v>
      </c>
      <c r="M451" s="6" t="str">
        <f t="shared" si="47"/>
        <v>Medium Ratings</v>
      </c>
      <c r="N451" s="34">
        <f t="array" ref="N451">MEDIAN(_xlfn._xlws.FILTER(Table4[Original Price],Table4[Brand-Renamed] = Table4[[#This Row],[Brand]]))</f>
        <v>77990</v>
      </c>
      <c r="O451" s="35">
        <f t="array" ref="O451">MEDIAN(_xlfn._xlws.FILTER(Table4[Selling Price],Table4[Brand-Renamed] =Table4[[#This Row],[Brand-Renamed]]))</f>
        <v>40999</v>
      </c>
    </row>
    <row r="452" spans="1:15" ht="13.8" x14ac:dyDescent="0.25">
      <c r="A452" s="4" t="s">
        <v>81</v>
      </c>
      <c r="B452" s="4" t="str">
        <f t="shared" si="42"/>
        <v xml:space="preserve">Sansui </v>
      </c>
      <c r="C452" s="4" t="s">
        <v>8</v>
      </c>
      <c r="D452" s="4">
        <v>40</v>
      </c>
      <c r="E452" s="4">
        <v>24990</v>
      </c>
      <c r="F452" s="4">
        <v>29290</v>
      </c>
      <c r="G452" s="4" t="s">
        <v>60</v>
      </c>
      <c r="H452" s="4">
        <v>3.7</v>
      </c>
      <c r="I452" s="4">
        <f t="shared" si="43"/>
        <v>4300</v>
      </c>
      <c r="J452">
        <f t="shared" si="44"/>
        <v>0.14680778422669855</v>
      </c>
      <c r="K452" s="4">
        <f t="shared" si="45"/>
        <v>-4300</v>
      </c>
      <c r="L452" s="5">
        <f t="shared" si="46"/>
        <v>-0.17206882753101241</v>
      </c>
      <c r="M452" s="4" t="str">
        <f t="shared" si="47"/>
        <v>Bad Ratings</v>
      </c>
      <c r="N452" s="34">
        <f t="array" ref="N452">MEDIAN(_xlfn._xlws.FILTER(Table4[Original Price],Table4[Brand-Renamed] = Table4[[#This Row],[Brand]]))</f>
        <v>35174.5</v>
      </c>
      <c r="O452" s="35">
        <f t="array" ref="O452">MEDIAN(_xlfn._xlws.FILTER(Table4[Selling Price],Table4[Brand-Renamed] =Table4[[#This Row],[Brand-Renamed]]))</f>
        <v>29990</v>
      </c>
    </row>
    <row r="453" spans="1:15" ht="13.8" x14ac:dyDescent="0.25">
      <c r="A453" s="6" t="s">
        <v>55</v>
      </c>
      <c r="B453" s="4" t="str">
        <f t="shared" si="42"/>
        <v xml:space="preserve">Intex </v>
      </c>
      <c r="C453" s="6" t="s">
        <v>19</v>
      </c>
      <c r="D453" s="6">
        <v>39</v>
      </c>
      <c r="E453" s="6">
        <v>19800</v>
      </c>
      <c r="F453" s="6">
        <v>33330</v>
      </c>
      <c r="G453" s="6" t="s">
        <v>54</v>
      </c>
      <c r="H453" s="6">
        <v>4.2</v>
      </c>
      <c r="I453" s="6">
        <f t="shared" si="43"/>
        <v>13530</v>
      </c>
      <c r="J453">
        <f t="shared" si="44"/>
        <v>0.40594059405940597</v>
      </c>
      <c r="K453" s="6">
        <f t="shared" si="45"/>
        <v>-13530</v>
      </c>
      <c r="L453" s="7">
        <f t="shared" si="46"/>
        <v>-0.68333333333333335</v>
      </c>
      <c r="M453" s="6" t="str">
        <f t="shared" si="47"/>
        <v>Medium Ratings</v>
      </c>
      <c r="N453" s="34">
        <f t="array" ref="N453">MEDIAN(_xlfn._xlws.FILTER(Table4[Original Price],Table4[Brand-Renamed] = Table4[[#This Row],[Brand]]))</f>
        <v>35999</v>
      </c>
      <c r="O453" s="35">
        <f t="array" ref="O453">MEDIAN(_xlfn._xlws.FILTER(Table4[Selling Price],Table4[Brand-Renamed] =Table4[[#This Row],[Brand-Renamed]]))</f>
        <v>23688</v>
      </c>
    </row>
    <row r="454" spans="1:15" ht="13.8" x14ac:dyDescent="0.25">
      <c r="A454" s="4" t="s">
        <v>125</v>
      </c>
      <c r="B454" s="4" t="str">
        <f t="shared" si="42"/>
        <v>Samsung</v>
      </c>
      <c r="C454" s="4" t="s">
        <v>29</v>
      </c>
      <c r="D454" s="4">
        <v>49</v>
      </c>
      <c r="E454" s="4">
        <v>64990</v>
      </c>
      <c r="F454" s="4">
        <v>101900</v>
      </c>
      <c r="G454" s="4" t="s">
        <v>56</v>
      </c>
      <c r="H454" s="4">
        <v>4.8</v>
      </c>
      <c r="I454" s="4">
        <f t="shared" si="43"/>
        <v>36910</v>
      </c>
      <c r="J454">
        <f t="shared" si="44"/>
        <v>0.36221786064769379</v>
      </c>
      <c r="K454" s="4">
        <f t="shared" si="45"/>
        <v>-36910</v>
      </c>
      <c r="L454" s="5">
        <f t="shared" si="46"/>
        <v>-0.56793352823511312</v>
      </c>
      <c r="M454" s="4" t="str">
        <f t="shared" si="47"/>
        <v>Good Ratings</v>
      </c>
      <c r="N454" s="34">
        <f t="array" ref="N454">MEDIAN(_xlfn._xlws.FILTER(Table4[Original Price],Table4[Brand-Renamed] = Table4[[#This Row],[Brand]]))</f>
        <v>100945</v>
      </c>
      <c r="O454" s="35">
        <f t="array" ref="O454">MEDIAN(_xlfn._xlws.FILTER(Table4[Selling Price],Table4[Brand-Renamed] =Table4[[#This Row],[Brand-Renamed]]))</f>
        <v>74490</v>
      </c>
    </row>
    <row r="455" spans="1:15" ht="13.8" x14ac:dyDescent="0.25">
      <c r="A455" s="6" t="s">
        <v>125</v>
      </c>
      <c r="B455" s="4" t="str">
        <f t="shared" si="42"/>
        <v>Samsung</v>
      </c>
      <c r="C455" s="6" t="s">
        <v>29</v>
      </c>
      <c r="D455" s="6">
        <v>55</v>
      </c>
      <c r="E455" s="6">
        <v>105990</v>
      </c>
      <c r="F455" s="6">
        <v>189990</v>
      </c>
      <c r="G455" s="6" t="s">
        <v>56</v>
      </c>
      <c r="H455" s="6"/>
      <c r="I455" s="6">
        <f t="shared" si="43"/>
        <v>84000</v>
      </c>
      <c r="J455">
        <f t="shared" si="44"/>
        <v>0.44212853308068845</v>
      </c>
      <c r="K455" s="6">
        <f t="shared" si="45"/>
        <v>-84000</v>
      </c>
      <c r="L455" s="7">
        <f t="shared" si="46"/>
        <v>-0.79252759694310781</v>
      </c>
      <c r="M455" s="6" t="str">
        <f t="shared" si="47"/>
        <v>Ratings Not Given</v>
      </c>
      <c r="N455" s="34">
        <f t="array" ref="N455">MEDIAN(_xlfn._xlws.FILTER(Table4[Original Price],Table4[Brand-Renamed] = Table4[[#This Row],[Brand]]))</f>
        <v>100945</v>
      </c>
      <c r="O455" s="35">
        <f t="array" ref="O455">MEDIAN(_xlfn._xlws.FILTER(Table4[Selling Price],Table4[Brand-Renamed] =Table4[[#This Row],[Brand-Renamed]]))</f>
        <v>74490</v>
      </c>
    </row>
    <row r="456" spans="1:15" ht="13.8" x14ac:dyDescent="0.25">
      <c r="A456" s="4" t="s">
        <v>131</v>
      </c>
      <c r="B456" s="4" t="str">
        <f t="shared" si="42"/>
        <v xml:space="preserve">Lumx </v>
      </c>
      <c r="C456" s="4" t="s">
        <v>19</v>
      </c>
      <c r="D456" s="4">
        <v>32</v>
      </c>
      <c r="E456" s="4">
        <v>11990</v>
      </c>
      <c r="F456" s="4">
        <v>26900</v>
      </c>
      <c r="G456" s="4" t="s">
        <v>54</v>
      </c>
      <c r="H456" s="4">
        <v>3.7</v>
      </c>
      <c r="I456" s="4">
        <f t="shared" si="43"/>
        <v>14910</v>
      </c>
      <c r="J456">
        <f t="shared" si="44"/>
        <v>0.55427509293680299</v>
      </c>
      <c r="K456" s="4">
        <f t="shared" si="45"/>
        <v>-14910</v>
      </c>
      <c r="L456" s="5">
        <f t="shared" si="46"/>
        <v>-1.2435362802335279</v>
      </c>
      <c r="M456" s="4" t="str">
        <f t="shared" si="47"/>
        <v>Bad Ratings</v>
      </c>
      <c r="N456" s="34">
        <f t="array" ref="N456">MEDIAN(_xlfn._xlws.FILTER(Table4[Original Price],Table4[Brand-Renamed] = Table4[[#This Row],[Brand]]))</f>
        <v>28445</v>
      </c>
      <c r="O456" s="35">
        <f t="array" ref="O456">MEDIAN(_xlfn._xlws.FILTER(Table4[Selling Price],Table4[Brand-Renamed] =Table4[[#This Row],[Brand-Renamed]]))</f>
        <v>16990</v>
      </c>
    </row>
    <row r="457" spans="1:15" ht="13.8" x14ac:dyDescent="0.25">
      <c r="A457" s="6" t="s">
        <v>41</v>
      </c>
      <c r="B457" s="4" t="str">
        <f t="shared" si="42"/>
        <v xml:space="preserve">Candes </v>
      </c>
      <c r="C457" s="6" t="s">
        <v>8</v>
      </c>
      <c r="D457" s="6">
        <v>43</v>
      </c>
      <c r="E457" s="6">
        <v>20999</v>
      </c>
      <c r="F457" s="6">
        <v>38490</v>
      </c>
      <c r="G457" s="6" t="s">
        <v>54</v>
      </c>
      <c r="H457" s="6">
        <v>4.0999999999999996</v>
      </c>
      <c r="I457" s="6">
        <f t="shared" si="43"/>
        <v>17491</v>
      </c>
      <c r="J457">
        <f t="shared" si="44"/>
        <v>0.4544297220057158</v>
      </c>
      <c r="K457" s="6">
        <f t="shared" si="45"/>
        <v>-17491</v>
      </c>
      <c r="L457" s="7">
        <f t="shared" si="46"/>
        <v>-0.83294442592504403</v>
      </c>
      <c r="M457" s="6" t="str">
        <f t="shared" si="47"/>
        <v>Medium Ratings</v>
      </c>
      <c r="N457" s="34">
        <f t="array" ref="N457">MEDIAN(_xlfn._xlws.FILTER(Table4[Original Price],Table4[Brand-Renamed] = Table4[[#This Row],[Brand]]))</f>
        <v>26340</v>
      </c>
      <c r="O457" s="35">
        <f t="array" ref="O457">MEDIAN(_xlfn._xlws.FILTER(Table4[Selling Price],Table4[Brand-Renamed] =Table4[[#This Row],[Brand-Renamed]]))</f>
        <v>13649</v>
      </c>
    </row>
    <row r="458" spans="1:15" ht="13.8" x14ac:dyDescent="0.25">
      <c r="A458" s="4" t="s">
        <v>50</v>
      </c>
      <c r="B458" s="4" t="str">
        <f t="shared" si="42"/>
        <v xml:space="preserve">Haier </v>
      </c>
      <c r="C458" s="4" t="s">
        <v>32</v>
      </c>
      <c r="D458" s="4">
        <v>65</v>
      </c>
      <c r="E458" s="4">
        <v>69590</v>
      </c>
      <c r="F458" s="4">
        <v>106990</v>
      </c>
      <c r="G458" s="4" t="s">
        <v>54</v>
      </c>
      <c r="H458" s="4"/>
      <c r="I458" s="4">
        <f t="shared" si="43"/>
        <v>37400</v>
      </c>
      <c r="J458">
        <f t="shared" si="44"/>
        <v>0.34956537994205067</v>
      </c>
      <c r="K458" s="4">
        <f t="shared" si="45"/>
        <v>-37400</v>
      </c>
      <c r="L458" s="5">
        <f t="shared" si="46"/>
        <v>-0.53743353930162374</v>
      </c>
      <c r="M458" s="4" t="str">
        <f t="shared" si="47"/>
        <v>Ratings Not Given</v>
      </c>
      <c r="N458" s="34">
        <f t="array" ref="N458">MEDIAN(_xlfn._xlws.FILTER(Table4[Original Price],Table4[Brand-Renamed] = Table4[[#This Row],[Brand]]))</f>
        <v>43990</v>
      </c>
      <c r="O458" s="35">
        <f t="array" ref="O458">MEDIAN(_xlfn._xlws.FILTER(Table4[Selling Price],Table4[Brand-Renamed] =Table4[[#This Row],[Brand-Renamed]]))</f>
        <v>30994.5</v>
      </c>
    </row>
    <row r="459" spans="1:15" ht="13.8" x14ac:dyDescent="0.25">
      <c r="A459" s="6" t="s">
        <v>50</v>
      </c>
      <c r="B459" s="4" t="str">
        <f t="shared" si="42"/>
        <v xml:space="preserve">Haier </v>
      </c>
      <c r="C459" s="6" t="s">
        <v>32</v>
      </c>
      <c r="D459" s="6">
        <v>65</v>
      </c>
      <c r="E459" s="6">
        <v>99999</v>
      </c>
      <c r="F459" s="6">
        <v>149990</v>
      </c>
      <c r="G459" s="6" t="s">
        <v>54</v>
      </c>
      <c r="H459" s="6"/>
      <c r="I459" s="6">
        <f t="shared" si="43"/>
        <v>49991</v>
      </c>
      <c r="J459">
        <f t="shared" si="44"/>
        <v>0.33329555303686914</v>
      </c>
      <c r="K459" s="6">
        <f t="shared" si="45"/>
        <v>-49991</v>
      </c>
      <c r="L459" s="7">
        <f t="shared" si="46"/>
        <v>-0.49991499914999149</v>
      </c>
      <c r="M459" s="6" t="str">
        <f t="shared" si="47"/>
        <v>Ratings Not Given</v>
      </c>
      <c r="N459" s="34">
        <f t="array" ref="N459">MEDIAN(_xlfn._xlws.FILTER(Table4[Original Price],Table4[Brand-Renamed] = Table4[[#This Row],[Brand]]))</f>
        <v>43990</v>
      </c>
      <c r="O459" s="35">
        <f t="array" ref="O459">MEDIAN(_xlfn._xlws.FILTER(Table4[Selling Price],Table4[Brand-Renamed] =Table4[[#This Row],[Brand-Renamed]]))</f>
        <v>30994.5</v>
      </c>
    </row>
    <row r="460" spans="1:15" ht="13.8" x14ac:dyDescent="0.25">
      <c r="A460" s="4" t="s">
        <v>65</v>
      </c>
      <c r="B460" s="4" t="str">
        <f t="shared" si="42"/>
        <v xml:space="preserve">Lloyd </v>
      </c>
      <c r="C460" s="4" t="s">
        <v>8</v>
      </c>
      <c r="D460" s="4">
        <v>39</v>
      </c>
      <c r="E460" s="4">
        <v>22990</v>
      </c>
      <c r="F460" s="4">
        <v>32990</v>
      </c>
      <c r="G460" s="4" t="s">
        <v>60</v>
      </c>
      <c r="H460" s="4">
        <v>4.0999999999999996</v>
      </c>
      <c r="I460" s="4">
        <f t="shared" si="43"/>
        <v>10000</v>
      </c>
      <c r="J460">
        <f t="shared" si="44"/>
        <v>0.30312215822976657</v>
      </c>
      <c r="K460" s="4">
        <f t="shared" si="45"/>
        <v>-10000</v>
      </c>
      <c r="L460" s="5">
        <f t="shared" si="46"/>
        <v>-0.43497172683775553</v>
      </c>
      <c r="M460" s="4" t="str">
        <f t="shared" si="47"/>
        <v>Medium Ratings</v>
      </c>
      <c r="N460" s="34">
        <f t="array" ref="N460">MEDIAN(_xlfn._xlws.FILTER(Table4[Original Price],Table4[Brand-Renamed] = Table4[[#This Row],[Brand]]))</f>
        <v>44490</v>
      </c>
      <c r="O460" s="35">
        <f t="array" ref="O460">MEDIAN(_xlfn._xlws.FILTER(Table4[Selling Price],Table4[Brand-Renamed] =Table4[[#This Row],[Brand-Renamed]]))</f>
        <v>25740</v>
      </c>
    </row>
    <row r="461" spans="1:15" ht="13.8" x14ac:dyDescent="0.25">
      <c r="A461" s="6" t="s">
        <v>125</v>
      </c>
      <c r="B461" s="4" t="str">
        <f t="shared" si="42"/>
        <v>Samsung</v>
      </c>
      <c r="C461" s="6" t="s">
        <v>19</v>
      </c>
      <c r="D461" s="6">
        <v>32</v>
      </c>
      <c r="E461" s="6">
        <v>17999</v>
      </c>
      <c r="F461" s="6">
        <v>23890</v>
      </c>
      <c r="G461" s="6" t="s">
        <v>56</v>
      </c>
      <c r="H461" s="6">
        <v>4.2</v>
      </c>
      <c r="I461" s="6">
        <f t="shared" si="43"/>
        <v>5891</v>
      </c>
      <c r="J461">
        <f t="shared" si="44"/>
        <v>0.24658853076601089</v>
      </c>
      <c r="K461" s="6">
        <f t="shared" si="45"/>
        <v>-5891</v>
      </c>
      <c r="L461" s="7">
        <f t="shared" si="46"/>
        <v>-0.32729596088671592</v>
      </c>
      <c r="M461" s="6" t="str">
        <f t="shared" si="47"/>
        <v>Medium Ratings</v>
      </c>
      <c r="N461" s="34">
        <f t="array" ref="N461">MEDIAN(_xlfn._xlws.FILTER(Table4[Original Price],Table4[Brand-Renamed] = Table4[[#This Row],[Brand]]))</f>
        <v>100945</v>
      </c>
      <c r="O461" s="35">
        <f t="array" ref="O461">MEDIAN(_xlfn._xlws.FILTER(Table4[Selling Price],Table4[Brand-Renamed] =Table4[[#This Row],[Brand-Renamed]]))</f>
        <v>74490</v>
      </c>
    </row>
    <row r="462" spans="1:15" ht="13.8" x14ac:dyDescent="0.25">
      <c r="A462" s="4" t="s">
        <v>137</v>
      </c>
      <c r="B462" s="4" t="str">
        <f t="shared" si="42"/>
        <v xml:space="preserve">Detel </v>
      </c>
      <c r="C462" s="4" t="s">
        <v>32</v>
      </c>
      <c r="D462" s="4">
        <v>55</v>
      </c>
      <c r="E462" s="4">
        <v>35199</v>
      </c>
      <c r="F462" s="4">
        <v>89000</v>
      </c>
      <c r="G462" s="4" t="s">
        <v>54</v>
      </c>
      <c r="H462" s="4">
        <v>4</v>
      </c>
      <c r="I462" s="4">
        <f t="shared" si="43"/>
        <v>53801</v>
      </c>
      <c r="J462">
        <f t="shared" si="44"/>
        <v>0.60450561797752811</v>
      </c>
      <c r="K462" s="4">
        <f t="shared" si="45"/>
        <v>-53801</v>
      </c>
      <c r="L462" s="5">
        <f t="shared" si="46"/>
        <v>-1.5284809227534872</v>
      </c>
      <c r="M462" s="4" t="str">
        <f t="shared" si="47"/>
        <v>Medium Ratings</v>
      </c>
      <c r="N462" s="34">
        <f t="array" ref="N462">MEDIAN(_xlfn._xlws.FILTER(Table4[Original Price],Table4[Brand-Renamed] = Table4[[#This Row],[Brand]]))</f>
        <v>23999</v>
      </c>
      <c r="O462" s="35">
        <f t="array" ref="O462">MEDIAN(_xlfn._xlws.FILTER(Table4[Selling Price],Table4[Brand-Renamed] =Table4[[#This Row],[Brand-Renamed]]))</f>
        <v>11300</v>
      </c>
    </row>
    <row r="463" spans="1:15" ht="13.8" x14ac:dyDescent="0.25">
      <c r="A463" s="6" t="s">
        <v>133</v>
      </c>
      <c r="B463" s="4" t="str">
        <f t="shared" si="42"/>
        <v xml:space="preserve">Bpl </v>
      </c>
      <c r="C463" s="6" t="s">
        <v>32</v>
      </c>
      <c r="D463" s="6">
        <v>50</v>
      </c>
      <c r="E463" s="6">
        <v>42490</v>
      </c>
      <c r="F463" s="6">
        <v>60000</v>
      </c>
      <c r="G463" s="6" t="s">
        <v>54</v>
      </c>
      <c r="H463" s="6"/>
      <c r="I463" s="6">
        <f t="shared" si="43"/>
        <v>17510</v>
      </c>
      <c r="J463">
        <f t="shared" si="44"/>
        <v>0.29183333333333333</v>
      </c>
      <c r="K463" s="6">
        <f t="shared" si="45"/>
        <v>-17510</v>
      </c>
      <c r="L463" s="7">
        <f t="shared" si="46"/>
        <v>-0.4120969639915274</v>
      </c>
      <c r="M463" s="6" t="str">
        <f t="shared" si="47"/>
        <v>Ratings Not Given</v>
      </c>
      <c r="N463" s="34">
        <f t="array" ref="N463">MEDIAN(_xlfn._xlws.FILTER(Table4[Original Price],Table4[Brand-Renamed] = Table4[[#This Row],[Brand]]))</f>
        <v>47999.5</v>
      </c>
      <c r="O463" s="35">
        <f t="array" ref="O463">MEDIAN(_xlfn._xlws.FILTER(Table4[Selling Price],Table4[Brand-Renamed] =Table4[[#This Row],[Brand-Renamed]]))</f>
        <v>35740</v>
      </c>
    </row>
    <row r="464" spans="1:15" ht="13.8" x14ac:dyDescent="0.25">
      <c r="A464" s="4" t="s">
        <v>122</v>
      </c>
      <c r="B464" s="4" t="str">
        <f t="shared" si="42"/>
        <v xml:space="preserve">Lg </v>
      </c>
      <c r="C464" s="4" t="s">
        <v>32</v>
      </c>
      <c r="D464" s="4">
        <v>49</v>
      </c>
      <c r="E464" s="4">
        <v>59999</v>
      </c>
      <c r="F464" s="4">
        <v>110990</v>
      </c>
      <c r="G464" s="4" t="s">
        <v>58</v>
      </c>
      <c r="H464" s="4">
        <v>4.3</v>
      </c>
      <c r="I464" s="4">
        <f t="shared" si="43"/>
        <v>50991</v>
      </c>
      <c r="J464">
        <f t="shared" si="44"/>
        <v>0.45941976754662583</v>
      </c>
      <c r="K464" s="4">
        <f t="shared" si="45"/>
        <v>-50991</v>
      </c>
      <c r="L464" s="5">
        <f t="shared" si="46"/>
        <v>-0.84986416440274004</v>
      </c>
      <c r="M464" s="4" t="str">
        <f t="shared" si="47"/>
        <v>Medium Ratings</v>
      </c>
      <c r="N464" s="34">
        <f t="array" ref="N464">MEDIAN(_xlfn._xlws.FILTER(Table4[Original Price],Table4[Brand-Renamed] = Table4[[#This Row],[Brand]]))</f>
        <v>98990</v>
      </c>
      <c r="O464" s="35">
        <f t="array" ref="O464">MEDIAN(_xlfn._xlws.FILTER(Table4[Selling Price],Table4[Brand-Renamed] =Table4[[#This Row],[Brand-Renamed]]))</f>
        <v>76737</v>
      </c>
    </row>
    <row r="465" spans="1:15" ht="13.8" x14ac:dyDescent="0.25">
      <c r="A465" s="6" t="s">
        <v>122</v>
      </c>
      <c r="B465" s="4" t="str">
        <f t="shared" si="42"/>
        <v xml:space="preserve">Lg </v>
      </c>
      <c r="C465" s="6" t="s">
        <v>32</v>
      </c>
      <c r="D465" s="6">
        <v>65</v>
      </c>
      <c r="E465" s="6">
        <v>99990</v>
      </c>
      <c r="F465" s="6">
        <v>169990</v>
      </c>
      <c r="G465" s="6" t="s">
        <v>58</v>
      </c>
      <c r="H465" s="6">
        <v>4.5</v>
      </c>
      <c r="I465" s="6">
        <f t="shared" si="43"/>
        <v>70000</v>
      </c>
      <c r="J465">
        <f t="shared" si="44"/>
        <v>0.41178892876051532</v>
      </c>
      <c r="K465" s="6">
        <f t="shared" si="45"/>
        <v>-70000</v>
      </c>
      <c r="L465" s="7">
        <f t="shared" si="46"/>
        <v>-0.7000700070007001</v>
      </c>
      <c r="M465" s="6" t="str">
        <f t="shared" si="47"/>
        <v>Good Ratings</v>
      </c>
      <c r="N465" s="34">
        <f t="array" ref="N465">MEDIAN(_xlfn._xlws.FILTER(Table4[Original Price],Table4[Brand-Renamed] = Table4[[#This Row],[Brand]]))</f>
        <v>98990</v>
      </c>
      <c r="O465" s="35">
        <f t="array" ref="O465">MEDIAN(_xlfn._xlws.FILTER(Table4[Selling Price],Table4[Brand-Renamed] =Table4[[#This Row],[Brand-Renamed]]))</f>
        <v>76737</v>
      </c>
    </row>
    <row r="466" spans="1:15" ht="13.8" x14ac:dyDescent="0.25">
      <c r="A466" s="4" t="s">
        <v>50</v>
      </c>
      <c r="B466" s="4" t="str">
        <f t="shared" si="42"/>
        <v xml:space="preserve">Haier </v>
      </c>
      <c r="C466" s="4" t="s">
        <v>19</v>
      </c>
      <c r="D466" s="4">
        <v>32</v>
      </c>
      <c r="E466" s="4">
        <v>18590</v>
      </c>
      <c r="F466" s="4">
        <v>31090</v>
      </c>
      <c r="G466" s="4" t="s">
        <v>54</v>
      </c>
      <c r="H466" s="4"/>
      <c r="I466" s="4">
        <f t="shared" si="43"/>
        <v>12500</v>
      </c>
      <c r="J466">
        <f t="shared" si="44"/>
        <v>0.40205853972338373</v>
      </c>
      <c r="K466" s="4">
        <f t="shared" si="45"/>
        <v>-12500</v>
      </c>
      <c r="L466" s="5">
        <f t="shared" si="46"/>
        <v>-0.67240451855836469</v>
      </c>
      <c r="M466" s="4" t="str">
        <f t="shared" si="47"/>
        <v>Ratings Not Given</v>
      </c>
      <c r="N466" s="34">
        <f t="array" ref="N466">MEDIAN(_xlfn._xlws.FILTER(Table4[Original Price],Table4[Brand-Renamed] = Table4[[#This Row],[Brand]]))</f>
        <v>43990</v>
      </c>
      <c r="O466" s="35">
        <f t="array" ref="O466">MEDIAN(_xlfn._xlws.FILTER(Table4[Selling Price],Table4[Brand-Renamed] =Table4[[#This Row],[Brand-Renamed]]))</f>
        <v>30994.5</v>
      </c>
    </row>
    <row r="467" spans="1:15" ht="13.8" x14ac:dyDescent="0.25">
      <c r="A467" s="6" t="s">
        <v>138</v>
      </c>
      <c r="B467" s="4" t="str">
        <f t="shared" si="42"/>
        <v>Jvc</v>
      </c>
      <c r="C467" s="6" t="s">
        <v>32</v>
      </c>
      <c r="D467" s="6">
        <v>55</v>
      </c>
      <c r="E467" s="6">
        <v>37999</v>
      </c>
      <c r="F467" s="6">
        <v>59999</v>
      </c>
      <c r="G467" s="6" t="s">
        <v>54</v>
      </c>
      <c r="H467" s="6">
        <v>4.0999999999999996</v>
      </c>
      <c r="I467" s="6">
        <f t="shared" si="43"/>
        <v>22000</v>
      </c>
      <c r="J467">
        <f t="shared" si="44"/>
        <v>0.36667277787963132</v>
      </c>
      <c r="K467" s="6">
        <f t="shared" si="45"/>
        <v>-22000</v>
      </c>
      <c r="L467" s="7">
        <f t="shared" si="46"/>
        <v>-0.57896260427905999</v>
      </c>
      <c r="M467" s="6" t="str">
        <f t="shared" si="47"/>
        <v>Medium Ratings</v>
      </c>
      <c r="N467" s="34">
        <f t="array" ref="N467">MEDIAN(_xlfn._xlws.FILTER(Table4[Original Price],Table4[Brand-Renamed] = Table4[[#This Row],[Brand]]))</f>
        <v>55999.5</v>
      </c>
      <c r="O467" s="35">
        <f t="array" ref="O467">MEDIAN(_xlfn._xlws.FILTER(Table4[Selling Price],Table4[Brand-Renamed] =Table4[[#This Row],[Brand-Renamed]]))</f>
        <v>32494.5</v>
      </c>
    </row>
    <row r="468" spans="1:15" ht="13.8" x14ac:dyDescent="0.25">
      <c r="A468" s="4" t="s">
        <v>13</v>
      </c>
      <c r="B468" s="4" t="str">
        <f t="shared" si="42"/>
        <v>Panasonic</v>
      </c>
      <c r="C468" s="4" t="s">
        <v>32</v>
      </c>
      <c r="D468" s="4">
        <v>43</v>
      </c>
      <c r="E468" s="4">
        <v>35999</v>
      </c>
      <c r="F468" s="4">
        <v>84900</v>
      </c>
      <c r="G468" s="4" t="s">
        <v>60</v>
      </c>
      <c r="H468" s="4">
        <v>4.4000000000000004</v>
      </c>
      <c r="I468" s="4">
        <f t="shared" si="43"/>
        <v>48901</v>
      </c>
      <c r="J468">
        <f t="shared" si="44"/>
        <v>0.57598351001177861</v>
      </c>
      <c r="K468" s="4">
        <f t="shared" si="45"/>
        <v>-48901</v>
      </c>
      <c r="L468" s="5">
        <f t="shared" si="46"/>
        <v>-1.3583988444123447</v>
      </c>
      <c r="M468" s="4" t="str">
        <f t="shared" si="47"/>
        <v>Medium Ratings</v>
      </c>
      <c r="N468" s="34">
        <f t="array" ref="N468">MEDIAN(_xlfn._xlws.FILTER(Table4[Original Price],Table4[Brand-Renamed] = Table4[[#This Row],[Brand]]))</f>
        <v>64195</v>
      </c>
      <c r="O468" s="35">
        <f t="array" ref="O468">MEDIAN(_xlfn._xlws.FILTER(Table4[Selling Price],Table4[Brand-Renamed] =Table4[[#This Row],[Brand-Renamed]]))</f>
        <v>43129</v>
      </c>
    </row>
    <row r="469" spans="1:15" ht="13.8" x14ac:dyDescent="0.25">
      <c r="A469" s="6" t="s">
        <v>50</v>
      </c>
      <c r="B469" s="4" t="str">
        <f t="shared" si="42"/>
        <v xml:space="preserve">Haier </v>
      </c>
      <c r="C469" s="6" t="s">
        <v>19</v>
      </c>
      <c r="D469" s="6">
        <v>32</v>
      </c>
      <c r="E469" s="6">
        <v>18290</v>
      </c>
      <c r="F469" s="6">
        <v>22990</v>
      </c>
      <c r="G469" s="6" t="s">
        <v>54</v>
      </c>
      <c r="H469" s="6">
        <v>4</v>
      </c>
      <c r="I469" s="6">
        <f t="shared" si="43"/>
        <v>4700</v>
      </c>
      <c r="J469">
        <f t="shared" si="44"/>
        <v>0.2044367116137451</v>
      </c>
      <c r="K469" s="6">
        <f t="shared" si="45"/>
        <v>-4700</v>
      </c>
      <c r="L469" s="7">
        <f t="shared" si="46"/>
        <v>-0.25697102241662112</v>
      </c>
      <c r="M469" s="6" t="str">
        <f t="shared" si="47"/>
        <v>Medium Ratings</v>
      </c>
      <c r="N469" s="34">
        <f t="array" ref="N469">MEDIAN(_xlfn._xlws.FILTER(Table4[Original Price],Table4[Brand-Renamed] = Table4[[#This Row],[Brand]]))</f>
        <v>43990</v>
      </c>
      <c r="O469" s="35">
        <f t="array" ref="O469">MEDIAN(_xlfn._xlws.FILTER(Table4[Selling Price],Table4[Brand-Renamed] =Table4[[#This Row],[Brand-Renamed]]))</f>
        <v>30994.5</v>
      </c>
    </row>
    <row r="470" spans="1:15" ht="13.8" x14ac:dyDescent="0.25">
      <c r="A470" s="4" t="s">
        <v>90</v>
      </c>
      <c r="B470" s="4" t="str">
        <f t="shared" si="42"/>
        <v>T-Series</v>
      </c>
      <c r="C470" s="4" t="s">
        <v>19</v>
      </c>
      <c r="D470" s="4">
        <v>40</v>
      </c>
      <c r="E470" s="4">
        <v>19999</v>
      </c>
      <c r="F470" s="4">
        <v>28990</v>
      </c>
      <c r="G470" s="4" t="s">
        <v>54</v>
      </c>
      <c r="H470" s="4"/>
      <c r="I470" s="4">
        <f t="shared" si="43"/>
        <v>8991</v>
      </c>
      <c r="J470">
        <f t="shared" si="44"/>
        <v>0.31014142807864781</v>
      </c>
      <c r="K470" s="4">
        <f t="shared" si="45"/>
        <v>-8991</v>
      </c>
      <c r="L470" s="5">
        <f t="shared" si="46"/>
        <v>-0.44957247862393118</v>
      </c>
      <c r="M470" s="4" t="str">
        <f t="shared" si="47"/>
        <v>Ratings Not Given</v>
      </c>
      <c r="N470" s="34">
        <f t="array" ref="N470">MEDIAN(_xlfn._xlws.FILTER(Table4[Original Price],Table4[Brand-Renamed] = Table4[[#This Row],[Brand]]))</f>
        <v>20990</v>
      </c>
      <c r="O470" s="35">
        <f t="array" ref="O470">MEDIAN(_xlfn._xlws.FILTER(Table4[Selling Price],Table4[Brand-Renamed] =Table4[[#This Row],[Brand-Renamed]]))</f>
        <v>16499</v>
      </c>
    </row>
    <row r="471" spans="1:15" ht="13.8" x14ac:dyDescent="0.25">
      <c r="A471" s="6" t="s">
        <v>90</v>
      </c>
      <c r="B471" s="4" t="str">
        <f t="shared" si="42"/>
        <v>T-Series</v>
      </c>
      <c r="C471" s="6" t="s">
        <v>19</v>
      </c>
      <c r="D471" s="6">
        <v>32</v>
      </c>
      <c r="E471" s="6">
        <v>15990</v>
      </c>
      <c r="F471" s="6">
        <v>16990</v>
      </c>
      <c r="G471" s="6" t="s">
        <v>60</v>
      </c>
      <c r="H471" s="6"/>
      <c r="I471" s="6">
        <f t="shared" si="43"/>
        <v>1000</v>
      </c>
      <c r="J471">
        <f t="shared" si="44"/>
        <v>5.885815185403178E-2</v>
      </c>
      <c r="K471" s="6">
        <f t="shared" si="45"/>
        <v>-1000</v>
      </c>
      <c r="L471" s="7">
        <f t="shared" si="46"/>
        <v>-6.2539086929330828E-2</v>
      </c>
      <c r="M471" s="6" t="str">
        <f t="shared" si="47"/>
        <v>Ratings Not Given</v>
      </c>
      <c r="N471" s="34">
        <f t="array" ref="N471">MEDIAN(_xlfn._xlws.FILTER(Table4[Original Price],Table4[Brand-Renamed] = Table4[[#This Row],[Brand]]))</f>
        <v>20990</v>
      </c>
      <c r="O471" s="35">
        <f t="array" ref="O471">MEDIAN(_xlfn._xlws.FILTER(Table4[Selling Price],Table4[Brand-Renamed] =Table4[[#This Row],[Brand-Renamed]]))</f>
        <v>16499</v>
      </c>
    </row>
    <row r="472" spans="1:15" ht="13.8" x14ac:dyDescent="0.25">
      <c r="A472" s="4" t="s">
        <v>65</v>
      </c>
      <c r="B472" s="4" t="str">
        <f t="shared" si="42"/>
        <v xml:space="preserve">Lloyd </v>
      </c>
      <c r="C472" s="4" t="s">
        <v>19</v>
      </c>
      <c r="D472" s="4">
        <v>32</v>
      </c>
      <c r="E472" s="4">
        <v>18689</v>
      </c>
      <c r="F472" s="4">
        <v>26957</v>
      </c>
      <c r="G472" s="4" t="s">
        <v>60</v>
      </c>
      <c r="H472" s="4"/>
      <c r="I472" s="4">
        <f t="shared" si="43"/>
        <v>8268</v>
      </c>
      <c r="J472">
        <f t="shared" si="44"/>
        <v>0.30671068739103013</v>
      </c>
      <c r="K472" s="4">
        <f t="shared" si="45"/>
        <v>-8268</v>
      </c>
      <c r="L472" s="5">
        <f t="shared" si="46"/>
        <v>-0.44239927229921344</v>
      </c>
      <c r="M472" s="4" t="str">
        <f t="shared" si="47"/>
        <v>Ratings Not Given</v>
      </c>
      <c r="N472" s="34">
        <f t="array" ref="N472">MEDIAN(_xlfn._xlws.FILTER(Table4[Original Price],Table4[Brand-Renamed] = Table4[[#This Row],[Brand]]))</f>
        <v>44490</v>
      </c>
      <c r="O472" s="35">
        <f t="array" ref="O472">MEDIAN(_xlfn._xlws.FILTER(Table4[Selling Price],Table4[Brand-Renamed] =Table4[[#This Row],[Brand-Renamed]]))</f>
        <v>25740</v>
      </c>
    </row>
    <row r="473" spans="1:15" ht="13.8" x14ac:dyDescent="0.25">
      <c r="A473" s="6" t="s">
        <v>65</v>
      </c>
      <c r="B473" s="4" t="str">
        <f t="shared" si="42"/>
        <v xml:space="preserve">Lloyd </v>
      </c>
      <c r="C473" s="6" t="s">
        <v>8</v>
      </c>
      <c r="D473" s="6">
        <v>43</v>
      </c>
      <c r="E473" s="6">
        <v>34990</v>
      </c>
      <c r="F473" s="6">
        <v>48990</v>
      </c>
      <c r="G473" s="6" t="s">
        <v>60</v>
      </c>
      <c r="H473" s="6"/>
      <c r="I473" s="6">
        <f t="shared" si="43"/>
        <v>14000</v>
      </c>
      <c r="J473">
        <f t="shared" si="44"/>
        <v>0.28577260665441928</v>
      </c>
      <c r="K473" s="6">
        <f t="shared" si="45"/>
        <v>-14000</v>
      </c>
      <c r="L473" s="7">
        <f t="shared" si="46"/>
        <v>-0.40011431837667905</v>
      </c>
      <c r="M473" s="6" t="str">
        <f t="shared" si="47"/>
        <v>Ratings Not Given</v>
      </c>
      <c r="N473" s="34">
        <f t="array" ref="N473">MEDIAN(_xlfn._xlws.FILTER(Table4[Original Price],Table4[Brand-Renamed] = Table4[[#This Row],[Brand]]))</f>
        <v>44490</v>
      </c>
      <c r="O473" s="35">
        <f t="array" ref="O473">MEDIAN(_xlfn._xlws.FILTER(Table4[Selling Price],Table4[Brand-Renamed] =Table4[[#This Row],[Brand-Renamed]]))</f>
        <v>25740</v>
      </c>
    </row>
    <row r="474" spans="1:15" ht="13.8" x14ac:dyDescent="0.25">
      <c r="A474" s="4" t="s">
        <v>133</v>
      </c>
      <c r="B474" s="4" t="str">
        <f t="shared" si="42"/>
        <v xml:space="preserve">Bpl </v>
      </c>
      <c r="C474" s="4" t="s">
        <v>19</v>
      </c>
      <c r="D474" s="4">
        <v>32</v>
      </c>
      <c r="E474" s="4">
        <v>16499</v>
      </c>
      <c r="F474" s="4">
        <v>27000</v>
      </c>
      <c r="G474" s="4" t="s">
        <v>54</v>
      </c>
      <c r="H474" s="4">
        <v>3.7</v>
      </c>
      <c r="I474" s="4">
        <f t="shared" si="43"/>
        <v>10501</v>
      </c>
      <c r="J474">
        <f t="shared" si="44"/>
        <v>0.38892592592592595</v>
      </c>
      <c r="K474" s="4">
        <f t="shared" si="45"/>
        <v>-10501</v>
      </c>
      <c r="L474" s="5">
        <f t="shared" si="46"/>
        <v>-0.63646281592823806</v>
      </c>
      <c r="M474" s="4" t="str">
        <f t="shared" si="47"/>
        <v>Bad Ratings</v>
      </c>
      <c r="N474" s="34">
        <f t="array" ref="N474">MEDIAN(_xlfn._xlws.FILTER(Table4[Original Price],Table4[Brand-Renamed] = Table4[[#This Row],[Brand]]))</f>
        <v>47999.5</v>
      </c>
      <c r="O474" s="35">
        <f t="array" ref="O474">MEDIAN(_xlfn._xlws.FILTER(Table4[Selling Price],Table4[Brand-Renamed] =Table4[[#This Row],[Brand-Renamed]]))</f>
        <v>35740</v>
      </c>
    </row>
    <row r="475" spans="1:15" ht="13.8" x14ac:dyDescent="0.25">
      <c r="A475" s="6" t="s">
        <v>122</v>
      </c>
      <c r="B475" s="4" t="str">
        <f t="shared" si="42"/>
        <v xml:space="preserve">Lg </v>
      </c>
      <c r="C475" s="6" t="s">
        <v>32</v>
      </c>
      <c r="D475" s="6">
        <v>49</v>
      </c>
      <c r="E475" s="6">
        <v>58999</v>
      </c>
      <c r="F475" s="6">
        <v>90990</v>
      </c>
      <c r="G475" s="6" t="s">
        <v>58</v>
      </c>
      <c r="H475" s="6">
        <v>4.3</v>
      </c>
      <c r="I475" s="6">
        <f t="shared" si="43"/>
        <v>31991</v>
      </c>
      <c r="J475">
        <f t="shared" si="44"/>
        <v>0.3515880866029234</v>
      </c>
      <c r="K475" s="6">
        <f t="shared" si="45"/>
        <v>-31991</v>
      </c>
      <c r="L475" s="7">
        <f t="shared" si="46"/>
        <v>-0.54222952931405621</v>
      </c>
      <c r="M475" s="6" t="str">
        <f t="shared" si="47"/>
        <v>Medium Ratings</v>
      </c>
      <c r="N475" s="34">
        <f t="array" ref="N475">MEDIAN(_xlfn._xlws.FILTER(Table4[Original Price],Table4[Brand-Renamed] = Table4[[#This Row],[Brand]]))</f>
        <v>98990</v>
      </c>
      <c r="O475" s="35">
        <f t="array" ref="O475">MEDIAN(_xlfn._xlws.FILTER(Table4[Selling Price],Table4[Brand-Renamed] =Table4[[#This Row],[Brand-Renamed]]))</f>
        <v>76737</v>
      </c>
    </row>
    <row r="476" spans="1:15" ht="13.8" x14ac:dyDescent="0.25">
      <c r="A476" s="4" t="s">
        <v>133</v>
      </c>
      <c r="B476" s="4" t="str">
        <f t="shared" si="42"/>
        <v xml:space="preserve">Bpl </v>
      </c>
      <c r="C476" s="4" t="s">
        <v>19</v>
      </c>
      <c r="D476" s="4">
        <v>43</v>
      </c>
      <c r="E476" s="4">
        <v>28990</v>
      </c>
      <c r="F476" s="4">
        <v>35999</v>
      </c>
      <c r="G476" s="4" t="s">
        <v>54</v>
      </c>
      <c r="H476" s="4"/>
      <c r="I476" s="4">
        <f t="shared" si="43"/>
        <v>7009</v>
      </c>
      <c r="J476">
        <f t="shared" si="44"/>
        <v>0.19469985277368815</v>
      </c>
      <c r="K476" s="4">
        <f t="shared" si="45"/>
        <v>-7009</v>
      </c>
      <c r="L476" s="5">
        <f t="shared" si="46"/>
        <v>-0.24177302518109692</v>
      </c>
      <c r="M476" s="4" t="str">
        <f t="shared" si="47"/>
        <v>Ratings Not Given</v>
      </c>
      <c r="N476" s="34">
        <f t="array" ref="N476">MEDIAN(_xlfn._xlws.FILTER(Table4[Original Price],Table4[Brand-Renamed] = Table4[[#This Row],[Brand]]))</f>
        <v>47999.5</v>
      </c>
      <c r="O476" s="35">
        <f t="array" ref="O476">MEDIAN(_xlfn._xlws.FILTER(Table4[Selling Price],Table4[Brand-Renamed] =Table4[[#This Row],[Brand-Renamed]]))</f>
        <v>35740</v>
      </c>
    </row>
    <row r="477" spans="1:15" ht="13.8" x14ac:dyDescent="0.25">
      <c r="A477" s="6" t="s">
        <v>125</v>
      </c>
      <c r="B477" s="4" t="str">
        <f t="shared" si="42"/>
        <v>Samsung</v>
      </c>
      <c r="C477" s="6" t="s">
        <v>19</v>
      </c>
      <c r="D477" s="6">
        <v>32</v>
      </c>
      <c r="E477" s="6">
        <v>26900</v>
      </c>
      <c r="F477" s="6">
        <v>26900</v>
      </c>
      <c r="G477" s="6" t="s">
        <v>56</v>
      </c>
      <c r="H477" s="6">
        <v>4</v>
      </c>
      <c r="I477" s="6">
        <f t="shared" si="43"/>
        <v>0</v>
      </c>
      <c r="J477" t="str">
        <f t="shared" si="44"/>
        <v>Discount Not Applied</v>
      </c>
      <c r="K477" s="6">
        <f t="shared" si="45"/>
        <v>0</v>
      </c>
      <c r="L477" s="7">
        <f t="shared" si="46"/>
        <v>0</v>
      </c>
      <c r="M477" s="6" t="str">
        <f t="shared" si="47"/>
        <v>Medium Ratings</v>
      </c>
      <c r="N477" s="34">
        <f t="array" ref="N477">MEDIAN(_xlfn._xlws.FILTER(Table4[Original Price],Table4[Brand-Renamed] = Table4[[#This Row],[Brand]]))</f>
        <v>100945</v>
      </c>
      <c r="O477" s="35">
        <f t="array" ref="O477">MEDIAN(_xlfn._xlws.FILTER(Table4[Selling Price],Table4[Brand-Renamed] =Table4[[#This Row],[Brand-Renamed]]))</f>
        <v>74490</v>
      </c>
    </row>
    <row r="478" spans="1:15" ht="13.8" x14ac:dyDescent="0.25">
      <c r="A478" s="4" t="s">
        <v>126</v>
      </c>
      <c r="B478" s="4" t="str">
        <f t="shared" si="42"/>
        <v xml:space="preserve">Sony </v>
      </c>
      <c r="C478" s="4" t="s">
        <v>32</v>
      </c>
      <c r="D478" s="4">
        <v>65</v>
      </c>
      <c r="E478" s="4">
        <v>191492</v>
      </c>
      <c r="F478" s="4">
        <v>364900</v>
      </c>
      <c r="G478" s="4" t="s">
        <v>54</v>
      </c>
      <c r="H478" s="4">
        <v>3.8</v>
      </c>
      <c r="I478" s="4">
        <f t="shared" si="43"/>
        <v>173408</v>
      </c>
      <c r="J478">
        <f t="shared" si="44"/>
        <v>0.47522060838585917</v>
      </c>
      <c r="K478" s="4">
        <f t="shared" si="45"/>
        <v>-173408</v>
      </c>
      <c r="L478" s="5">
        <f t="shared" si="46"/>
        <v>-0.90556263447036955</v>
      </c>
      <c r="M478" s="4" t="str">
        <f t="shared" si="47"/>
        <v>Medium Ratings</v>
      </c>
      <c r="N478" s="34">
        <f t="array" ref="N478">MEDIAN(_xlfn._xlws.FILTER(Table4[Original Price],Table4[Brand-Renamed] = Table4[[#This Row],[Brand]]))</f>
        <v>87400</v>
      </c>
      <c r="O478" s="35">
        <f t="array" ref="O478">MEDIAN(_xlfn._xlws.FILTER(Table4[Selling Price],Table4[Brand-Renamed] =Table4[[#This Row],[Brand-Renamed]]))</f>
        <v>64294.5</v>
      </c>
    </row>
    <row r="479" spans="1:15" ht="13.8" x14ac:dyDescent="0.25">
      <c r="A479" s="6" t="s">
        <v>65</v>
      </c>
      <c r="B479" s="4" t="str">
        <f t="shared" si="42"/>
        <v xml:space="preserve">Lloyd </v>
      </c>
      <c r="C479" s="6" t="s">
        <v>32</v>
      </c>
      <c r="D479" s="6">
        <v>50</v>
      </c>
      <c r="E479" s="6">
        <v>44999</v>
      </c>
      <c r="F479" s="6">
        <v>84990</v>
      </c>
      <c r="G479" s="6" t="s">
        <v>60</v>
      </c>
      <c r="H479" s="6">
        <v>4.3</v>
      </c>
      <c r="I479" s="6">
        <f t="shared" si="43"/>
        <v>39991</v>
      </c>
      <c r="J479">
        <f t="shared" si="44"/>
        <v>0.47053771031886105</v>
      </c>
      <c r="K479" s="6">
        <f t="shared" si="45"/>
        <v>-39991</v>
      </c>
      <c r="L479" s="7">
        <f t="shared" si="46"/>
        <v>-0.88870863796973265</v>
      </c>
      <c r="M479" s="6" t="str">
        <f t="shared" si="47"/>
        <v>Medium Ratings</v>
      </c>
      <c r="N479" s="34">
        <f t="array" ref="N479">MEDIAN(_xlfn._xlws.FILTER(Table4[Original Price],Table4[Brand-Renamed] = Table4[[#This Row],[Brand]]))</f>
        <v>44490</v>
      </c>
      <c r="O479" s="35">
        <f t="array" ref="O479">MEDIAN(_xlfn._xlws.FILTER(Table4[Selling Price],Table4[Brand-Renamed] =Table4[[#This Row],[Brand-Renamed]]))</f>
        <v>25740</v>
      </c>
    </row>
    <row r="480" spans="1:15" ht="13.8" x14ac:dyDescent="0.25">
      <c r="A480" s="4" t="s">
        <v>122</v>
      </c>
      <c r="B480" s="4" t="str">
        <f t="shared" si="42"/>
        <v xml:space="preserve">Lg </v>
      </c>
      <c r="C480" s="4" t="s">
        <v>32</v>
      </c>
      <c r="D480" s="4">
        <v>65</v>
      </c>
      <c r="E480" s="4">
        <v>189999</v>
      </c>
      <c r="F480" s="4">
        <v>299990</v>
      </c>
      <c r="G480" s="4" t="s">
        <v>58</v>
      </c>
      <c r="H480" s="4">
        <v>2.7</v>
      </c>
      <c r="I480" s="4">
        <f t="shared" si="43"/>
        <v>109991</v>
      </c>
      <c r="J480">
        <f t="shared" si="44"/>
        <v>0.36664888829627656</v>
      </c>
      <c r="K480" s="4">
        <f t="shared" si="45"/>
        <v>-109991</v>
      </c>
      <c r="L480" s="5">
        <f t="shared" si="46"/>
        <v>-0.57890304685814131</v>
      </c>
      <c r="M480" s="4" t="str">
        <f t="shared" si="47"/>
        <v>Bad Ratings</v>
      </c>
      <c r="N480" s="34">
        <f t="array" ref="N480">MEDIAN(_xlfn._xlws.FILTER(Table4[Original Price],Table4[Brand-Renamed] = Table4[[#This Row],[Brand]]))</f>
        <v>98990</v>
      </c>
      <c r="O480" s="35">
        <f t="array" ref="O480">MEDIAN(_xlfn._xlws.FILTER(Table4[Selling Price],Table4[Brand-Renamed] =Table4[[#This Row],[Brand-Renamed]]))</f>
        <v>76737</v>
      </c>
    </row>
    <row r="481" spans="1:15" ht="13.8" x14ac:dyDescent="0.25">
      <c r="A481" s="6" t="s">
        <v>41</v>
      </c>
      <c r="B481" s="4" t="str">
        <f t="shared" si="42"/>
        <v xml:space="preserve">Candes </v>
      </c>
      <c r="C481" s="6" t="s">
        <v>19</v>
      </c>
      <c r="D481" s="6">
        <v>24</v>
      </c>
      <c r="E481" s="6">
        <v>8699</v>
      </c>
      <c r="F481" s="6">
        <v>15990</v>
      </c>
      <c r="G481" s="6" t="s">
        <v>54</v>
      </c>
      <c r="H481" s="6">
        <v>3.9</v>
      </c>
      <c r="I481" s="6">
        <f t="shared" si="43"/>
        <v>7291</v>
      </c>
      <c r="J481">
        <f t="shared" si="44"/>
        <v>0.45597248280175107</v>
      </c>
      <c r="K481" s="6">
        <f t="shared" si="45"/>
        <v>-7291</v>
      </c>
      <c r="L481" s="7">
        <f t="shared" si="46"/>
        <v>-0.83814231520864468</v>
      </c>
      <c r="M481" s="6" t="str">
        <f t="shared" si="47"/>
        <v>Medium Ratings</v>
      </c>
      <c r="N481" s="34">
        <f t="array" ref="N481">MEDIAN(_xlfn._xlws.FILTER(Table4[Original Price],Table4[Brand-Renamed] = Table4[[#This Row],[Brand]]))</f>
        <v>26340</v>
      </c>
      <c r="O481" s="35">
        <f t="array" ref="O481">MEDIAN(_xlfn._xlws.FILTER(Table4[Selling Price],Table4[Brand-Renamed] =Table4[[#This Row],[Brand-Renamed]]))</f>
        <v>13649</v>
      </c>
    </row>
    <row r="482" spans="1:15" ht="13.8" x14ac:dyDescent="0.25">
      <c r="A482" s="4" t="s">
        <v>125</v>
      </c>
      <c r="B482" s="4" t="str">
        <f t="shared" si="42"/>
        <v>Samsung</v>
      </c>
      <c r="C482" s="4" t="s">
        <v>32</v>
      </c>
      <c r="D482" s="4">
        <v>50</v>
      </c>
      <c r="E482" s="4">
        <v>52890</v>
      </c>
      <c r="F482" s="4">
        <v>70900</v>
      </c>
      <c r="G482" s="4" t="s">
        <v>56</v>
      </c>
      <c r="H482" s="4">
        <v>4</v>
      </c>
      <c r="I482" s="4">
        <f t="shared" si="43"/>
        <v>18010</v>
      </c>
      <c r="J482">
        <f t="shared" si="44"/>
        <v>0.25401974612129763</v>
      </c>
      <c r="K482" s="4">
        <f t="shared" si="45"/>
        <v>-18010</v>
      </c>
      <c r="L482" s="5">
        <f t="shared" si="46"/>
        <v>-0.34051805634335414</v>
      </c>
      <c r="M482" s="4" t="str">
        <f t="shared" si="47"/>
        <v>Medium Ratings</v>
      </c>
      <c r="N482" s="34">
        <f t="array" ref="N482">MEDIAN(_xlfn._xlws.FILTER(Table4[Original Price],Table4[Brand-Renamed] = Table4[[#This Row],[Brand]]))</f>
        <v>100945</v>
      </c>
      <c r="O482" s="35">
        <f t="array" ref="O482">MEDIAN(_xlfn._xlws.FILTER(Table4[Selling Price],Table4[Brand-Renamed] =Table4[[#This Row],[Brand-Renamed]]))</f>
        <v>74490</v>
      </c>
    </row>
    <row r="483" spans="1:15" ht="13.8" x14ac:dyDescent="0.25">
      <c r="A483" s="6" t="s">
        <v>132</v>
      </c>
      <c r="B483" s="4" t="str">
        <f t="shared" si="42"/>
        <v xml:space="preserve">Impex </v>
      </c>
      <c r="C483" s="6" t="s">
        <v>8</v>
      </c>
      <c r="D483" s="6">
        <v>43</v>
      </c>
      <c r="E483" s="6">
        <v>27039</v>
      </c>
      <c r="F483" s="6">
        <v>32039</v>
      </c>
      <c r="G483" s="6" t="s">
        <v>62</v>
      </c>
      <c r="H483" s="6">
        <v>4</v>
      </c>
      <c r="I483" s="6">
        <f t="shared" si="43"/>
        <v>5000</v>
      </c>
      <c r="J483">
        <f t="shared" si="44"/>
        <v>0.1560598021161709</v>
      </c>
      <c r="K483" s="6">
        <f t="shared" si="45"/>
        <v>-5000</v>
      </c>
      <c r="L483" s="7">
        <f t="shared" si="46"/>
        <v>-0.18491808128998855</v>
      </c>
      <c r="M483" s="6" t="str">
        <f t="shared" si="47"/>
        <v>Medium Ratings</v>
      </c>
      <c r="N483" s="34">
        <f t="array" ref="N483">MEDIAN(_xlfn._xlws.FILTER(Table4[Original Price],Table4[Brand-Renamed] = Table4[[#This Row],[Brand]]))</f>
        <v>32039</v>
      </c>
      <c r="O483" s="35">
        <f t="array" ref="O483">MEDIAN(_xlfn._xlws.FILTER(Table4[Selling Price],Table4[Brand-Renamed] =Table4[[#This Row],[Brand-Renamed]]))</f>
        <v>28690</v>
      </c>
    </row>
    <row r="484" spans="1:15" ht="13.8" x14ac:dyDescent="0.25">
      <c r="A484" s="4" t="s">
        <v>50</v>
      </c>
      <c r="B484" s="4" t="str">
        <f t="shared" si="42"/>
        <v xml:space="preserve">Haier </v>
      </c>
      <c r="C484" s="4" t="s">
        <v>8</v>
      </c>
      <c r="D484" s="4">
        <v>50</v>
      </c>
      <c r="E484" s="4">
        <v>42999</v>
      </c>
      <c r="F484" s="4">
        <v>59990</v>
      </c>
      <c r="G484" s="4" t="s">
        <v>54</v>
      </c>
      <c r="H484" s="4"/>
      <c r="I484" s="4">
        <f t="shared" si="43"/>
        <v>16991</v>
      </c>
      <c r="J484">
        <f t="shared" si="44"/>
        <v>0.2832305384230705</v>
      </c>
      <c r="K484" s="4">
        <f t="shared" si="45"/>
        <v>-16991</v>
      </c>
      <c r="L484" s="5">
        <f t="shared" si="46"/>
        <v>-0.39514872438893928</v>
      </c>
      <c r="M484" s="4" t="str">
        <f t="shared" si="47"/>
        <v>Ratings Not Given</v>
      </c>
      <c r="N484" s="34">
        <f t="array" ref="N484">MEDIAN(_xlfn._xlws.FILTER(Table4[Original Price],Table4[Brand-Renamed] = Table4[[#This Row],[Brand]]))</f>
        <v>43990</v>
      </c>
      <c r="O484" s="35">
        <f t="array" ref="O484">MEDIAN(_xlfn._xlws.FILTER(Table4[Selling Price],Table4[Brand-Renamed] =Table4[[#This Row],[Brand-Renamed]]))</f>
        <v>30994.5</v>
      </c>
    </row>
    <row r="485" spans="1:15" ht="13.8" x14ac:dyDescent="0.25">
      <c r="A485" s="6" t="s">
        <v>122</v>
      </c>
      <c r="B485" s="4" t="str">
        <f t="shared" si="42"/>
        <v xml:space="preserve">Lg </v>
      </c>
      <c r="C485" s="6" t="s">
        <v>32</v>
      </c>
      <c r="D485" s="6">
        <v>43</v>
      </c>
      <c r="E485" s="6">
        <v>79990</v>
      </c>
      <c r="F485" s="6">
        <v>79990</v>
      </c>
      <c r="G485" s="6" t="s">
        <v>58</v>
      </c>
      <c r="H485" s="6">
        <v>4.4000000000000004</v>
      </c>
      <c r="I485" s="6">
        <f t="shared" si="43"/>
        <v>0</v>
      </c>
      <c r="J485" t="str">
        <f t="shared" si="44"/>
        <v>Discount Not Applied</v>
      </c>
      <c r="K485" s="6">
        <f t="shared" si="45"/>
        <v>0</v>
      </c>
      <c r="L485" s="7">
        <f t="shared" si="46"/>
        <v>0</v>
      </c>
      <c r="M485" s="6" t="str">
        <f t="shared" si="47"/>
        <v>Medium Ratings</v>
      </c>
      <c r="N485" s="34">
        <f t="array" ref="N485">MEDIAN(_xlfn._xlws.FILTER(Table4[Original Price],Table4[Brand-Renamed] = Table4[[#This Row],[Brand]]))</f>
        <v>98990</v>
      </c>
      <c r="O485" s="35">
        <f t="array" ref="O485">MEDIAN(_xlfn._xlws.FILTER(Table4[Selling Price],Table4[Brand-Renamed] =Table4[[#This Row],[Brand-Renamed]]))</f>
        <v>76737</v>
      </c>
    </row>
    <row r="486" spans="1:15" ht="13.8" x14ac:dyDescent="0.25">
      <c r="A486" s="4" t="s">
        <v>122</v>
      </c>
      <c r="B486" s="4" t="str">
        <f t="shared" si="42"/>
        <v xml:space="preserve">Lg </v>
      </c>
      <c r="C486" s="4" t="s">
        <v>32</v>
      </c>
      <c r="D486" s="4">
        <v>65</v>
      </c>
      <c r="E486" s="4">
        <v>84990</v>
      </c>
      <c r="F486" s="4">
        <v>129990</v>
      </c>
      <c r="G486" s="4" t="s">
        <v>58</v>
      </c>
      <c r="H486" s="4"/>
      <c r="I486" s="4">
        <f t="shared" si="43"/>
        <v>45000</v>
      </c>
      <c r="J486">
        <f t="shared" si="44"/>
        <v>0.34618047542118624</v>
      </c>
      <c r="K486" s="4">
        <f t="shared" si="45"/>
        <v>-45000</v>
      </c>
      <c r="L486" s="5">
        <f t="shared" si="46"/>
        <v>-0.52947405577126716</v>
      </c>
      <c r="M486" s="4" t="str">
        <f t="shared" si="47"/>
        <v>Ratings Not Given</v>
      </c>
      <c r="N486" s="34">
        <f t="array" ref="N486">MEDIAN(_xlfn._xlws.FILTER(Table4[Original Price],Table4[Brand-Renamed] = Table4[[#This Row],[Brand]]))</f>
        <v>98990</v>
      </c>
      <c r="O486" s="35">
        <f t="array" ref="O486">MEDIAN(_xlfn._xlws.FILTER(Table4[Selling Price],Table4[Brand-Renamed] =Table4[[#This Row],[Brand-Renamed]]))</f>
        <v>76737</v>
      </c>
    </row>
    <row r="487" spans="1:15" ht="13.8" x14ac:dyDescent="0.25">
      <c r="A487" s="6" t="s">
        <v>125</v>
      </c>
      <c r="B487" s="4" t="str">
        <f t="shared" si="42"/>
        <v>Samsung</v>
      </c>
      <c r="C487" s="6" t="s">
        <v>32</v>
      </c>
      <c r="D487" s="6">
        <v>55</v>
      </c>
      <c r="E487" s="6">
        <v>229900</v>
      </c>
      <c r="F487" s="6">
        <v>229900</v>
      </c>
      <c r="G487" s="6" t="s">
        <v>56</v>
      </c>
      <c r="H487" s="6"/>
      <c r="I487" s="6">
        <f t="shared" si="43"/>
        <v>0</v>
      </c>
      <c r="J487" t="str">
        <f t="shared" si="44"/>
        <v>Discount Not Applied</v>
      </c>
      <c r="K487" s="6">
        <f t="shared" si="45"/>
        <v>0</v>
      </c>
      <c r="L487" s="7">
        <f t="shared" si="46"/>
        <v>0</v>
      </c>
      <c r="M487" s="6" t="str">
        <f t="shared" si="47"/>
        <v>Ratings Not Given</v>
      </c>
      <c r="N487" s="34">
        <f t="array" ref="N487">MEDIAN(_xlfn._xlws.FILTER(Table4[Original Price],Table4[Brand-Renamed] = Table4[[#This Row],[Brand]]))</f>
        <v>100945</v>
      </c>
      <c r="O487" s="35">
        <f t="array" ref="O487">MEDIAN(_xlfn._xlws.FILTER(Table4[Selling Price],Table4[Brand-Renamed] =Table4[[#This Row],[Brand-Renamed]]))</f>
        <v>74490</v>
      </c>
    </row>
    <row r="488" spans="1:15" ht="13.8" x14ac:dyDescent="0.25">
      <c r="A488" s="4" t="s">
        <v>65</v>
      </c>
      <c r="B488" s="4" t="str">
        <f t="shared" si="42"/>
        <v xml:space="preserve">Lloyd </v>
      </c>
      <c r="C488" s="4" t="s">
        <v>19</v>
      </c>
      <c r="D488" s="4">
        <v>31</v>
      </c>
      <c r="E488" s="4">
        <v>16485</v>
      </c>
      <c r="F488" s="4">
        <v>22990</v>
      </c>
      <c r="G488" s="4" t="s">
        <v>60</v>
      </c>
      <c r="H488" s="4">
        <v>4.3</v>
      </c>
      <c r="I488" s="4">
        <f t="shared" si="43"/>
        <v>6505</v>
      </c>
      <c r="J488">
        <f t="shared" si="44"/>
        <v>0.28294910830796</v>
      </c>
      <c r="K488" s="4">
        <f t="shared" si="45"/>
        <v>-6505</v>
      </c>
      <c r="L488" s="5">
        <f t="shared" si="46"/>
        <v>-0.39460115256293599</v>
      </c>
      <c r="M488" s="4" t="str">
        <f t="shared" si="47"/>
        <v>Medium Ratings</v>
      </c>
      <c r="N488" s="34">
        <f t="array" ref="N488">MEDIAN(_xlfn._xlws.FILTER(Table4[Original Price],Table4[Brand-Renamed] = Table4[[#This Row],[Brand]]))</f>
        <v>44490</v>
      </c>
      <c r="O488" s="35">
        <f t="array" ref="O488">MEDIAN(_xlfn._xlws.FILTER(Table4[Selling Price],Table4[Brand-Renamed] =Table4[[#This Row],[Brand-Renamed]]))</f>
        <v>25740</v>
      </c>
    </row>
    <row r="489" spans="1:15" ht="13.8" x14ac:dyDescent="0.25">
      <c r="A489" s="6" t="s">
        <v>118</v>
      </c>
      <c r="B489" s="4" t="str">
        <f t="shared" si="42"/>
        <v>Toshiba</v>
      </c>
      <c r="C489" s="6" t="s">
        <v>32</v>
      </c>
      <c r="D489" s="6">
        <v>65</v>
      </c>
      <c r="E489" s="6">
        <v>63999</v>
      </c>
      <c r="F489" s="6">
        <v>119999</v>
      </c>
      <c r="G489" s="6" t="s">
        <v>64</v>
      </c>
      <c r="H489" s="6"/>
      <c r="I489" s="6">
        <f t="shared" si="43"/>
        <v>56000</v>
      </c>
      <c r="J489">
        <f t="shared" si="44"/>
        <v>0.46667055558796322</v>
      </c>
      <c r="K489" s="6">
        <f t="shared" si="45"/>
        <v>-56000</v>
      </c>
      <c r="L489" s="7">
        <f t="shared" si="46"/>
        <v>-0.87501367208862635</v>
      </c>
      <c r="M489" s="6" t="str">
        <f t="shared" si="47"/>
        <v>Ratings Not Given</v>
      </c>
      <c r="N489" s="34">
        <f t="array" ref="N489">MEDIAN(_xlfn._xlws.FILTER(Table4[Original Price],Table4[Brand-Renamed] = Table4[[#This Row],[Brand]]))</f>
        <v>46990</v>
      </c>
      <c r="O489" s="35">
        <f t="array" ref="O489">MEDIAN(_xlfn._xlws.FILTER(Table4[Selling Price],Table4[Brand-Renamed] =Table4[[#This Row],[Brand-Renamed]]))</f>
        <v>29999</v>
      </c>
    </row>
    <row r="490" spans="1:15" ht="13.8" x14ac:dyDescent="0.25">
      <c r="A490" s="4" t="s">
        <v>122</v>
      </c>
      <c r="B490" s="4" t="str">
        <f t="shared" si="42"/>
        <v xml:space="preserve">Lg </v>
      </c>
      <c r="C490" s="4" t="s">
        <v>32</v>
      </c>
      <c r="D490" s="4">
        <v>55</v>
      </c>
      <c r="E490" s="4">
        <v>62490</v>
      </c>
      <c r="F490" s="4">
        <v>79990</v>
      </c>
      <c r="G490" s="4" t="s">
        <v>58</v>
      </c>
      <c r="H490" s="4">
        <v>4</v>
      </c>
      <c r="I490" s="4">
        <f t="shared" si="43"/>
        <v>17500</v>
      </c>
      <c r="J490">
        <f t="shared" si="44"/>
        <v>0.21877734716839606</v>
      </c>
      <c r="K490" s="4">
        <f t="shared" si="45"/>
        <v>-17500</v>
      </c>
      <c r="L490" s="5">
        <f t="shared" si="46"/>
        <v>-0.28004480716914704</v>
      </c>
      <c r="M490" s="4" t="str">
        <f t="shared" si="47"/>
        <v>Medium Ratings</v>
      </c>
      <c r="N490" s="34">
        <f t="array" ref="N490">MEDIAN(_xlfn._xlws.FILTER(Table4[Original Price],Table4[Brand-Renamed] = Table4[[#This Row],[Brand]]))</f>
        <v>98990</v>
      </c>
      <c r="O490" s="35">
        <f t="array" ref="O490">MEDIAN(_xlfn._xlws.FILTER(Table4[Selling Price],Table4[Brand-Renamed] =Table4[[#This Row],[Brand-Renamed]]))</f>
        <v>76737</v>
      </c>
    </row>
    <row r="491" spans="1:15" ht="13.8" x14ac:dyDescent="0.25">
      <c r="A491" s="6" t="s">
        <v>125</v>
      </c>
      <c r="B491" s="4" t="str">
        <f t="shared" si="42"/>
        <v>Samsung</v>
      </c>
      <c r="C491" s="6" t="s">
        <v>32</v>
      </c>
      <c r="D491" s="6">
        <v>55</v>
      </c>
      <c r="E491" s="6">
        <v>67990</v>
      </c>
      <c r="F491" s="6">
        <v>86900</v>
      </c>
      <c r="G491" s="6" t="s">
        <v>56</v>
      </c>
      <c r="H491" s="6">
        <v>3.9</v>
      </c>
      <c r="I491" s="6">
        <f t="shared" si="43"/>
        <v>18910</v>
      </c>
      <c r="J491">
        <f t="shared" si="44"/>
        <v>0.21760644418872266</v>
      </c>
      <c r="K491" s="6">
        <f t="shared" si="45"/>
        <v>-18910</v>
      </c>
      <c r="L491" s="7">
        <f t="shared" si="46"/>
        <v>-0.27812913663774086</v>
      </c>
      <c r="M491" s="6" t="str">
        <f t="shared" si="47"/>
        <v>Medium Ratings</v>
      </c>
      <c r="N491" s="34">
        <f t="array" ref="N491">MEDIAN(_xlfn._xlws.FILTER(Table4[Original Price],Table4[Brand-Renamed] = Table4[[#This Row],[Brand]]))</f>
        <v>100945</v>
      </c>
      <c r="O491" s="35">
        <f t="array" ref="O491">MEDIAN(_xlfn._xlws.FILTER(Table4[Selling Price],Table4[Brand-Renamed] =Table4[[#This Row],[Brand-Renamed]]))</f>
        <v>74490</v>
      </c>
    </row>
    <row r="492" spans="1:15" ht="13.8" x14ac:dyDescent="0.25">
      <c r="A492" s="4" t="s">
        <v>78</v>
      </c>
      <c r="B492" s="4" t="str">
        <f t="shared" si="42"/>
        <v>Power Guard</v>
      </c>
      <c r="C492" s="4" t="s">
        <v>32</v>
      </c>
      <c r="D492" s="4">
        <v>55</v>
      </c>
      <c r="E492" s="4">
        <v>41999</v>
      </c>
      <c r="F492" s="4">
        <v>58990</v>
      </c>
      <c r="G492" s="4" t="s">
        <v>54</v>
      </c>
      <c r="H492" s="4"/>
      <c r="I492" s="4">
        <f t="shared" si="43"/>
        <v>16991</v>
      </c>
      <c r="J492">
        <f t="shared" si="44"/>
        <v>0.28803186980844209</v>
      </c>
      <c r="K492" s="4">
        <f t="shared" si="45"/>
        <v>-16991</v>
      </c>
      <c r="L492" s="5">
        <f t="shared" si="46"/>
        <v>-0.4045572513631277</v>
      </c>
      <c r="M492" s="4" t="str">
        <f t="shared" si="47"/>
        <v>Ratings Not Given</v>
      </c>
      <c r="N492" s="34">
        <f t="array" ref="N492">MEDIAN(_xlfn._xlws.FILTER(Table4[Original Price],Table4[Brand-Renamed] = Table4[[#This Row],[Brand]]))</f>
        <v>28990</v>
      </c>
      <c r="O492" s="35">
        <f t="array" ref="O492">MEDIAN(_xlfn._xlws.FILTER(Table4[Selling Price],Table4[Brand-Renamed] =Table4[[#This Row],[Brand-Renamed]]))</f>
        <v>15650</v>
      </c>
    </row>
    <row r="493" spans="1:15" ht="13.8" x14ac:dyDescent="0.25">
      <c r="A493" s="6" t="s">
        <v>122</v>
      </c>
      <c r="B493" s="4" t="str">
        <f t="shared" si="42"/>
        <v xml:space="preserve">Lg </v>
      </c>
      <c r="C493" s="6" t="s">
        <v>8</v>
      </c>
      <c r="D493" s="6">
        <v>43</v>
      </c>
      <c r="E493" s="6">
        <v>39290</v>
      </c>
      <c r="F493" s="6">
        <v>49990</v>
      </c>
      <c r="G493" s="6" t="s">
        <v>58</v>
      </c>
      <c r="H493" s="6">
        <v>4.2</v>
      </c>
      <c r="I493" s="6">
        <f t="shared" si="43"/>
        <v>10700</v>
      </c>
      <c r="J493">
        <f t="shared" si="44"/>
        <v>0.21404280856171234</v>
      </c>
      <c r="K493" s="6">
        <f t="shared" si="45"/>
        <v>-10700</v>
      </c>
      <c r="L493" s="7">
        <f t="shared" si="46"/>
        <v>-0.27233392720794097</v>
      </c>
      <c r="M493" s="6" t="str">
        <f t="shared" si="47"/>
        <v>Medium Ratings</v>
      </c>
      <c r="N493" s="34">
        <f t="array" ref="N493">MEDIAN(_xlfn._xlws.FILTER(Table4[Original Price],Table4[Brand-Renamed] = Table4[[#This Row],[Brand]]))</f>
        <v>98990</v>
      </c>
      <c r="O493" s="35">
        <f t="array" ref="O493">MEDIAN(_xlfn._xlws.FILTER(Table4[Selling Price],Table4[Brand-Renamed] =Table4[[#This Row],[Brand-Renamed]]))</f>
        <v>76737</v>
      </c>
    </row>
    <row r="494" spans="1:15" ht="13.8" x14ac:dyDescent="0.25">
      <c r="A494" s="4" t="s">
        <v>90</v>
      </c>
      <c r="B494" s="4" t="str">
        <f t="shared" si="42"/>
        <v>T-Series</v>
      </c>
      <c r="C494" s="4" t="s">
        <v>8</v>
      </c>
      <c r="D494" s="4">
        <v>43</v>
      </c>
      <c r="E494" s="4">
        <v>26999</v>
      </c>
      <c r="F494" s="4">
        <v>33990</v>
      </c>
      <c r="G494" s="4" t="s">
        <v>54</v>
      </c>
      <c r="H494" s="4"/>
      <c r="I494" s="4">
        <f t="shared" si="43"/>
        <v>6991</v>
      </c>
      <c r="J494">
        <f t="shared" si="44"/>
        <v>0.20567814062959694</v>
      </c>
      <c r="K494" s="4">
        <f t="shared" si="45"/>
        <v>-6991</v>
      </c>
      <c r="L494" s="5">
        <f t="shared" si="46"/>
        <v>-0.25893551613022703</v>
      </c>
      <c r="M494" s="4" t="str">
        <f t="shared" si="47"/>
        <v>Ratings Not Given</v>
      </c>
      <c r="N494" s="34">
        <f t="array" ref="N494">MEDIAN(_xlfn._xlws.FILTER(Table4[Original Price],Table4[Brand-Renamed] = Table4[[#This Row],[Brand]]))</f>
        <v>20990</v>
      </c>
      <c r="O494" s="35">
        <f t="array" ref="O494">MEDIAN(_xlfn._xlws.FILTER(Table4[Selling Price],Table4[Brand-Renamed] =Table4[[#This Row],[Brand-Renamed]]))</f>
        <v>16499</v>
      </c>
    </row>
    <row r="495" spans="1:15" ht="13.8" x14ac:dyDescent="0.25">
      <c r="A495" s="6" t="s">
        <v>38</v>
      </c>
      <c r="B495" s="4" t="str">
        <f t="shared" si="42"/>
        <v xml:space="preserve">Akai </v>
      </c>
      <c r="C495" s="6" t="s">
        <v>32</v>
      </c>
      <c r="D495" s="6">
        <v>55</v>
      </c>
      <c r="E495" s="6">
        <v>46345</v>
      </c>
      <c r="F495" s="6">
        <v>59990</v>
      </c>
      <c r="G495" s="6" t="s">
        <v>54</v>
      </c>
      <c r="H495" s="6"/>
      <c r="I495" s="6">
        <f t="shared" si="43"/>
        <v>13645</v>
      </c>
      <c r="J495">
        <f t="shared" si="44"/>
        <v>0.22745457576262709</v>
      </c>
      <c r="K495" s="6">
        <f t="shared" si="45"/>
        <v>-13645</v>
      </c>
      <c r="L495" s="7">
        <f t="shared" si="46"/>
        <v>-0.29442226777430142</v>
      </c>
      <c r="M495" s="6" t="str">
        <f t="shared" si="47"/>
        <v>Ratings Not Given</v>
      </c>
      <c r="N495" s="34">
        <f t="array" ref="N495">MEDIAN(_xlfn._xlws.FILTER(Table4[Original Price],Table4[Brand-Renamed] = Table4[[#This Row],[Brand]]))</f>
        <v>79990</v>
      </c>
      <c r="O495" s="35">
        <f t="array" ref="O495">MEDIAN(_xlfn._xlws.FILTER(Table4[Selling Price],Table4[Brand-Renamed] =Table4[[#This Row],[Brand-Renamed]]))</f>
        <v>51146</v>
      </c>
    </row>
    <row r="496" spans="1:15" ht="13.8" x14ac:dyDescent="0.25">
      <c r="A496" s="4" t="s">
        <v>78</v>
      </c>
      <c r="B496" s="4" t="str">
        <f t="shared" si="42"/>
        <v>Power Guard</v>
      </c>
      <c r="C496" s="4" t="s">
        <v>19</v>
      </c>
      <c r="D496" s="4">
        <v>32</v>
      </c>
      <c r="E496" s="4">
        <v>13300</v>
      </c>
      <c r="F496" s="4">
        <v>19990</v>
      </c>
      <c r="G496" s="4" t="s">
        <v>54</v>
      </c>
      <c r="H496" s="4"/>
      <c r="I496" s="4">
        <f t="shared" si="43"/>
        <v>6690</v>
      </c>
      <c r="J496">
        <f t="shared" si="44"/>
        <v>0.33466733366683343</v>
      </c>
      <c r="K496" s="4">
        <f t="shared" si="45"/>
        <v>-6690</v>
      </c>
      <c r="L496" s="5">
        <f t="shared" si="46"/>
        <v>-0.50300751879699246</v>
      </c>
      <c r="M496" s="4" t="str">
        <f t="shared" si="47"/>
        <v>Ratings Not Given</v>
      </c>
      <c r="N496" s="34">
        <f t="array" ref="N496">MEDIAN(_xlfn._xlws.FILTER(Table4[Original Price],Table4[Brand-Renamed] = Table4[[#This Row],[Brand]]))</f>
        <v>28990</v>
      </c>
      <c r="O496" s="35">
        <f t="array" ref="O496">MEDIAN(_xlfn._xlws.FILTER(Table4[Selling Price],Table4[Brand-Renamed] =Table4[[#This Row],[Brand-Renamed]]))</f>
        <v>15650</v>
      </c>
    </row>
    <row r="497" spans="1:15" ht="13.8" x14ac:dyDescent="0.25">
      <c r="A497" s="6" t="s">
        <v>78</v>
      </c>
      <c r="B497" s="4" t="str">
        <f t="shared" si="42"/>
        <v>Power Guard</v>
      </c>
      <c r="C497" s="6" t="s">
        <v>32</v>
      </c>
      <c r="D497" s="6">
        <v>49</v>
      </c>
      <c r="E497" s="6">
        <v>34900</v>
      </c>
      <c r="F497" s="6">
        <v>54990</v>
      </c>
      <c r="G497" s="6" t="s">
        <v>54</v>
      </c>
      <c r="H497" s="6"/>
      <c r="I497" s="6">
        <f t="shared" si="43"/>
        <v>20090</v>
      </c>
      <c r="J497">
        <f t="shared" si="44"/>
        <v>0.3653391525731951</v>
      </c>
      <c r="K497" s="6">
        <f t="shared" si="45"/>
        <v>-20090</v>
      </c>
      <c r="L497" s="7">
        <f t="shared" si="46"/>
        <v>-0.57564469914040117</v>
      </c>
      <c r="M497" s="6" t="str">
        <f t="shared" si="47"/>
        <v>Ratings Not Given</v>
      </c>
      <c r="N497" s="34">
        <f t="array" ref="N497">MEDIAN(_xlfn._xlws.FILTER(Table4[Original Price],Table4[Brand-Renamed] = Table4[[#This Row],[Brand]]))</f>
        <v>28990</v>
      </c>
      <c r="O497" s="35">
        <f t="array" ref="O497">MEDIAN(_xlfn._xlws.FILTER(Table4[Selling Price],Table4[Brand-Renamed] =Table4[[#This Row],[Brand-Renamed]]))</f>
        <v>15650</v>
      </c>
    </row>
    <row r="498" spans="1:15" ht="13.8" x14ac:dyDescent="0.25">
      <c r="A498" s="4" t="s">
        <v>41</v>
      </c>
      <c r="B498" s="4" t="str">
        <f t="shared" si="42"/>
        <v xml:space="preserve">Candes </v>
      </c>
      <c r="C498" s="4" t="s">
        <v>19</v>
      </c>
      <c r="D498" s="4">
        <v>24</v>
      </c>
      <c r="E498" s="4">
        <v>9999</v>
      </c>
      <c r="F498" s="4">
        <v>17990</v>
      </c>
      <c r="G498" s="4" t="s">
        <v>54</v>
      </c>
      <c r="H498" s="4">
        <v>4.0999999999999996</v>
      </c>
      <c r="I498" s="4">
        <f t="shared" si="43"/>
        <v>7991</v>
      </c>
      <c r="J498">
        <f t="shared" si="44"/>
        <v>0.44419121734296829</v>
      </c>
      <c r="K498" s="4">
        <f t="shared" si="45"/>
        <v>-7991</v>
      </c>
      <c r="L498" s="5">
        <f t="shared" si="46"/>
        <v>-0.79917991799179922</v>
      </c>
      <c r="M498" s="4" t="str">
        <f t="shared" si="47"/>
        <v>Medium Ratings</v>
      </c>
      <c r="N498" s="34">
        <f t="array" ref="N498">MEDIAN(_xlfn._xlws.FILTER(Table4[Original Price],Table4[Brand-Renamed] = Table4[[#This Row],[Brand]]))</f>
        <v>26340</v>
      </c>
      <c r="O498" s="35">
        <f t="array" ref="O498">MEDIAN(_xlfn._xlws.FILTER(Table4[Selling Price],Table4[Brand-Renamed] =Table4[[#This Row],[Brand-Renamed]]))</f>
        <v>13649</v>
      </c>
    </row>
    <row r="499" spans="1:15" ht="13.8" x14ac:dyDescent="0.25">
      <c r="A499" s="6" t="s">
        <v>127</v>
      </c>
      <c r="B499" s="4" t="str">
        <f t="shared" si="42"/>
        <v xml:space="preserve">Kodak </v>
      </c>
      <c r="C499" s="6" t="s">
        <v>32</v>
      </c>
      <c r="D499" s="6">
        <v>49</v>
      </c>
      <c r="E499" s="6">
        <v>47990</v>
      </c>
      <c r="F499" s="6">
        <v>50999</v>
      </c>
      <c r="G499" s="6" t="s">
        <v>54</v>
      </c>
      <c r="H499" s="6">
        <v>4.0999999999999996</v>
      </c>
      <c r="I499" s="6">
        <f t="shared" si="43"/>
        <v>3009</v>
      </c>
      <c r="J499">
        <f t="shared" si="44"/>
        <v>5.9001156885429125E-2</v>
      </c>
      <c r="K499" s="6">
        <f t="shared" si="45"/>
        <v>-3009</v>
      </c>
      <c r="L499" s="7">
        <f t="shared" si="46"/>
        <v>-6.2700562617211922E-2</v>
      </c>
      <c r="M499" s="6" t="str">
        <f t="shared" si="47"/>
        <v>Medium Ratings</v>
      </c>
      <c r="N499" s="34">
        <f t="array" ref="N499">MEDIAN(_xlfn._xlws.FILTER(Table4[Original Price],Table4[Brand-Renamed] = Table4[[#This Row],[Brand]]))</f>
        <v>31990</v>
      </c>
      <c r="O499" s="35">
        <f t="array" ref="O499">MEDIAN(_xlfn._xlws.FILTER(Table4[Selling Price],Table4[Brand-Renamed] =Table4[[#This Row],[Brand-Renamed]]))</f>
        <v>22499</v>
      </c>
    </row>
    <row r="500" spans="1:15" ht="13.8" x14ac:dyDescent="0.25">
      <c r="A500" s="4" t="s">
        <v>90</v>
      </c>
      <c r="B500" s="4" t="str">
        <f t="shared" si="42"/>
        <v>T-Series</v>
      </c>
      <c r="C500" s="4" t="s">
        <v>19</v>
      </c>
      <c r="D500" s="4">
        <v>40</v>
      </c>
      <c r="E500" s="4">
        <v>19999</v>
      </c>
      <c r="F500" s="4">
        <v>28990</v>
      </c>
      <c r="G500" s="4" t="s">
        <v>54</v>
      </c>
      <c r="H500" s="4"/>
      <c r="I500" s="4">
        <f t="shared" si="43"/>
        <v>8991</v>
      </c>
      <c r="J500">
        <f t="shared" si="44"/>
        <v>0.31014142807864781</v>
      </c>
      <c r="K500" s="4">
        <f t="shared" si="45"/>
        <v>-8991</v>
      </c>
      <c r="L500" s="5">
        <f t="shared" si="46"/>
        <v>-0.44957247862393118</v>
      </c>
      <c r="M500" s="4" t="str">
        <f t="shared" si="47"/>
        <v>Ratings Not Given</v>
      </c>
      <c r="N500" s="34">
        <f t="array" ref="N500">MEDIAN(_xlfn._xlws.FILTER(Table4[Original Price],Table4[Brand-Renamed] = Table4[[#This Row],[Brand]]))</f>
        <v>20990</v>
      </c>
      <c r="O500" s="35">
        <f t="array" ref="O500">MEDIAN(_xlfn._xlws.FILTER(Table4[Selling Price],Table4[Brand-Renamed] =Table4[[#This Row],[Brand-Renamed]]))</f>
        <v>16499</v>
      </c>
    </row>
    <row r="501" spans="1:15" ht="13.8" x14ac:dyDescent="0.25">
      <c r="A501" s="6" t="s">
        <v>78</v>
      </c>
      <c r="B501" s="4" t="str">
        <f t="shared" si="42"/>
        <v>Power Guard</v>
      </c>
      <c r="C501" s="6" t="s">
        <v>29</v>
      </c>
      <c r="D501" s="6">
        <v>50</v>
      </c>
      <c r="E501" s="6">
        <v>51990</v>
      </c>
      <c r="F501" s="6">
        <v>59990</v>
      </c>
      <c r="G501" s="6" t="s">
        <v>54</v>
      </c>
      <c r="H501" s="6"/>
      <c r="I501" s="6">
        <f t="shared" si="43"/>
        <v>8000</v>
      </c>
      <c r="J501">
        <f t="shared" si="44"/>
        <v>0.13335555925987663</v>
      </c>
      <c r="K501" s="6">
        <f t="shared" si="45"/>
        <v>-8000</v>
      </c>
      <c r="L501" s="7">
        <f t="shared" si="46"/>
        <v>-0.15387574533564147</v>
      </c>
      <c r="M501" s="6" t="str">
        <f t="shared" si="47"/>
        <v>Ratings Not Given</v>
      </c>
      <c r="N501" s="34">
        <f t="array" ref="N501">MEDIAN(_xlfn._xlws.FILTER(Table4[Original Price],Table4[Brand-Renamed] = Table4[[#This Row],[Brand]]))</f>
        <v>28990</v>
      </c>
      <c r="O501" s="35">
        <f t="array" ref="O501">MEDIAN(_xlfn._xlws.FILTER(Table4[Selling Price],Table4[Brand-Renamed] =Table4[[#This Row],[Brand-Renamed]]))</f>
        <v>15650</v>
      </c>
    </row>
    <row r="502" spans="1:15" ht="13.8" x14ac:dyDescent="0.25">
      <c r="A502" s="4" t="s">
        <v>138</v>
      </c>
      <c r="B502" s="4" t="str">
        <f t="shared" si="42"/>
        <v>Jvc</v>
      </c>
      <c r="C502" s="4" t="s">
        <v>32</v>
      </c>
      <c r="D502" s="4">
        <v>43</v>
      </c>
      <c r="E502" s="4">
        <v>26990</v>
      </c>
      <c r="F502" s="4">
        <v>52000</v>
      </c>
      <c r="G502" s="4" t="s">
        <v>54</v>
      </c>
      <c r="H502" s="4">
        <v>4.3</v>
      </c>
      <c r="I502" s="4">
        <f t="shared" si="43"/>
        <v>25010</v>
      </c>
      <c r="J502">
        <f t="shared" si="44"/>
        <v>0.48096153846153844</v>
      </c>
      <c r="K502" s="4">
        <f t="shared" si="45"/>
        <v>-25010</v>
      </c>
      <c r="L502" s="5">
        <f t="shared" si="46"/>
        <v>-0.92663949610967022</v>
      </c>
      <c r="M502" s="4" t="str">
        <f t="shared" si="47"/>
        <v>Medium Ratings</v>
      </c>
      <c r="N502" s="34">
        <f t="array" ref="N502">MEDIAN(_xlfn._xlws.FILTER(Table4[Original Price],Table4[Brand-Renamed] = Table4[[#This Row],[Brand]]))</f>
        <v>55999.5</v>
      </c>
      <c r="O502" s="35">
        <f t="array" ref="O502">MEDIAN(_xlfn._xlws.FILTER(Table4[Selling Price],Table4[Brand-Renamed] =Table4[[#This Row],[Brand-Renamed]]))</f>
        <v>32494.5</v>
      </c>
    </row>
    <row r="503" spans="1:15" ht="13.8" x14ac:dyDescent="0.25">
      <c r="A503" s="6" t="s">
        <v>90</v>
      </c>
      <c r="B503" s="4" t="str">
        <f t="shared" si="42"/>
        <v>T-Series</v>
      </c>
      <c r="C503" s="6" t="s">
        <v>19</v>
      </c>
      <c r="D503" s="6">
        <v>40</v>
      </c>
      <c r="E503" s="6">
        <v>19999</v>
      </c>
      <c r="F503" s="6">
        <v>28990</v>
      </c>
      <c r="G503" s="6" t="s">
        <v>54</v>
      </c>
      <c r="H503" s="6"/>
      <c r="I503" s="6">
        <f t="shared" si="43"/>
        <v>8991</v>
      </c>
      <c r="J503">
        <f t="shared" si="44"/>
        <v>0.31014142807864781</v>
      </c>
      <c r="K503" s="6">
        <f t="shared" si="45"/>
        <v>-8991</v>
      </c>
      <c r="L503" s="7">
        <f t="shared" si="46"/>
        <v>-0.44957247862393118</v>
      </c>
      <c r="M503" s="6" t="str">
        <f t="shared" si="47"/>
        <v>Ratings Not Given</v>
      </c>
      <c r="N503" s="34">
        <f t="array" ref="N503">MEDIAN(_xlfn._xlws.FILTER(Table4[Original Price],Table4[Brand-Renamed] = Table4[[#This Row],[Brand]]))</f>
        <v>20990</v>
      </c>
      <c r="O503" s="35">
        <f t="array" ref="O503">MEDIAN(_xlfn._xlws.FILTER(Table4[Selling Price],Table4[Brand-Renamed] =Table4[[#This Row],[Brand-Renamed]]))</f>
        <v>16499</v>
      </c>
    </row>
    <row r="504" spans="1:15" ht="13.8" x14ac:dyDescent="0.25">
      <c r="A504" s="4" t="s">
        <v>48</v>
      </c>
      <c r="B504" s="4" t="str">
        <f t="shared" si="42"/>
        <v>Dyanora</v>
      </c>
      <c r="C504" s="4" t="s">
        <v>19</v>
      </c>
      <c r="D504" s="4">
        <v>40</v>
      </c>
      <c r="E504" s="4">
        <v>15499</v>
      </c>
      <c r="F504" s="4">
        <v>23999</v>
      </c>
      <c r="G504" s="4" t="s">
        <v>54</v>
      </c>
      <c r="H504" s="4">
        <v>2.4</v>
      </c>
      <c r="I504" s="4">
        <f t="shared" si="43"/>
        <v>8500</v>
      </c>
      <c r="J504">
        <f t="shared" si="44"/>
        <v>0.3541814242260094</v>
      </c>
      <c r="K504" s="4">
        <f t="shared" si="45"/>
        <v>-8500</v>
      </c>
      <c r="L504" s="5">
        <f t="shared" si="46"/>
        <v>-0.54842247886960449</v>
      </c>
      <c r="M504" s="4" t="str">
        <f t="shared" si="47"/>
        <v>Bad Ratings</v>
      </c>
      <c r="N504" s="34">
        <f t="array" ref="N504">MEDIAN(_xlfn._xlws.FILTER(Table4[Original Price],Table4[Brand-Renamed] = Table4[[#This Row],[Brand]]))</f>
        <v>21499</v>
      </c>
      <c r="O504" s="35">
        <f t="array" ref="O504">MEDIAN(_xlfn._xlws.FILTER(Table4[Selling Price],Table4[Brand-Renamed] =Table4[[#This Row],[Brand-Renamed]]))</f>
        <v>13999</v>
      </c>
    </row>
    <row r="505" spans="1:15" ht="13.8" x14ac:dyDescent="0.25">
      <c r="A505" s="6" t="s">
        <v>125</v>
      </c>
      <c r="B505" s="4" t="str">
        <f t="shared" si="42"/>
        <v>Samsung</v>
      </c>
      <c r="C505" s="6" t="s">
        <v>8</v>
      </c>
      <c r="D505" s="6">
        <v>49</v>
      </c>
      <c r="E505" s="6">
        <v>92500</v>
      </c>
      <c r="F505" s="6">
        <v>92500</v>
      </c>
      <c r="G505" s="6" t="s">
        <v>56</v>
      </c>
      <c r="H505" s="6">
        <v>4.0999999999999996</v>
      </c>
      <c r="I505" s="6">
        <f t="shared" si="43"/>
        <v>0</v>
      </c>
      <c r="J505" t="str">
        <f t="shared" si="44"/>
        <v>Discount Not Applied</v>
      </c>
      <c r="K505" s="6">
        <f t="shared" si="45"/>
        <v>0</v>
      </c>
      <c r="L505" s="7">
        <f t="shared" si="46"/>
        <v>0</v>
      </c>
      <c r="M505" s="6" t="str">
        <f t="shared" si="47"/>
        <v>Medium Ratings</v>
      </c>
      <c r="N505" s="34">
        <f t="array" ref="N505">MEDIAN(_xlfn._xlws.FILTER(Table4[Original Price],Table4[Brand-Renamed] = Table4[[#This Row],[Brand]]))</f>
        <v>100945</v>
      </c>
      <c r="O505" s="35">
        <f t="array" ref="O505">MEDIAN(_xlfn._xlws.FILTER(Table4[Selling Price],Table4[Brand-Renamed] =Table4[[#This Row],[Brand-Renamed]]))</f>
        <v>74490</v>
      </c>
    </row>
    <row r="506" spans="1:15" ht="13.8" x14ac:dyDescent="0.25">
      <c r="A506" s="4" t="s">
        <v>78</v>
      </c>
      <c r="B506" s="4" t="str">
        <f t="shared" si="42"/>
        <v>Power Guard</v>
      </c>
      <c r="C506" s="4" t="s">
        <v>29</v>
      </c>
      <c r="D506" s="4">
        <v>55</v>
      </c>
      <c r="E506" s="4">
        <v>69990</v>
      </c>
      <c r="F506" s="4">
        <v>74990</v>
      </c>
      <c r="G506" s="4" t="s">
        <v>54</v>
      </c>
      <c r="H506" s="4"/>
      <c r="I506" s="4">
        <f t="shared" si="43"/>
        <v>5000</v>
      </c>
      <c r="J506">
        <f t="shared" si="44"/>
        <v>6.6675556740898784E-2</v>
      </c>
      <c r="K506" s="4">
        <f t="shared" si="45"/>
        <v>-5000</v>
      </c>
      <c r="L506" s="5">
        <f t="shared" si="46"/>
        <v>-7.1438776968138301E-2</v>
      </c>
      <c r="M506" s="4" t="str">
        <f t="shared" si="47"/>
        <v>Ratings Not Given</v>
      </c>
      <c r="N506" s="34">
        <f t="array" ref="N506">MEDIAN(_xlfn._xlws.FILTER(Table4[Original Price],Table4[Brand-Renamed] = Table4[[#This Row],[Brand]]))</f>
        <v>28990</v>
      </c>
      <c r="O506" s="35">
        <f t="array" ref="O506">MEDIAN(_xlfn._xlws.FILTER(Table4[Selling Price],Table4[Brand-Renamed] =Table4[[#This Row],[Brand-Renamed]]))</f>
        <v>15650</v>
      </c>
    </row>
    <row r="507" spans="1:15" ht="13.8" x14ac:dyDescent="0.25">
      <c r="A507" s="6" t="s">
        <v>138</v>
      </c>
      <c r="B507" s="4" t="str">
        <f t="shared" si="42"/>
        <v>Jvc</v>
      </c>
      <c r="C507" s="6" t="s">
        <v>32</v>
      </c>
      <c r="D507" s="6">
        <v>55</v>
      </c>
      <c r="E507" s="6">
        <v>45000</v>
      </c>
      <c r="F507" s="6">
        <v>69000</v>
      </c>
      <c r="G507" s="6" t="s">
        <v>54</v>
      </c>
      <c r="H507" s="6">
        <v>3.9</v>
      </c>
      <c r="I507" s="6">
        <f t="shared" si="43"/>
        <v>24000</v>
      </c>
      <c r="J507">
        <f t="shared" si="44"/>
        <v>0.34782608695652173</v>
      </c>
      <c r="K507" s="6">
        <f t="shared" si="45"/>
        <v>-24000</v>
      </c>
      <c r="L507" s="7">
        <f t="shared" si="46"/>
        <v>-0.53333333333333333</v>
      </c>
      <c r="M507" s="6" t="str">
        <f t="shared" si="47"/>
        <v>Medium Ratings</v>
      </c>
      <c r="N507" s="34">
        <f t="array" ref="N507">MEDIAN(_xlfn._xlws.FILTER(Table4[Original Price],Table4[Brand-Renamed] = Table4[[#This Row],[Brand]]))</f>
        <v>55999.5</v>
      </c>
      <c r="O507" s="35">
        <f t="array" ref="O507">MEDIAN(_xlfn._xlws.FILTER(Table4[Selling Price],Table4[Brand-Renamed] =Table4[[#This Row],[Brand-Renamed]]))</f>
        <v>32494.5</v>
      </c>
    </row>
    <row r="508" spans="1:15" ht="13.8" x14ac:dyDescent="0.25">
      <c r="A508" s="4" t="s">
        <v>78</v>
      </c>
      <c r="B508" s="4" t="str">
        <f t="shared" si="42"/>
        <v>Power Guard</v>
      </c>
      <c r="C508" s="4" t="s">
        <v>32</v>
      </c>
      <c r="D508" s="4">
        <v>65</v>
      </c>
      <c r="E508" s="4">
        <v>55990</v>
      </c>
      <c r="F508" s="4">
        <v>89990</v>
      </c>
      <c r="G508" s="4" t="s">
        <v>54</v>
      </c>
      <c r="H508" s="4"/>
      <c r="I508" s="4">
        <f t="shared" si="43"/>
        <v>34000</v>
      </c>
      <c r="J508">
        <f t="shared" si="44"/>
        <v>0.37781975775086118</v>
      </c>
      <c r="K508" s="4">
        <f t="shared" si="45"/>
        <v>-34000</v>
      </c>
      <c r="L508" s="5">
        <f t="shared" si="46"/>
        <v>-0.60725129487408469</v>
      </c>
      <c r="M508" s="4" t="str">
        <f t="shared" si="47"/>
        <v>Ratings Not Given</v>
      </c>
      <c r="N508" s="34">
        <f t="array" ref="N508">MEDIAN(_xlfn._xlws.FILTER(Table4[Original Price],Table4[Brand-Renamed] = Table4[[#This Row],[Brand]]))</f>
        <v>28990</v>
      </c>
      <c r="O508" s="35">
        <f t="array" ref="O508">MEDIAN(_xlfn._xlws.FILTER(Table4[Selling Price],Table4[Brand-Renamed] =Table4[[#This Row],[Brand-Renamed]]))</f>
        <v>15650</v>
      </c>
    </row>
    <row r="509" spans="1:15" ht="13.8" x14ac:dyDescent="0.25">
      <c r="A509" s="6" t="s">
        <v>18</v>
      </c>
      <c r="B509" s="4" t="str">
        <f t="shared" si="42"/>
        <v>Hisense</v>
      </c>
      <c r="C509" s="6" t="s">
        <v>29</v>
      </c>
      <c r="D509" s="6">
        <v>75</v>
      </c>
      <c r="E509" s="6">
        <v>499990</v>
      </c>
      <c r="F509" s="6">
        <v>499990</v>
      </c>
      <c r="G509" s="6" t="s">
        <v>54</v>
      </c>
      <c r="H509" s="6"/>
      <c r="I509" s="6">
        <f t="shared" si="43"/>
        <v>0</v>
      </c>
      <c r="J509" t="str">
        <f t="shared" si="44"/>
        <v>Discount Not Applied</v>
      </c>
      <c r="K509" s="6">
        <f t="shared" si="45"/>
        <v>0</v>
      </c>
      <c r="L509" s="7">
        <f t="shared" si="46"/>
        <v>0</v>
      </c>
      <c r="M509" s="6" t="str">
        <f t="shared" si="47"/>
        <v>Ratings Not Given</v>
      </c>
      <c r="N509" s="34">
        <f t="array" ref="N509">MEDIAN(_xlfn._xlws.FILTER(Table4[Original Price],Table4[Brand-Renamed] = Table4[[#This Row],[Brand]]))</f>
        <v>50490</v>
      </c>
      <c r="O509" s="35">
        <f t="array" ref="O509">MEDIAN(_xlfn._xlws.FILTER(Table4[Selling Price],Table4[Brand-Renamed] =Table4[[#This Row],[Brand-Renamed]]))</f>
        <v>39499</v>
      </c>
    </row>
    <row r="510" spans="1:15" ht="13.8" x14ac:dyDescent="0.25">
      <c r="A510" s="4" t="s">
        <v>126</v>
      </c>
      <c r="B510" s="4" t="str">
        <f t="shared" si="42"/>
        <v xml:space="preserve">Sony </v>
      </c>
      <c r="C510" s="4" t="s">
        <v>32</v>
      </c>
      <c r="D510" s="4">
        <v>43</v>
      </c>
      <c r="E510" s="4">
        <v>40999</v>
      </c>
      <c r="F510" s="4">
        <v>61900</v>
      </c>
      <c r="G510" s="4" t="s">
        <v>54</v>
      </c>
      <c r="H510" s="4">
        <v>4.5999999999999996</v>
      </c>
      <c r="I510" s="4">
        <f t="shared" si="43"/>
        <v>20901</v>
      </c>
      <c r="J510">
        <f t="shared" si="44"/>
        <v>0.33765751211631662</v>
      </c>
      <c r="K510" s="4">
        <f t="shared" si="45"/>
        <v>-20901</v>
      </c>
      <c r="L510" s="5">
        <f t="shared" si="46"/>
        <v>-0.50979292177857993</v>
      </c>
      <c r="M510" s="4" t="str">
        <f t="shared" si="47"/>
        <v>Good Ratings</v>
      </c>
      <c r="N510" s="34">
        <f t="array" ref="N510">MEDIAN(_xlfn._xlws.FILTER(Table4[Original Price],Table4[Brand-Renamed] = Table4[[#This Row],[Brand]]))</f>
        <v>87400</v>
      </c>
      <c r="O510" s="35">
        <f t="array" ref="O510">MEDIAN(_xlfn._xlws.FILTER(Table4[Selling Price],Table4[Brand-Renamed] =Table4[[#This Row],[Brand-Renamed]]))</f>
        <v>64294.5</v>
      </c>
    </row>
    <row r="511" spans="1:15" ht="13.8" x14ac:dyDescent="0.25">
      <c r="A511" s="6" t="s">
        <v>125</v>
      </c>
      <c r="B511" s="4" t="str">
        <f t="shared" si="42"/>
        <v>Samsung</v>
      </c>
      <c r="C511" s="6" t="s">
        <v>8</v>
      </c>
      <c r="D511" s="6">
        <v>43</v>
      </c>
      <c r="E511" s="6">
        <v>31990</v>
      </c>
      <c r="F511" s="6">
        <v>38900</v>
      </c>
      <c r="G511" s="6" t="s">
        <v>56</v>
      </c>
      <c r="H511" s="6">
        <v>4.4000000000000004</v>
      </c>
      <c r="I511" s="6">
        <f t="shared" si="43"/>
        <v>6910</v>
      </c>
      <c r="J511">
        <f t="shared" si="44"/>
        <v>0.17763496143958868</v>
      </c>
      <c r="K511" s="6">
        <f t="shared" si="45"/>
        <v>-6910</v>
      </c>
      <c r="L511" s="7">
        <f t="shared" si="46"/>
        <v>-0.21600500156298844</v>
      </c>
      <c r="M511" s="6" t="str">
        <f t="shared" si="47"/>
        <v>Medium Ratings</v>
      </c>
      <c r="N511" s="34">
        <f t="array" ref="N511">MEDIAN(_xlfn._xlws.FILTER(Table4[Original Price],Table4[Brand-Renamed] = Table4[[#This Row],[Brand]]))</f>
        <v>100945</v>
      </c>
      <c r="O511" s="35">
        <f t="array" ref="O511">MEDIAN(_xlfn._xlws.FILTER(Table4[Selling Price],Table4[Brand-Renamed] =Table4[[#This Row],[Brand-Renamed]]))</f>
        <v>74490</v>
      </c>
    </row>
    <row r="512" spans="1:15" ht="13.8" x14ac:dyDescent="0.25">
      <c r="A512" s="4" t="s">
        <v>125</v>
      </c>
      <c r="B512" s="4" t="str">
        <f t="shared" si="42"/>
        <v>Samsung</v>
      </c>
      <c r="C512" s="4" t="s">
        <v>8</v>
      </c>
      <c r="D512" s="4">
        <v>43</v>
      </c>
      <c r="E512" s="4">
        <v>36890</v>
      </c>
      <c r="F512" s="4">
        <v>45900</v>
      </c>
      <c r="G512" s="4" t="s">
        <v>56</v>
      </c>
      <c r="H512" s="4">
        <v>4.7</v>
      </c>
      <c r="I512" s="4">
        <f t="shared" si="43"/>
        <v>9010</v>
      </c>
      <c r="J512">
        <f t="shared" si="44"/>
        <v>0.1962962962962963</v>
      </c>
      <c r="K512" s="4">
        <f t="shared" si="45"/>
        <v>-9010</v>
      </c>
      <c r="L512" s="5">
        <f t="shared" si="46"/>
        <v>-0.24423963133640553</v>
      </c>
      <c r="M512" s="4" t="str">
        <f t="shared" si="47"/>
        <v>Good Ratings</v>
      </c>
      <c r="N512" s="34">
        <f t="array" ref="N512">MEDIAN(_xlfn._xlws.FILTER(Table4[Original Price],Table4[Brand-Renamed] = Table4[[#This Row],[Brand]]))</f>
        <v>100945</v>
      </c>
      <c r="O512" s="35">
        <f t="array" ref="O512">MEDIAN(_xlfn._xlws.FILTER(Table4[Selling Price],Table4[Brand-Renamed] =Table4[[#This Row],[Brand-Renamed]]))</f>
        <v>74490</v>
      </c>
    </row>
    <row r="513" spans="1:15" ht="13.8" x14ac:dyDescent="0.25">
      <c r="A513" s="6" t="s">
        <v>125</v>
      </c>
      <c r="B513" s="4" t="str">
        <f t="shared" si="42"/>
        <v>Samsung</v>
      </c>
      <c r="C513" s="6" t="s">
        <v>8</v>
      </c>
      <c r="D513" s="6">
        <v>43</v>
      </c>
      <c r="E513" s="6">
        <v>39999</v>
      </c>
      <c r="F513" s="6">
        <v>49900</v>
      </c>
      <c r="G513" s="6" t="s">
        <v>56</v>
      </c>
      <c r="H513" s="6">
        <v>4.3</v>
      </c>
      <c r="I513" s="6">
        <f t="shared" si="43"/>
        <v>9901</v>
      </c>
      <c r="J513">
        <f t="shared" si="44"/>
        <v>0.19841683366733467</v>
      </c>
      <c r="K513" s="6">
        <f t="shared" si="45"/>
        <v>-9901</v>
      </c>
      <c r="L513" s="7">
        <f t="shared" si="46"/>
        <v>-0.24753118827970699</v>
      </c>
      <c r="M513" s="6" t="str">
        <f t="shared" si="47"/>
        <v>Medium Ratings</v>
      </c>
      <c r="N513" s="34">
        <f t="array" ref="N513">MEDIAN(_xlfn._xlws.FILTER(Table4[Original Price],Table4[Brand-Renamed] = Table4[[#This Row],[Brand]]))</f>
        <v>100945</v>
      </c>
      <c r="O513" s="35">
        <f t="array" ref="O513">MEDIAN(_xlfn._xlws.FILTER(Table4[Selling Price],Table4[Brand-Renamed] =Table4[[#This Row],[Brand-Renamed]]))</f>
        <v>74490</v>
      </c>
    </row>
    <row r="514" spans="1:15" ht="13.8" x14ac:dyDescent="0.25">
      <c r="A514" s="4" t="s">
        <v>124</v>
      </c>
      <c r="B514" s="4" t="str">
        <f t="shared" ref="B514:B577" si="48">PROPER(A514)</f>
        <v>Iffalcon By Tcl</v>
      </c>
      <c r="C514" s="4" t="s">
        <v>32</v>
      </c>
      <c r="D514" s="4">
        <v>65</v>
      </c>
      <c r="E514" s="4">
        <v>53499</v>
      </c>
      <c r="F514" s="4">
        <v>156990</v>
      </c>
      <c r="G514" s="4" t="s">
        <v>54</v>
      </c>
      <c r="H514" s="4">
        <v>4.3</v>
      </c>
      <c r="I514" s="4">
        <f t="shared" ref="I514:I577" si="49">F514-E514</f>
        <v>103491</v>
      </c>
      <c r="J514">
        <f t="shared" ref="J514:J577" si="50">IF((F514-E514)/F514 = 0, "Discount Not Applied", (F514-E514)/F514)</f>
        <v>0.65922033250525514</v>
      </c>
      <c r="K514" s="4">
        <f t="shared" ref="K514:K577" si="51">E514-F514</f>
        <v>-103491</v>
      </c>
      <c r="L514" s="5">
        <f t="shared" ref="L514:L577" si="52">(E514-F514)/E514</f>
        <v>-1.9344473728480907</v>
      </c>
      <c r="M514" s="4" t="str">
        <f t="shared" ref="M514:M577" si="53">IF(ISBLANK(H514),"Ratings Not Given",IF(H514&gt;=4.5,"Good Ratings",IF(H514&lt;=3.7,"Bad Ratings","Medium Ratings")))</f>
        <v>Medium Ratings</v>
      </c>
      <c r="N514" s="34">
        <f t="array" ref="N514">MEDIAN(_xlfn._xlws.FILTER(Table4[Original Price],Table4[Brand-Renamed] = Table4[[#This Row],[Brand]]))</f>
        <v>76990</v>
      </c>
      <c r="O514" s="35">
        <f t="array" ref="O514">MEDIAN(_xlfn._xlws.FILTER(Table4[Selling Price],Table4[Brand-Renamed] =Table4[[#This Row],[Brand-Renamed]]))</f>
        <v>36999</v>
      </c>
    </row>
    <row r="515" spans="1:15" ht="13.8" x14ac:dyDescent="0.25">
      <c r="A515" s="6" t="s">
        <v>70</v>
      </c>
      <c r="B515" s="4" t="str">
        <f t="shared" si="48"/>
        <v xml:space="preserve">Mi </v>
      </c>
      <c r="C515" s="6" t="s">
        <v>32</v>
      </c>
      <c r="D515" s="6">
        <v>55</v>
      </c>
      <c r="E515" s="6">
        <v>47999</v>
      </c>
      <c r="F515" s="6">
        <v>54999</v>
      </c>
      <c r="G515" s="6" t="s">
        <v>54</v>
      </c>
      <c r="H515" s="6">
        <v>4.4000000000000004</v>
      </c>
      <c r="I515" s="6">
        <f t="shared" si="49"/>
        <v>7000</v>
      </c>
      <c r="J515">
        <f t="shared" si="50"/>
        <v>0.12727504136438844</v>
      </c>
      <c r="K515" s="6">
        <f t="shared" si="51"/>
        <v>-7000</v>
      </c>
      <c r="L515" s="7">
        <f t="shared" si="52"/>
        <v>-0.14583637159107482</v>
      </c>
      <c r="M515" s="6" t="str">
        <f t="shared" si="53"/>
        <v>Medium Ratings</v>
      </c>
      <c r="N515" s="34">
        <f t="array" ref="N515">MEDIAN(_xlfn._xlws.FILTER(Table4[Original Price],Table4[Brand-Renamed] = Table4[[#This Row],[Brand]]))</f>
        <v>34999</v>
      </c>
      <c r="O515" s="35">
        <f t="array" ref="O515">MEDIAN(_xlfn._xlws.FILTER(Table4[Selling Price],Table4[Brand-Renamed] =Table4[[#This Row],[Brand-Renamed]]))</f>
        <v>27999</v>
      </c>
    </row>
    <row r="516" spans="1:15" ht="13.8" x14ac:dyDescent="0.25">
      <c r="A516" s="4" t="s">
        <v>125</v>
      </c>
      <c r="B516" s="4" t="str">
        <f t="shared" si="48"/>
        <v>Samsung</v>
      </c>
      <c r="C516" s="4" t="s">
        <v>32</v>
      </c>
      <c r="D516" s="4">
        <v>55</v>
      </c>
      <c r="E516" s="4">
        <v>51999</v>
      </c>
      <c r="F516" s="4">
        <v>72900</v>
      </c>
      <c r="G516" s="4" t="s">
        <v>56</v>
      </c>
      <c r="H516" s="4">
        <v>4.5</v>
      </c>
      <c r="I516" s="4">
        <f t="shared" si="49"/>
        <v>20901</v>
      </c>
      <c r="J516">
        <f t="shared" si="50"/>
        <v>0.28670781893004116</v>
      </c>
      <c r="K516" s="4">
        <f t="shared" si="51"/>
        <v>-20901</v>
      </c>
      <c r="L516" s="5">
        <f t="shared" si="52"/>
        <v>-0.40195003750072117</v>
      </c>
      <c r="M516" s="4" t="str">
        <f t="shared" si="53"/>
        <v>Good Ratings</v>
      </c>
      <c r="N516" s="34">
        <f t="array" ref="N516">MEDIAN(_xlfn._xlws.FILTER(Table4[Original Price],Table4[Brand-Renamed] = Table4[[#This Row],[Brand]]))</f>
        <v>100945</v>
      </c>
      <c r="O516" s="35">
        <f t="array" ref="O516">MEDIAN(_xlfn._xlws.FILTER(Table4[Selling Price],Table4[Brand-Renamed] =Table4[[#This Row],[Brand-Renamed]]))</f>
        <v>74490</v>
      </c>
    </row>
    <row r="517" spans="1:15" ht="13.8" x14ac:dyDescent="0.25">
      <c r="A517" s="6" t="s">
        <v>128</v>
      </c>
      <c r="B517" s="4" t="str">
        <f t="shared" si="48"/>
        <v>Motorola</v>
      </c>
      <c r="C517" s="6" t="s">
        <v>32</v>
      </c>
      <c r="D517" s="6">
        <v>50</v>
      </c>
      <c r="E517" s="6">
        <v>34999</v>
      </c>
      <c r="F517" s="6">
        <v>54050</v>
      </c>
      <c r="G517" s="6" t="s">
        <v>54</v>
      </c>
      <c r="H517" s="6">
        <v>4.3</v>
      </c>
      <c r="I517" s="6">
        <f t="shared" si="49"/>
        <v>19051</v>
      </c>
      <c r="J517">
        <f t="shared" si="50"/>
        <v>0.35246993524514336</v>
      </c>
      <c r="K517" s="6">
        <f t="shared" si="51"/>
        <v>-19051</v>
      </c>
      <c r="L517" s="7">
        <f t="shared" si="52"/>
        <v>-0.54432983799537127</v>
      </c>
      <c r="M517" s="6" t="str">
        <f t="shared" si="53"/>
        <v>Medium Ratings</v>
      </c>
      <c r="N517" s="34">
        <f t="array" ref="N517">MEDIAN(_xlfn._xlws.FILTER(Table4[Original Price],Table4[Brand-Renamed] = Table4[[#This Row],[Brand]]))</f>
        <v>54050</v>
      </c>
      <c r="O517" s="35">
        <f t="array" ref="O517">MEDIAN(_xlfn._xlws.FILTER(Table4[Selling Price],Table4[Brand-Renamed] =Table4[[#This Row],[Brand-Renamed]]))</f>
        <v>35999</v>
      </c>
    </row>
    <row r="518" spans="1:15" ht="13.8" x14ac:dyDescent="0.25">
      <c r="A518" s="4" t="s">
        <v>119</v>
      </c>
      <c r="B518" s="4" t="str">
        <f t="shared" si="48"/>
        <v xml:space="preserve">Tcl </v>
      </c>
      <c r="C518" s="4" t="s">
        <v>32</v>
      </c>
      <c r="D518" s="4">
        <v>55</v>
      </c>
      <c r="E518" s="4">
        <v>38356</v>
      </c>
      <c r="F518" s="4">
        <v>89990</v>
      </c>
      <c r="G518" s="4" t="s">
        <v>54</v>
      </c>
      <c r="H518" s="4"/>
      <c r="I518" s="4">
        <f t="shared" si="49"/>
        <v>51634</v>
      </c>
      <c r="J518">
        <f t="shared" si="50"/>
        <v>0.57377486387376375</v>
      </c>
      <c r="K518" s="4">
        <f t="shared" si="51"/>
        <v>-51634</v>
      </c>
      <c r="L518" s="5">
        <f t="shared" si="52"/>
        <v>-1.3461779121910522</v>
      </c>
      <c r="M518" s="4" t="str">
        <f t="shared" si="53"/>
        <v>Ratings Not Given</v>
      </c>
      <c r="N518" s="34">
        <f t="array" ref="N518">MEDIAN(_xlfn._xlws.FILTER(Table4[Original Price],Table4[Brand-Renamed] = Table4[[#This Row],[Brand]]))</f>
        <v>77990</v>
      </c>
      <c r="O518" s="35">
        <f t="array" ref="O518">MEDIAN(_xlfn._xlws.FILTER(Table4[Selling Price],Table4[Brand-Renamed] =Table4[[#This Row],[Brand-Renamed]]))</f>
        <v>40999</v>
      </c>
    </row>
    <row r="519" spans="1:15" ht="13.8" x14ac:dyDescent="0.25">
      <c r="A519" s="6" t="s">
        <v>119</v>
      </c>
      <c r="B519" s="4" t="str">
        <f t="shared" si="48"/>
        <v xml:space="preserve">Tcl </v>
      </c>
      <c r="C519" s="6" t="s">
        <v>32</v>
      </c>
      <c r="D519" s="6">
        <v>43</v>
      </c>
      <c r="E519" s="6">
        <v>29999</v>
      </c>
      <c r="F519" s="6">
        <v>55990</v>
      </c>
      <c r="G519" s="6" t="s">
        <v>60</v>
      </c>
      <c r="H519" s="6">
        <v>4.0999999999999996</v>
      </c>
      <c r="I519" s="6">
        <f t="shared" si="49"/>
        <v>25991</v>
      </c>
      <c r="J519">
        <f t="shared" si="50"/>
        <v>0.46420789426683334</v>
      </c>
      <c r="K519" s="6">
        <f t="shared" si="51"/>
        <v>-25991</v>
      </c>
      <c r="L519" s="7">
        <f t="shared" si="52"/>
        <v>-0.86639554651821726</v>
      </c>
      <c r="M519" s="6" t="str">
        <f t="shared" si="53"/>
        <v>Medium Ratings</v>
      </c>
      <c r="N519" s="34">
        <f t="array" ref="N519">MEDIAN(_xlfn._xlws.FILTER(Table4[Original Price],Table4[Brand-Renamed] = Table4[[#This Row],[Brand]]))</f>
        <v>77990</v>
      </c>
      <c r="O519" s="35">
        <f t="array" ref="O519">MEDIAN(_xlfn._xlws.FILTER(Table4[Selling Price],Table4[Brand-Renamed] =Table4[[#This Row],[Brand-Renamed]]))</f>
        <v>40999</v>
      </c>
    </row>
    <row r="520" spans="1:15" ht="13.8" x14ac:dyDescent="0.25">
      <c r="A520" s="4" t="s">
        <v>127</v>
      </c>
      <c r="B520" s="4" t="str">
        <f t="shared" si="48"/>
        <v xml:space="preserve">Kodak </v>
      </c>
      <c r="C520" s="4" t="s">
        <v>8</v>
      </c>
      <c r="D520" s="4">
        <v>40</v>
      </c>
      <c r="E520" s="4">
        <v>15499</v>
      </c>
      <c r="F520" s="4">
        <v>31990</v>
      </c>
      <c r="G520" s="4" t="s">
        <v>54</v>
      </c>
      <c r="H520" s="4">
        <v>4.3</v>
      </c>
      <c r="I520" s="4">
        <f t="shared" si="49"/>
        <v>16491</v>
      </c>
      <c r="J520">
        <f t="shared" si="50"/>
        <v>0.51550484526414508</v>
      </c>
      <c r="K520" s="4">
        <f t="shared" si="51"/>
        <v>-16491</v>
      </c>
      <c r="L520" s="5">
        <f t="shared" si="52"/>
        <v>-1.0640041292986644</v>
      </c>
      <c r="M520" s="4" t="str">
        <f t="shared" si="53"/>
        <v>Medium Ratings</v>
      </c>
      <c r="N520" s="34">
        <f t="array" ref="N520">MEDIAN(_xlfn._xlws.FILTER(Table4[Original Price],Table4[Brand-Renamed] = Table4[[#This Row],[Brand]]))</f>
        <v>31990</v>
      </c>
      <c r="O520" s="35">
        <f t="array" ref="O520">MEDIAN(_xlfn._xlws.FILTER(Table4[Selling Price],Table4[Brand-Renamed] =Table4[[#This Row],[Brand-Renamed]]))</f>
        <v>22499</v>
      </c>
    </row>
    <row r="521" spans="1:15" ht="13.8" x14ac:dyDescent="0.25">
      <c r="A521" s="6" t="s">
        <v>125</v>
      </c>
      <c r="B521" s="4" t="str">
        <f t="shared" si="48"/>
        <v>Samsung</v>
      </c>
      <c r="C521" s="6" t="s">
        <v>8</v>
      </c>
      <c r="D521" s="6">
        <v>43</v>
      </c>
      <c r="E521" s="6">
        <v>34999</v>
      </c>
      <c r="F521" s="6">
        <v>58900</v>
      </c>
      <c r="G521" s="6" t="s">
        <v>56</v>
      </c>
      <c r="H521" s="6">
        <v>4.5</v>
      </c>
      <c r="I521" s="6">
        <f t="shared" si="49"/>
        <v>23901</v>
      </c>
      <c r="J521">
        <f t="shared" si="50"/>
        <v>0.40578947368421053</v>
      </c>
      <c r="K521" s="6">
        <f t="shared" si="51"/>
        <v>-23901</v>
      </c>
      <c r="L521" s="7">
        <f t="shared" si="52"/>
        <v>-0.68290522586359614</v>
      </c>
      <c r="M521" s="6" t="str">
        <f t="shared" si="53"/>
        <v>Good Ratings</v>
      </c>
      <c r="N521" s="34">
        <f t="array" ref="N521">MEDIAN(_xlfn._xlws.FILTER(Table4[Original Price],Table4[Brand-Renamed] = Table4[[#This Row],[Brand]]))</f>
        <v>100945</v>
      </c>
      <c r="O521" s="35">
        <f t="array" ref="O521">MEDIAN(_xlfn._xlws.FILTER(Table4[Selling Price],Table4[Brand-Renamed] =Table4[[#This Row],[Brand-Renamed]]))</f>
        <v>74490</v>
      </c>
    </row>
    <row r="522" spans="1:15" ht="13.8" x14ac:dyDescent="0.25">
      <c r="A522" s="4" t="s">
        <v>21</v>
      </c>
      <c r="B522" s="4" t="str">
        <f t="shared" si="48"/>
        <v>Micromax</v>
      </c>
      <c r="C522" s="4" t="s">
        <v>19</v>
      </c>
      <c r="D522" s="4">
        <v>32</v>
      </c>
      <c r="E522" s="4">
        <v>12990</v>
      </c>
      <c r="F522" s="4">
        <v>25075</v>
      </c>
      <c r="G522" s="4" t="s">
        <v>54</v>
      </c>
      <c r="H522" s="4">
        <v>4</v>
      </c>
      <c r="I522" s="4">
        <f t="shared" si="49"/>
        <v>12085</v>
      </c>
      <c r="J522">
        <f t="shared" si="50"/>
        <v>0.48195413758723826</v>
      </c>
      <c r="K522" s="4">
        <f t="shared" si="51"/>
        <v>-12085</v>
      </c>
      <c r="L522" s="5">
        <f t="shared" si="52"/>
        <v>-0.93033102386451116</v>
      </c>
      <c r="M522" s="4" t="str">
        <f t="shared" si="53"/>
        <v>Medium Ratings</v>
      </c>
      <c r="N522" s="34">
        <f t="array" ref="N522">MEDIAN(_xlfn._xlws.FILTER(Table4[Original Price],Table4[Brand-Renamed] = Table4[[#This Row],[Brand]]))</f>
        <v>24990</v>
      </c>
      <c r="O522" s="35">
        <f t="array" ref="O522">MEDIAN(_xlfn._xlws.FILTER(Table4[Selling Price],Table4[Brand-Renamed] =Table4[[#This Row],[Brand-Renamed]]))</f>
        <v>16825</v>
      </c>
    </row>
    <row r="523" spans="1:15" ht="13.8" x14ac:dyDescent="0.25">
      <c r="A523" s="6" t="s">
        <v>126</v>
      </c>
      <c r="B523" s="4" t="str">
        <f t="shared" si="48"/>
        <v xml:space="preserve">Sony </v>
      </c>
      <c r="C523" s="6" t="s">
        <v>32</v>
      </c>
      <c r="D523" s="6">
        <v>49</v>
      </c>
      <c r="E523" s="6">
        <v>49999</v>
      </c>
      <c r="F523" s="6">
        <v>104900</v>
      </c>
      <c r="G523" s="6" t="s">
        <v>54</v>
      </c>
      <c r="H523" s="6">
        <v>4.5</v>
      </c>
      <c r="I523" s="6">
        <f t="shared" si="49"/>
        <v>54901</v>
      </c>
      <c r="J523">
        <f t="shared" si="50"/>
        <v>0.52336510962821736</v>
      </c>
      <c r="K523" s="6">
        <f t="shared" si="51"/>
        <v>-54901</v>
      </c>
      <c r="L523" s="7">
        <f t="shared" si="52"/>
        <v>-1.0980419608392167</v>
      </c>
      <c r="M523" s="6" t="str">
        <f t="shared" si="53"/>
        <v>Good Ratings</v>
      </c>
      <c r="N523" s="34">
        <f t="array" ref="N523">MEDIAN(_xlfn._xlws.FILTER(Table4[Original Price],Table4[Brand-Renamed] = Table4[[#This Row],[Brand]]))</f>
        <v>87400</v>
      </c>
      <c r="O523" s="35">
        <f t="array" ref="O523">MEDIAN(_xlfn._xlws.FILTER(Table4[Selling Price],Table4[Brand-Renamed] =Table4[[#This Row],[Brand-Renamed]]))</f>
        <v>64294.5</v>
      </c>
    </row>
    <row r="524" spans="1:15" ht="13.8" x14ac:dyDescent="0.25">
      <c r="A524" s="4" t="s">
        <v>122</v>
      </c>
      <c r="B524" s="4" t="str">
        <f t="shared" si="48"/>
        <v xml:space="preserve">Lg </v>
      </c>
      <c r="C524" s="4" t="s">
        <v>32</v>
      </c>
      <c r="D524" s="4">
        <v>43</v>
      </c>
      <c r="E524" s="4">
        <v>36990</v>
      </c>
      <c r="F524" s="4">
        <v>52990</v>
      </c>
      <c r="G524" s="4" t="s">
        <v>58</v>
      </c>
      <c r="H524" s="4">
        <v>4.4000000000000004</v>
      </c>
      <c r="I524" s="4">
        <f t="shared" si="49"/>
        <v>16000</v>
      </c>
      <c r="J524">
        <f t="shared" si="50"/>
        <v>0.30194376297414605</v>
      </c>
      <c r="K524" s="4">
        <f t="shared" si="51"/>
        <v>-16000</v>
      </c>
      <c r="L524" s="5">
        <f t="shared" si="52"/>
        <v>-0.43254933765882669</v>
      </c>
      <c r="M524" s="4" t="str">
        <f t="shared" si="53"/>
        <v>Medium Ratings</v>
      </c>
      <c r="N524" s="34">
        <f t="array" ref="N524">MEDIAN(_xlfn._xlws.FILTER(Table4[Original Price],Table4[Brand-Renamed] = Table4[[#This Row],[Brand]]))</f>
        <v>98990</v>
      </c>
      <c r="O524" s="35">
        <f t="array" ref="O524">MEDIAN(_xlfn._xlws.FILTER(Table4[Selling Price],Table4[Brand-Renamed] =Table4[[#This Row],[Brand-Renamed]]))</f>
        <v>76737</v>
      </c>
    </row>
    <row r="525" spans="1:15" ht="13.8" x14ac:dyDescent="0.25">
      <c r="A525" s="6" t="s">
        <v>126</v>
      </c>
      <c r="B525" s="4" t="str">
        <f t="shared" si="48"/>
        <v xml:space="preserve">Sony </v>
      </c>
      <c r="C525" s="6" t="s">
        <v>19</v>
      </c>
      <c r="D525" s="6">
        <v>32</v>
      </c>
      <c r="E525" s="6">
        <v>14023</v>
      </c>
      <c r="F525" s="6">
        <v>25900</v>
      </c>
      <c r="G525" s="6" t="s">
        <v>54</v>
      </c>
      <c r="H525" s="6">
        <v>4.4000000000000004</v>
      </c>
      <c r="I525" s="6">
        <f t="shared" si="49"/>
        <v>11877</v>
      </c>
      <c r="J525">
        <f t="shared" si="50"/>
        <v>0.45857142857142857</v>
      </c>
      <c r="K525" s="6">
        <f t="shared" si="51"/>
        <v>-11877</v>
      </c>
      <c r="L525" s="7">
        <f t="shared" si="52"/>
        <v>-0.84696569920844322</v>
      </c>
      <c r="M525" s="6" t="str">
        <f t="shared" si="53"/>
        <v>Medium Ratings</v>
      </c>
      <c r="N525" s="34">
        <f t="array" ref="N525">MEDIAN(_xlfn._xlws.FILTER(Table4[Original Price],Table4[Brand-Renamed] = Table4[[#This Row],[Brand]]))</f>
        <v>87400</v>
      </c>
      <c r="O525" s="35">
        <f t="array" ref="O525">MEDIAN(_xlfn._xlws.FILTER(Table4[Selling Price],Table4[Brand-Renamed] =Table4[[#This Row],[Brand-Renamed]]))</f>
        <v>64294.5</v>
      </c>
    </row>
    <row r="526" spans="1:15" ht="13.8" x14ac:dyDescent="0.25">
      <c r="A526" s="4" t="s">
        <v>88</v>
      </c>
      <c r="B526" s="4" t="str">
        <f t="shared" si="48"/>
        <v>Thomson</v>
      </c>
      <c r="C526" s="4" t="s">
        <v>32</v>
      </c>
      <c r="D526" s="4">
        <v>65</v>
      </c>
      <c r="E526" s="4">
        <v>47999</v>
      </c>
      <c r="F526" s="4">
        <v>79999</v>
      </c>
      <c r="G526" s="4" t="s">
        <v>54</v>
      </c>
      <c r="H526" s="4">
        <v>4.4000000000000004</v>
      </c>
      <c r="I526" s="4">
        <f t="shared" si="49"/>
        <v>32000</v>
      </c>
      <c r="J526">
        <f t="shared" si="50"/>
        <v>0.40000500006250078</v>
      </c>
      <c r="K526" s="4">
        <f t="shared" si="51"/>
        <v>-32000</v>
      </c>
      <c r="L526" s="5">
        <f t="shared" si="52"/>
        <v>-0.66668055584491348</v>
      </c>
      <c r="M526" s="4" t="str">
        <f t="shared" si="53"/>
        <v>Medium Ratings</v>
      </c>
      <c r="N526" s="34">
        <f t="array" ref="N526">MEDIAN(_xlfn._xlws.FILTER(Table4[Original Price],Table4[Brand-Renamed] = Table4[[#This Row],[Brand]]))</f>
        <v>28999</v>
      </c>
      <c r="O526" s="35">
        <f t="array" ref="O526">MEDIAN(_xlfn._xlws.FILTER(Table4[Selling Price],Table4[Brand-Renamed] =Table4[[#This Row],[Brand-Renamed]]))</f>
        <v>21749</v>
      </c>
    </row>
    <row r="527" spans="1:15" ht="13.8" x14ac:dyDescent="0.25">
      <c r="A527" s="6" t="s">
        <v>88</v>
      </c>
      <c r="B527" s="4" t="str">
        <f t="shared" si="48"/>
        <v>Thomson</v>
      </c>
      <c r="C527" s="6" t="s">
        <v>8</v>
      </c>
      <c r="D527" s="6">
        <v>43</v>
      </c>
      <c r="E527" s="6">
        <v>17999</v>
      </c>
      <c r="F527" s="6">
        <v>26999</v>
      </c>
      <c r="G527" s="6" t="s">
        <v>54</v>
      </c>
      <c r="H527" s="6">
        <v>4.2</v>
      </c>
      <c r="I527" s="6">
        <f t="shared" si="49"/>
        <v>9000</v>
      </c>
      <c r="J527">
        <f t="shared" si="50"/>
        <v>0.33334567946960997</v>
      </c>
      <c r="K527" s="6">
        <f t="shared" si="51"/>
        <v>-9000</v>
      </c>
      <c r="L527" s="7">
        <f t="shared" si="52"/>
        <v>-0.50002777932107334</v>
      </c>
      <c r="M527" s="6" t="str">
        <f t="shared" si="53"/>
        <v>Medium Ratings</v>
      </c>
      <c r="N527" s="34">
        <f t="array" ref="N527">MEDIAN(_xlfn._xlws.FILTER(Table4[Original Price],Table4[Brand-Renamed] = Table4[[#This Row],[Brand]]))</f>
        <v>28999</v>
      </c>
      <c r="O527" s="35">
        <f t="array" ref="O527">MEDIAN(_xlfn._xlws.FILTER(Table4[Selling Price],Table4[Brand-Renamed] =Table4[[#This Row],[Brand-Renamed]]))</f>
        <v>21749</v>
      </c>
    </row>
    <row r="528" spans="1:15" ht="13.8" x14ac:dyDescent="0.25">
      <c r="A528" s="4" t="s">
        <v>125</v>
      </c>
      <c r="B528" s="4" t="str">
        <f t="shared" si="48"/>
        <v>Samsung</v>
      </c>
      <c r="C528" s="4" t="s">
        <v>32</v>
      </c>
      <c r="D528" s="4">
        <v>43</v>
      </c>
      <c r="E528" s="4">
        <v>43751</v>
      </c>
      <c r="F528" s="4">
        <v>77900</v>
      </c>
      <c r="G528" s="4" t="s">
        <v>56</v>
      </c>
      <c r="H528" s="4">
        <v>4.4000000000000004</v>
      </c>
      <c r="I528" s="4">
        <f t="shared" si="49"/>
        <v>34149</v>
      </c>
      <c r="J528">
        <f t="shared" si="50"/>
        <v>0.43836970474967907</v>
      </c>
      <c r="K528" s="4">
        <f t="shared" si="51"/>
        <v>-34149</v>
      </c>
      <c r="L528" s="5">
        <f t="shared" si="52"/>
        <v>-0.78053073072615486</v>
      </c>
      <c r="M528" s="4" t="str">
        <f t="shared" si="53"/>
        <v>Medium Ratings</v>
      </c>
      <c r="N528" s="34">
        <f t="array" ref="N528">MEDIAN(_xlfn._xlws.FILTER(Table4[Original Price],Table4[Brand-Renamed] = Table4[[#This Row],[Brand]]))</f>
        <v>100945</v>
      </c>
      <c r="O528" s="35">
        <f t="array" ref="O528">MEDIAN(_xlfn._xlws.FILTER(Table4[Selling Price],Table4[Brand-Renamed] =Table4[[#This Row],[Brand-Renamed]]))</f>
        <v>74490</v>
      </c>
    </row>
    <row r="529" spans="1:15" ht="13.8" x14ac:dyDescent="0.25">
      <c r="A529" s="6" t="s">
        <v>119</v>
      </c>
      <c r="B529" s="4" t="str">
        <f t="shared" si="48"/>
        <v xml:space="preserve">Tcl </v>
      </c>
      <c r="C529" s="6" t="s">
        <v>32</v>
      </c>
      <c r="D529" s="6">
        <v>55</v>
      </c>
      <c r="E529" s="6">
        <v>37319</v>
      </c>
      <c r="F529" s="6">
        <v>51990</v>
      </c>
      <c r="G529" s="6" t="s">
        <v>60</v>
      </c>
      <c r="H529" s="6">
        <v>4.3</v>
      </c>
      <c r="I529" s="6">
        <f t="shared" si="49"/>
        <v>14671</v>
      </c>
      <c r="J529">
        <f t="shared" si="50"/>
        <v>0.28218888247739948</v>
      </c>
      <c r="K529" s="6">
        <f t="shared" si="51"/>
        <v>-14671</v>
      </c>
      <c r="L529" s="7">
        <f t="shared" si="52"/>
        <v>-0.3931241458774351</v>
      </c>
      <c r="M529" s="6" t="str">
        <f t="shared" si="53"/>
        <v>Medium Ratings</v>
      </c>
      <c r="N529" s="34">
        <f t="array" ref="N529">MEDIAN(_xlfn._xlws.FILTER(Table4[Original Price],Table4[Brand-Renamed] = Table4[[#This Row],[Brand]]))</f>
        <v>77990</v>
      </c>
      <c r="O529" s="35">
        <f t="array" ref="O529">MEDIAN(_xlfn._xlws.FILTER(Table4[Selling Price],Table4[Brand-Renamed] =Table4[[#This Row],[Brand-Renamed]]))</f>
        <v>40999</v>
      </c>
    </row>
    <row r="530" spans="1:15" ht="13.8" x14ac:dyDescent="0.25">
      <c r="A530" s="4" t="s">
        <v>122</v>
      </c>
      <c r="B530" s="4" t="str">
        <f t="shared" si="48"/>
        <v xml:space="preserve">Lg </v>
      </c>
      <c r="C530" s="4" t="s">
        <v>32</v>
      </c>
      <c r="D530" s="4">
        <v>75</v>
      </c>
      <c r="E530" s="4">
        <v>149990</v>
      </c>
      <c r="F530" s="4">
        <v>269900</v>
      </c>
      <c r="G530" s="4" t="s">
        <v>58</v>
      </c>
      <c r="H530" s="4"/>
      <c r="I530" s="4">
        <f t="shared" si="49"/>
        <v>119910</v>
      </c>
      <c r="J530">
        <f t="shared" si="50"/>
        <v>0.44427565765098187</v>
      </c>
      <c r="K530" s="4">
        <f t="shared" si="51"/>
        <v>-119910</v>
      </c>
      <c r="L530" s="5">
        <f t="shared" si="52"/>
        <v>-0.79945329688645905</v>
      </c>
      <c r="M530" s="4" t="str">
        <f t="shared" si="53"/>
        <v>Ratings Not Given</v>
      </c>
      <c r="N530" s="34">
        <f t="array" ref="N530">MEDIAN(_xlfn._xlws.FILTER(Table4[Original Price],Table4[Brand-Renamed] = Table4[[#This Row],[Brand]]))</f>
        <v>98990</v>
      </c>
      <c r="O530" s="35">
        <f t="array" ref="O530">MEDIAN(_xlfn._xlws.FILTER(Table4[Selling Price],Table4[Brand-Renamed] =Table4[[#This Row],[Brand-Renamed]]))</f>
        <v>76737</v>
      </c>
    </row>
    <row r="531" spans="1:15" ht="13.8" x14ac:dyDescent="0.25">
      <c r="A531" s="6" t="s">
        <v>118</v>
      </c>
      <c r="B531" s="4" t="str">
        <f t="shared" si="48"/>
        <v>Toshiba</v>
      </c>
      <c r="C531" s="6" t="s">
        <v>32</v>
      </c>
      <c r="D531" s="6">
        <v>55</v>
      </c>
      <c r="E531" s="6">
        <v>40599</v>
      </c>
      <c r="F531" s="6">
        <v>50999</v>
      </c>
      <c r="G531" s="6" t="s">
        <v>64</v>
      </c>
      <c r="H531" s="6">
        <v>4.3</v>
      </c>
      <c r="I531" s="6">
        <f t="shared" si="49"/>
        <v>10400</v>
      </c>
      <c r="J531">
        <f t="shared" si="50"/>
        <v>0.20392556716798368</v>
      </c>
      <c r="K531" s="6">
        <f t="shared" si="51"/>
        <v>-10400</v>
      </c>
      <c r="L531" s="7">
        <f t="shared" si="52"/>
        <v>-0.25616394492475186</v>
      </c>
      <c r="M531" s="6" t="str">
        <f t="shared" si="53"/>
        <v>Medium Ratings</v>
      </c>
      <c r="N531" s="34">
        <f t="array" ref="N531">MEDIAN(_xlfn._xlws.FILTER(Table4[Original Price],Table4[Brand-Renamed] = Table4[[#This Row],[Brand]]))</f>
        <v>46990</v>
      </c>
      <c r="O531" s="35">
        <f t="array" ref="O531">MEDIAN(_xlfn._xlws.FILTER(Table4[Selling Price],Table4[Brand-Renamed] =Table4[[#This Row],[Brand-Renamed]]))</f>
        <v>29999</v>
      </c>
    </row>
    <row r="532" spans="1:15" ht="13.8" x14ac:dyDescent="0.25">
      <c r="A532" s="4" t="s">
        <v>125</v>
      </c>
      <c r="B532" s="4" t="str">
        <f t="shared" si="48"/>
        <v>Samsung</v>
      </c>
      <c r="C532" s="4" t="s">
        <v>32</v>
      </c>
      <c r="D532" s="4">
        <v>43</v>
      </c>
      <c r="E532" s="4">
        <v>36999</v>
      </c>
      <c r="F532" s="4">
        <v>66900</v>
      </c>
      <c r="G532" s="4" t="s">
        <v>56</v>
      </c>
      <c r="H532" s="4">
        <v>4.5</v>
      </c>
      <c r="I532" s="4">
        <f t="shared" si="49"/>
        <v>29901</v>
      </c>
      <c r="J532">
        <f t="shared" si="50"/>
        <v>0.4469506726457399</v>
      </c>
      <c r="K532" s="4">
        <f t="shared" si="51"/>
        <v>-29901</v>
      </c>
      <c r="L532" s="5">
        <f t="shared" si="52"/>
        <v>-0.80815697721560042</v>
      </c>
      <c r="M532" s="4" t="str">
        <f t="shared" si="53"/>
        <v>Good Ratings</v>
      </c>
      <c r="N532" s="34">
        <f t="array" ref="N532">MEDIAN(_xlfn._xlws.FILTER(Table4[Original Price],Table4[Brand-Renamed] = Table4[[#This Row],[Brand]]))</f>
        <v>100945</v>
      </c>
      <c r="O532" s="35">
        <f t="array" ref="O532">MEDIAN(_xlfn._xlws.FILTER(Table4[Selling Price],Table4[Brand-Renamed] =Table4[[#This Row],[Brand-Renamed]]))</f>
        <v>74490</v>
      </c>
    </row>
    <row r="533" spans="1:15" ht="13.8" x14ac:dyDescent="0.25">
      <c r="A533" s="6" t="s">
        <v>129</v>
      </c>
      <c r="B533" s="4" t="str">
        <f t="shared" si="48"/>
        <v>Philips</v>
      </c>
      <c r="C533" s="6" t="s">
        <v>32</v>
      </c>
      <c r="D533" s="6">
        <v>65</v>
      </c>
      <c r="E533" s="6">
        <v>78999</v>
      </c>
      <c r="F533" s="6">
        <v>199990</v>
      </c>
      <c r="G533" s="6" t="s">
        <v>54</v>
      </c>
      <c r="H533" s="6">
        <v>4.5999999999999996</v>
      </c>
      <c r="I533" s="6">
        <f t="shared" si="49"/>
        <v>120991</v>
      </c>
      <c r="J533">
        <f t="shared" si="50"/>
        <v>0.60498524926246311</v>
      </c>
      <c r="K533" s="6">
        <f t="shared" si="51"/>
        <v>-120991</v>
      </c>
      <c r="L533" s="7">
        <f t="shared" si="52"/>
        <v>-1.531551032291548</v>
      </c>
      <c r="M533" s="6" t="str">
        <f t="shared" si="53"/>
        <v>Good Ratings</v>
      </c>
      <c r="N533" s="34">
        <f t="array" ref="N533">MEDIAN(_xlfn._xlws.FILTER(Table4[Original Price],Table4[Brand-Renamed] = Table4[[#This Row],[Brand]]))</f>
        <v>44990</v>
      </c>
      <c r="O533" s="35">
        <f t="array" ref="O533">MEDIAN(_xlfn._xlws.FILTER(Table4[Selling Price],Table4[Brand-Renamed] =Table4[[#This Row],[Brand-Renamed]]))</f>
        <v>33459</v>
      </c>
    </row>
    <row r="534" spans="1:15" ht="13.8" x14ac:dyDescent="0.25">
      <c r="A534" s="4" t="s">
        <v>15</v>
      </c>
      <c r="B534" s="4" t="str">
        <f t="shared" si="48"/>
        <v>Vu</v>
      </c>
      <c r="C534" s="4" t="s">
        <v>32</v>
      </c>
      <c r="D534" s="4">
        <v>55</v>
      </c>
      <c r="E534" s="4">
        <v>29950</v>
      </c>
      <c r="F534" s="4">
        <v>49990</v>
      </c>
      <c r="G534" s="4" t="s">
        <v>60</v>
      </c>
      <c r="H534" s="4">
        <v>4.4000000000000004</v>
      </c>
      <c r="I534" s="4">
        <f t="shared" si="49"/>
        <v>20040</v>
      </c>
      <c r="J534">
        <f t="shared" si="50"/>
        <v>0.40088017603520704</v>
      </c>
      <c r="K534" s="4">
        <f t="shared" si="51"/>
        <v>-20040</v>
      </c>
      <c r="L534" s="5">
        <f t="shared" si="52"/>
        <v>-0.66911519198664438</v>
      </c>
      <c r="M534" s="4" t="str">
        <f t="shared" si="53"/>
        <v>Medium Ratings</v>
      </c>
      <c r="N534" s="34">
        <f t="array" ref="N534">MEDIAN(_xlfn._xlws.FILTER(Table4[Original Price],Table4[Brand-Renamed] = Table4[[#This Row],[Brand]]))</f>
        <v>49990</v>
      </c>
      <c r="O534" s="35">
        <f t="array" ref="O534">MEDIAN(_xlfn._xlws.FILTER(Table4[Selling Price],Table4[Brand-Renamed] =Table4[[#This Row],[Brand-Renamed]]))</f>
        <v>30999</v>
      </c>
    </row>
    <row r="535" spans="1:15" ht="13.8" x14ac:dyDescent="0.25">
      <c r="A535" s="6" t="s">
        <v>21</v>
      </c>
      <c r="B535" s="4" t="str">
        <f t="shared" si="48"/>
        <v>Micromax</v>
      </c>
      <c r="C535" s="6" t="s">
        <v>32</v>
      </c>
      <c r="D535" s="6">
        <v>55</v>
      </c>
      <c r="E535" s="6">
        <v>49999</v>
      </c>
      <c r="F535" s="6">
        <v>69990</v>
      </c>
      <c r="G535" s="6" t="s">
        <v>54</v>
      </c>
      <c r="H535" s="6">
        <v>4.2</v>
      </c>
      <c r="I535" s="6">
        <f t="shared" si="49"/>
        <v>19991</v>
      </c>
      <c r="J535">
        <f t="shared" si="50"/>
        <v>0.28562651807401057</v>
      </c>
      <c r="K535" s="6">
        <f t="shared" si="51"/>
        <v>-19991</v>
      </c>
      <c r="L535" s="7">
        <f t="shared" si="52"/>
        <v>-0.39982799655993118</v>
      </c>
      <c r="M535" s="6" t="str">
        <f t="shared" si="53"/>
        <v>Medium Ratings</v>
      </c>
      <c r="N535" s="34">
        <f t="array" ref="N535">MEDIAN(_xlfn._xlws.FILTER(Table4[Original Price],Table4[Brand-Renamed] = Table4[[#This Row],[Brand]]))</f>
        <v>24990</v>
      </c>
      <c r="O535" s="35">
        <f t="array" ref="O535">MEDIAN(_xlfn._xlws.FILTER(Table4[Selling Price],Table4[Brand-Renamed] =Table4[[#This Row],[Brand-Renamed]]))</f>
        <v>16825</v>
      </c>
    </row>
    <row r="536" spans="1:15" ht="13.8" x14ac:dyDescent="0.25">
      <c r="A536" s="4" t="s">
        <v>122</v>
      </c>
      <c r="B536" s="4" t="str">
        <f t="shared" si="48"/>
        <v xml:space="preserve">Lg </v>
      </c>
      <c r="C536" s="4" t="s">
        <v>32</v>
      </c>
      <c r="D536" s="4">
        <v>43</v>
      </c>
      <c r="E536" s="4">
        <v>37890</v>
      </c>
      <c r="F536" s="4">
        <v>49990</v>
      </c>
      <c r="G536" s="4" t="s">
        <v>58</v>
      </c>
      <c r="H536" s="4">
        <v>4.5</v>
      </c>
      <c r="I536" s="4">
        <f t="shared" si="49"/>
        <v>12100</v>
      </c>
      <c r="J536">
        <f t="shared" si="50"/>
        <v>0.24204840968193639</v>
      </c>
      <c r="K536" s="4">
        <f t="shared" si="51"/>
        <v>-12100</v>
      </c>
      <c r="L536" s="5">
        <f t="shared" si="52"/>
        <v>-0.31934547373977301</v>
      </c>
      <c r="M536" s="4" t="str">
        <f t="shared" si="53"/>
        <v>Good Ratings</v>
      </c>
      <c r="N536" s="34">
        <f t="array" ref="N536">MEDIAN(_xlfn._xlws.FILTER(Table4[Original Price],Table4[Brand-Renamed] = Table4[[#This Row],[Brand]]))</f>
        <v>98990</v>
      </c>
      <c r="O536" s="35">
        <f t="array" ref="O536">MEDIAN(_xlfn._xlws.FILTER(Table4[Selling Price],Table4[Brand-Renamed] =Table4[[#This Row],[Brand-Renamed]]))</f>
        <v>76737</v>
      </c>
    </row>
    <row r="537" spans="1:15" ht="13.8" x14ac:dyDescent="0.25">
      <c r="A537" s="6" t="s">
        <v>126</v>
      </c>
      <c r="B537" s="4" t="str">
        <f t="shared" si="48"/>
        <v xml:space="preserve">Sony </v>
      </c>
      <c r="C537" s="6" t="s">
        <v>32</v>
      </c>
      <c r="D537" s="6">
        <v>49</v>
      </c>
      <c r="E537" s="6">
        <v>60999</v>
      </c>
      <c r="F537" s="6">
        <v>84900</v>
      </c>
      <c r="G537" s="6" t="s">
        <v>60</v>
      </c>
      <c r="H537" s="6">
        <v>4.5</v>
      </c>
      <c r="I537" s="6">
        <f t="shared" si="49"/>
        <v>23901</v>
      </c>
      <c r="J537">
        <f t="shared" si="50"/>
        <v>0.28151943462897527</v>
      </c>
      <c r="K537" s="6">
        <f t="shared" si="51"/>
        <v>-23901</v>
      </c>
      <c r="L537" s="7">
        <f t="shared" si="52"/>
        <v>-0.39182609550976244</v>
      </c>
      <c r="M537" s="6" t="str">
        <f t="shared" si="53"/>
        <v>Good Ratings</v>
      </c>
      <c r="N537" s="34">
        <f t="array" ref="N537">MEDIAN(_xlfn._xlws.FILTER(Table4[Original Price],Table4[Brand-Renamed] = Table4[[#This Row],[Brand]]))</f>
        <v>87400</v>
      </c>
      <c r="O537" s="35">
        <f t="array" ref="O537">MEDIAN(_xlfn._xlws.FILTER(Table4[Selling Price],Table4[Brand-Renamed] =Table4[[#This Row],[Brand-Renamed]]))</f>
        <v>64294.5</v>
      </c>
    </row>
    <row r="538" spans="1:15" ht="13.8" x14ac:dyDescent="0.25">
      <c r="A538" s="4" t="s">
        <v>122</v>
      </c>
      <c r="B538" s="4" t="str">
        <f t="shared" si="48"/>
        <v xml:space="preserve">Lg </v>
      </c>
      <c r="C538" s="4" t="s">
        <v>32</v>
      </c>
      <c r="D538" s="4">
        <v>55</v>
      </c>
      <c r="E538" s="4">
        <v>84999</v>
      </c>
      <c r="F538" s="4">
        <v>166990</v>
      </c>
      <c r="G538" s="4" t="s">
        <v>58</v>
      </c>
      <c r="H538" s="4">
        <v>4.5</v>
      </c>
      <c r="I538" s="4">
        <f t="shared" si="49"/>
        <v>81991</v>
      </c>
      <c r="J538">
        <f t="shared" si="50"/>
        <v>0.49099347266303373</v>
      </c>
      <c r="K538" s="4">
        <f t="shared" si="51"/>
        <v>-81991</v>
      </c>
      <c r="L538" s="5">
        <f t="shared" si="52"/>
        <v>-0.96461134836880436</v>
      </c>
      <c r="M538" s="4" t="str">
        <f t="shared" si="53"/>
        <v>Good Ratings</v>
      </c>
      <c r="N538" s="34">
        <f t="array" ref="N538">MEDIAN(_xlfn._xlws.FILTER(Table4[Original Price],Table4[Brand-Renamed] = Table4[[#This Row],[Brand]]))</f>
        <v>98990</v>
      </c>
      <c r="O538" s="35">
        <f t="array" ref="O538">MEDIAN(_xlfn._xlws.FILTER(Table4[Selling Price],Table4[Brand-Renamed] =Table4[[#This Row],[Brand-Renamed]]))</f>
        <v>76737</v>
      </c>
    </row>
    <row r="539" spans="1:15" ht="13.8" x14ac:dyDescent="0.25">
      <c r="A539" s="6" t="s">
        <v>125</v>
      </c>
      <c r="B539" s="4" t="str">
        <f t="shared" si="48"/>
        <v>Samsung</v>
      </c>
      <c r="C539" s="6" t="s">
        <v>8</v>
      </c>
      <c r="D539" s="6">
        <v>43</v>
      </c>
      <c r="E539" s="6">
        <v>36514</v>
      </c>
      <c r="F539" s="6">
        <v>46900</v>
      </c>
      <c r="G539" s="6" t="s">
        <v>56</v>
      </c>
      <c r="H539" s="6">
        <v>4.5</v>
      </c>
      <c r="I539" s="6">
        <f t="shared" si="49"/>
        <v>10386</v>
      </c>
      <c r="J539">
        <f t="shared" si="50"/>
        <v>0.22144989339019189</v>
      </c>
      <c r="K539" s="6">
        <f t="shared" si="51"/>
        <v>-10386</v>
      </c>
      <c r="L539" s="7">
        <f t="shared" si="52"/>
        <v>-0.28443884537437697</v>
      </c>
      <c r="M539" s="6" t="str">
        <f t="shared" si="53"/>
        <v>Good Ratings</v>
      </c>
      <c r="N539" s="34">
        <f t="array" ref="N539">MEDIAN(_xlfn._xlws.FILTER(Table4[Original Price],Table4[Brand-Renamed] = Table4[[#This Row],[Brand]]))</f>
        <v>100945</v>
      </c>
      <c r="O539" s="35">
        <f t="array" ref="O539">MEDIAN(_xlfn._xlws.FILTER(Table4[Selling Price],Table4[Brand-Renamed] =Table4[[#This Row],[Brand-Renamed]]))</f>
        <v>74490</v>
      </c>
    </row>
    <row r="540" spans="1:15" ht="13.8" x14ac:dyDescent="0.25">
      <c r="A540" s="4" t="s">
        <v>139</v>
      </c>
      <c r="B540" s="4" t="str">
        <f t="shared" si="48"/>
        <v xml:space="preserve">G-Ten </v>
      </c>
      <c r="C540" s="4" t="s">
        <v>19</v>
      </c>
      <c r="D540" s="4">
        <v>40</v>
      </c>
      <c r="E540" s="4">
        <v>15990</v>
      </c>
      <c r="F540" s="4">
        <v>35890</v>
      </c>
      <c r="G540" s="4" t="s">
        <v>54</v>
      </c>
      <c r="H540" s="4">
        <v>3.7</v>
      </c>
      <c r="I540" s="4">
        <f t="shared" si="49"/>
        <v>19900</v>
      </c>
      <c r="J540">
        <f t="shared" si="50"/>
        <v>0.5544719977709669</v>
      </c>
      <c r="K540" s="4">
        <f t="shared" si="51"/>
        <v>-19900</v>
      </c>
      <c r="L540" s="5">
        <f t="shared" si="52"/>
        <v>-1.2445278298936835</v>
      </c>
      <c r="M540" s="4" t="str">
        <f t="shared" si="53"/>
        <v>Bad Ratings</v>
      </c>
      <c r="N540" s="34">
        <f t="array" ref="N540">MEDIAN(_xlfn._xlws.FILTER(Table4[Original Price],Table4[Brand-Renamed] = Table4[[#This Row],[Brand]]))</f>
        <v>37440</v>
      </c>
      <c r="O540" s="35">
        <f t="array" ref="O540">MEDIAN(_xlfn._xlws.FILTER(Table4[Selling Price],Table4[Brand-Renamed] =Table4[[#This Row],[Brand-Renamed]]))</f>
        <v>15490</v>
      </c>
    </row>
    <row r="541" spans="1:15" ht="13.8" x14ac:dyDescent="0.25">
      <c r="A541" s="6" t="s">
        <v>122</v>
      </c>
      <c r="B541" s="4" t="str">
        <f t="shared" si="48"/>
        <v xml:space="preserve">Lg </v>
      </c>
      <c r="C541" s="6" t="s">
        <v>32</v>
      </c>
      <c r="D541" s="6">
        <v>49</v>
      </c>
      <c r="E541" s="6">
        <v>47249</v>
      </c>
      <c r="F541" s="6">
        <v>73990</v>
      </c>
      <c r="G541" s="6" t="s">
        <v>58</v>
      </c>
      <c r="H541" s="6">
        <v>4.3</v>
      </c>
      <c r="I541" s="6">
        <f t="shared" si="49"/>
        <v>26741</v>
      </c>
      <c r="J541">
        <f t="shared" si="50"/>
        <v>0.36141370455466953</v>
      </c>
      <c r="K541" s="6">
        <f t="shared" si="51"/>
        <v>-26741</v>
      </c>
      <c r="L541" s="7">
        <f t="shared" si="52"/>
        <v>-0.5659590679167813</v>
      </c>
      <c r="M541" s="6" t="str">
        <f t="shared" si="53"/>
        <v>Medium Ratings</v>
      </c>
      <c r="N541" s="34">
        <f t="array" ref="N541">MEDIAN(_xlfn._xlws.FILTER(Table4[Original Price],Table4[Brand-Renamed] = Table4[[#This Row],[Brand]]))</f>
        <v>98990</v>
      </c>
      <c r="O541" s="35">
        <f t="array" ref="O541">MEDIAN(_xlfn._xlws.FILTER(Table4[Selling Price],Table4[Brand-Renamed] =Table4[[#This Row],[Brand-Renamed]]))</f>
        <v>76737</v>
      </c>
    </row>
    <row r="542" spans="1:15" ht="13.8" x14ac:dyDescent="0.25">
      <c r="A542" s="4" t="s">
        <v>119</v>
      </c>
      <c r="B542" s="4" t="str">
        <f t="shared" si="48"/>
        <v xml:space="preserve">Tcl </v>
      </c>
      <c r="C542" s="4" t="s">
        <v>32</v>
      </c>
      <c r="D542" s="4">
        <v>50</v>
      </c>
      <c r="E542" s="4">
        <v>33999</v>
      </c>
      <c r="F542" s="4">
        <v>62990</v>
      </c>
      <c r="G542" s="4" t="s">
        <v>54</v>
      </c>
      <c r="H542" s="4">
        <v>4.4000000000000004</v>
      </c>
      <c r="I542" s="4">
        <f t="shared" si="49"/>
        <v>28991</v>
      </c>
      <c r="J542">
        <f t="shared" si="50"/>
        <v>0.46024765835846959</v>
      </c>
      <c r="K542" s="4">
        <f t="shared" si="51"/>
        <v>-28991</v>
      </c>
      <c r="L542" s="5">
        <f t="shared" si="52"/>
        <v>-0.85270155004558956</v>
      </c>
      <c r="M542" s="4" t="str">
        <f t="shared" si="53"/>
        <v>Medium Ratings</v>
      </c>
      <c r="N542" s="34">
        <f t="array" ref="N542">MEDIAN(_xlfn._xlws.FILTER(Table4[Original Price],Table4[Brand-Renamed] = Table4[[#This Row],[Brand]]))</f>
        <v>77990</v>
      </c>
      <c r="O542" s="35">
        <f t="array" ref="O542">MEDIAN(_xlfn._xlws.FILTER(Table4[Selling Price],Table4[Brand-Renamed] =Table4[[#This Row],[Brand-Renamed]]))</f>
        <v>40999</v>
      </c>
    </row>
    <row r="543" spans="1:15" ht="13.8" x14ac:dyDescent="0.25">
      <c r="A543" s="6" t="s">
        <v>119</v>
      </c>
      <c r="B543" s="4" t="str">
        <f t="shared" si="48"/>
        <v xml:space="preserve">Tcl </v>
      </c>
      <c r="C543" s="6" t="s">
        <v>32</v>
      </c>
      <c r="D543" s="6">
        <v>43</v>
      </c>
      <c r="E543" s="6">
        <v>27889</v>
      </c>
      <c r="F543" s="6">
        <v>52990</v>
      </c>
      <c r="G543" s="6" t="s">
        <v>54</v>
      </c>
      <c r="H543" s="6">
        <v>4.4000000000000004</v>
      </c>
      <c r="I543" s="6">
        <f t="shared" si="49"/>
        <v>25101</v>
      </c>
      <c r="J543">
        <f t="shared" si="50"/>
        <v>0.4736931496508775</v>
      </c>
      <c r="K543" s="6">
        <f t="shared" si="51"/>
        <v>-25101</v>
      </c>
      <c r="L543" s="7">
        <f t="shared" si="52"/>
        <v>-0.90003227078776582</v>
      </c>
      <c r="M543" s="6" t="str">
        <f t="shared" si="53"/>
        <v>Medium Ratings</v>
      </c>
      <c r="N543" s="34">
        <f t="array" ref="N543">MEDIAN(_xlfn._xlws.FILTER(Table4[Original Price],Table4[Brand-Renamed] = Table4[[#This Row],[Brand]]))</f>
        <v>77990</v>
      </c>
      <c r="O543" s="35">
        <f t="array" ref="O543">MEDIAN(_xlfn._xlws.FILTER(Table4[Selling Price],Table4[Brand-Renamed] =Table4[[#This Row],[Brand-Renamed]]))</f>
        <v>40999</v>
      </c>
    </row>
    <row r="544" spans="1:15" ht="13.8" x14ac:dyDescent="0.25">
      <c r="A544" s="4" t="s">
        <v>125</v>
      </c>
      <c r="B544" s="4" t="str">
        <f t="shared" si="48"/>
        <v>Samsung</v>
      </c>
      <c r="C544" s="4" t="s">
        <v>19</v>
      </c>
      <c r="D544" s="4">
        <v>32</v>
      </c>
      <c r="E544" s="4">
        <v>11999</v>
      </c>
      <c r="F544" s="4">
        <v>21900</v>
      </c>
      <c r="G544" s="4" t="s">
        <v>56</v>
      </c>
      <c r="H544" s="4">
        <v>4.4000000000000004</v>
      </c>
      <c r="I544" s="4">
        <f t="shared" si="49"/>
        <v>9901</v>
      </c>
      <c r="J544">
        <f t="shared" si="50"/>
        <v>0.45210045662100456</v>
      </c>
      <c r="K544" s="4">
        <f t="shared" si="51"/>
        <v>-9901</v>
      </c>
      <c r="L544" s="5">
        <f t="shared" si="52"/>
        <v>-0.82515209600800066</v>
      </c>
      <c r="M544" s="4" t="str">
        <f t="shared" si="53"/>
        <v>Medium Ratings</v>
      </c>
      <c r="N544" s="34">
        <f t="array" ref="N544">MEDIAN(_xlfn._xlws.FILTER(Table4[Original Price],Table4[Brand-Renamed] = Table4[[#This Row],[Brand]]))</f>
        <v>100945</v>
      </c>
      <c r="O544" s="35">
        <f t="array" ref="O544">MEDIAN(_xlfn._xlws.FILTER(Table4[Selling Price],Table4[Brand-Renamed] =Table4[[#This Row],[Brand-Renamed]]))</f>
        <v>74490</v>
      </c>
    </row>
    <row r="545" spans="1:15" ht="13.8" x14ac:dyDescent="0.25">
      <c r="A545" s="6" t="s">
        <v>122</v>
      </c>
      <c r="B545" s="4" t="str">
        <f t="shared" si="48"/>
        <v xml:space="preserve">Lg </v>
      </c>
      <c r="C545" s="6" t="s">
        <v>32</v>
      </c>
      <c r="D545" s="6">
        <v>65</v>
      </c>
      <c r="E545" s="6">
        <v>102890</v>
      </c>
      <c r="F545" s="6">
        <v>172990</v>
      </c>
      <c r="G545" s="6" t="s">
        <v>58</v>
      </c>
      <c r="H545" s="6">
        <v>5</v>
      </c>
      <c r="I545" s="6">
        <f t="shared" si="49"/>
        <v>70100</v>
      </c>
      <c r="J545">
        <f t="shared" si="50"/>
        <v>0.4052257355916527</v>
      </c>
      <c r="K545" s="6">
        <f t="shared" si="51"/>
        <v>-70100</v>
      </c>
      <c r="L545" s="7">
        <f t="shared" si="52"/>
        <v>-0.68131013703955678</v>
      </c>
      <c r="M545" s="6" t="str">
        <f t="shared" si="53"/>
        <v>Good Ratings</v>
      </c>
      <c r="N545" s="34">
        <f t="array" ref="N545">MEDIAN(_xlfn._xlws.FILTER(Table4[Original Price],Table4[Brand-Renamed] = Table4[[#This Row],[Brand]]))</f>
        <v>98990</v>
      </c>
      <c r="O545" s="35">
        <f t="array" ref="O545">MEDIAN(_xlfn._xlws.FILTER(Table4[Selling Price],Table4[Brand-Renamed] =Table4[[#This Row],[Brand-Renamed]]))</f>
        <v>76737</v>
      </c>
    </row>
    <row r="546" spans="1:15" ht="13.8" x14ac:dyDescent="0.25">
      <c r="A546" s="4" t="s">
        <v>132</v>
      </c>
      <c r="B546" s="4" t="str">
        <f t="shared" si="48"/>
        <v xml:space="preserve">Impex </v>
      </c>
      <c r="C546" s="4" t="s">
        <v>19</v>
      </c>
      <c r="D546" s="4">
        <v>39</v>
      </c>
      <c r="E546" s="4">
        <v>19039</v>
      </c>
      <c r="F546" s="4">
        <v>26350</v>
      </c>
      <c r="G546" s="4" t="s">
        <v>62</v>
      </c>
      <c r="H546" s="4"/>
      <c r="I546" s="4">
        <f t="shared" si="49"/>
        <v>7311</v>
      </c>
      <c r="J546">
        <f t="shared" si="50"/>
        <v>0.27745730550284631</v>
      </c>
      <c r="K546" s="4">
        <f t="shared" si="51"/>
        <v>-7311</v>
      </c>
      <c r="L546" s="5">
        <f t="shared" si="52"/>
        <v>-0.38400126057040812</v>
      </c>
      <c r="M546" s="4" t="str">
        <f t="shared" si="53"/>
        <v>Ratings Not Given</v>
      </c>
      <c r="N546" s="34">
        <f t="array" ref="N546">MEDIAN(_xlfn._xlws.FILTER(Table4[Original Price],Table4[Brand-Renamed] = Table4[[#This Row],[Brand]]))</f>
        <v>32039</v>
      </c>
      <c r="O546" s="35">
        <f t="array" ref="O546">MEDIAN(_xlfn._xlws.FILTER(Table4[Selling Price],Table4[Brand-Renamed] =Table4[[#This Row],[Brand-Renamed]]))</f>
        <v>28690</v>
      </c>
    </row>
    <row r="547" spans="1:15" ht="13.8" x14ac:dyDescent="0.25">
      <c r="A547" s="6" t="s">
        <v>122</v>
      </c>
      <c r="B547" s="4" t="str">
        <f t="shared" si="48"/>
        <v xml:space="preserve">Lg </v>
      </c>
      <c r="C547" s="6" t="s">
        <v>19</v>
      </c>
      <c r="D547" s="6">
        <v>28</v>
      </c>
      <c r="E547" s="6">
        <v>13945</v>
      </c>
      <c r="F547" s="6">
        <v>17990</v>
      </c>
      <c r="G547" s="6" t="s">
        <v>60</v>
      </c>
      <c r="H547" s="6">
        <v>4.4000000000000004</v>
      </c>
      <c r="I547" s="6">
        <f t="shared" si="49"/>
        <v>4045</v>
      </c>
      <c r="J547">
        <f t="shared" si="50"/>
        <v>0.22484713729849917</v>
      </c>
      <c r="K547" s="6">
        <f t="shared" si="51"/>
        <v>-4045</v>
      </c>
      <c r="L547" s="7">
        <f t="shared" si="52"/>
        <v>-0.29006812477590532</v>
      </c>
      <c r="M547" s="6" t="str">
        <f t="shared" si="53"/>
        <v>Medium Ratings</v>
      </c>
      <c r="N547" s="34">
        <f t="array" ref="N547">MEDIAN(_xlfn._xlws.FILTER(Table4[Original Price],Table4[Brand-Renamed] = Table4[[#This Row],[Brand]]))</f>
        <v>98990</v>
      </c>
      <c r="O547" s="35">
        <f t="array" ref="O547">MEDIAN(_xlfn._xlws.FILTER(Table4[Selling Price],Table4[Brand-Renamed] =Table4[[#This Row],[Brand-Renamed]]))</f>
        <v>76737</v>
      </c>
    </row>
    <row r="548" spans="1:15" ht="13.8" x14ac:dyDescent="0.25">
      <c r="A548" s="4" t="s">
        <v>126</v>
      </c>
      <c r="B548" s="4" t="str">
        <f t="shared" si="48"/>
        <v xml:space="preserve">Sony </v>
      </c>
      <c r="C548" s="4" t="s">
        <v>8</v>
      </c>
      <c r="D548" s="4">
        <v>40</v>
      </c>
      <c r="E548" s="4">
        <v>31999</v>
      </c>
      <c r="F548" s="4">
        <v>37990</v>
      </c>
      <c r="G548" s="4" t="s">
        <v>54</v>
      </c>
      <c r="H548" s="4">
        <v>4.3</v>
      </c>
      <c r="I548" s="4">
        <f t="shared" si="49"/>
        <v>5991</v>
      </c>
      <c r="J548">
        <f t="shared" si="50"/>
        <v>0.15769939457752041</v>
      </c>
      <c r="K548" s="4">
        <f t="shared" si="51"/>
        <v>-5991</v>
      </c>
      <c r="L548" s="5">
        <f t="shared" si="52"/>
        <v>-0.18722460076877404</v>
      </c>
      <c r="M548" s="4" t="str">
        <f t="shared" si="53"/>
        <v>Medium Ratings</v>
      </c>
      <c r="N548" s="34">
        <f t="array" ref="N548">MEDIAN(_xlfn._xlws.FILTER(Table4[Original Price],Table4[Brand-Renamed] = Table4[[#This Row],[Brand]]))</f>
        <v>87400</v>
      </c>
      <c r="O548" s="35">
        <f t="array" ref="O548">MEDIAN(_xlfn._xlws.FILTER(Table4[Selling Price],Table4[Brand-Renamed] =Table4[[#This Row],[Brand-Renamed]]))</f>
        <v>64294.5</v>
      </c>
    </row>
    <row r="549" spans="1:15" ht="13.8" x14ac:dyDescent="0.25">
      <c r="A549" s="6" t="s">
        <v>124</v>
      </c>
      <c r="B549" s="4" t="str">
        <f t="shared" si="48"/>
        <v>Iffalcon By Tcl</v>
      </c>
      <c r="C549" s="6" t="s">
        <v>32</v>
      </c>
      <c r="D549" s="6">
        <v>55</v>
      </c>
      <c r="E549" s="6">
        <v>31999</v>
      </c>
      <c r="F549" s="6">
        <v>70990</v>
      </c>
      <c r="G549" s="6" t="s">
        <v>54</v>
      </c>
      <c r="H549" s="6">
        <v>4.4000000000000004</v>
      </c>
      <c r="I549" s="6">
        <f t="shared" si="49"/>
        <v>38991</v>
      </c>
      <c r="J549">
        <f t="shared" si="50"/>
        <v>0.54924637272855337</v>
      </c>
      <c r="K549" s="6">
        <f t="shared" si="51"/>
        <v>-38991</v>
      </c>
      <c r="L549" s="7">
        <f t="shared" si="52"/>
        <v>-1.2185068283383855</v>
      </c>
      <c r="M549" s="6" t="str">
        <f t="shared" si="53"/>
        <v>Medium Ratings</v>
      </c>
      <c r="N549" s="34">
        <f t="array" ref="N549">MEDIAN(_xlfn._xlws.FILTER(Table4[Original Price],Table4[Brand-Renamed] = Table4[[#This Row],[Brand]]))</f>
        <v>76990</v>
      </c>
      <c r="O549" s="35">
        <f t="array" ref="O549">MEDIAN(_xlfn._xlws.FILTER(Table4[Selling Price],Table4[Brand-Renamed] =Table4[[#This Row],[Brand-Renamed]]))</f>
        <v>36999</v>
      </c>
    </row>
    <row r="550" spans="1:15" ht="13.8" x14ac:dyDescent="0.25">
      <c r="A550" s="4" t="s">
        <v>126</v>
      </c>
      <c r="B550" s="4" t="str">
        <f t="shared" si="48"/>
        <v xml:space="preserve">Sony </v>
      </c>
      <c r="C550" s="4" t="s">
        <v>19</v>
      </c>
      <c r="D550" s="4">
        <v>32</v>
      </c>
      <c r="E550" s="4">
        <v>20738</v>
      </c>
      <c r="F550" s="4">
        <v>22990</v>
      </c>
      <c r="G550" s="4" t="s">
        <v>54</v>
      </c>
      <c r="H550" s="4">
        <v>5</v>
      </c>
      <c r="I550" s="4">
        <f t="shared" si="49"/>
        <v>2252</v>
      </c>
      <c r="J550">
        <f t="shared" si="50"/>
        <v>9.7955632883862553E-2</v>
      </c>
      <c r="K550" s="4">
        <f t="shared" si="51"/>
        <v>-2252</v>
      </c>
      <c r="L550" s="5">
        <f t="shared" si="52"/>
        <v>-0.10859292120744526</v>
      </c>
      <c r="M550" s="4" t="str">
        <f t="shared" si="53"/>
        <v>Good Ratings</v>
      </c>
      <c r="N550" s="34">
        <f t="array" ref="N550">MEDIAN(_xlfn._xlws.FILTER(Table4[Original Price],Table4[Brand-Renamed] = Table4[[#This Row],[Brand]]))</f>
        <v>87400</v>
      </c>
      <c r="O550" s="35">
        <f t="array" ref="O550">MEDIAN(_xlfn._xlws.FILTER(Table4[Selling Price],Table4[Brand-Renamed] =Table4[[#This Row],[Brand-Renamed]]))</f>
        <v>64294.5</v>
      </c>
    </row>
    <row r="551" spans="1:15" ht="13.8" x14ac:dyDescent="0.25">
      <c r="A551" s="6" t="s">
        <v>119</v>
      </c>
      <c r="B551" s="4" t="str">
        <f t="shared" si="48"/>
        <v xml:space="preserve">Tcl </v>
      </c>
      <c r="C551" s="6" t="s">
        <v>19</v>
      </c>
      <c r="D551" s="6">
        <v>32</v>
      </c>
      <c r="E551" s="6">
        <v>15499</v>
      </c>
      <c r="F551" s="6">
        <v>25990</v>
      </c>
      <c r="G551" s="6" t="s">
        <v>60</v>
      </c>
      <c r="H551" s="6">
        <v>4.0999999999999996</v>
      </c>
      <c r="I551" s="6">
        <f t="shared" si="49"/>
        <v>10491</v>
      </c>
      <c r="J551">
        <f t="shared" si="50"/>
        <v>0.40365525202000768</v>
      </c>
      <c r="K551" s="6">
        <f t="shared" si="51"/>
        <v>-10491</v>
      </c>
      <c r="L551" s="7">
        <f t="shared" si="52"/>
        <v>-0.67688237950835539</v>
      </c>
      <c r="M551" s="6" t="str">
        <f t="shared" si="53"/>
        <v>Medium Ratings</v>
      </c>
      <c r="N551" s="34">
        <f t="array" ref="N551">MEDIAN(_xlfn._xlws.FILTER(Table4[Original Price],Table4[Brand-Renamed] = Table4[[#This Row],[Brand]]))</f>
        <v>77990</v>
      </c>
      <c r="O551" s="35">
        <f t="array" ref="O551">MEDIAN(_xlfn._xlws.FILTER(Table4[Selling Price],Table4[Brand-Renamed] =Table4[[#This Row],[Brand-Renamed]]))</f>
        <v>40999</v>
      </c>
    </row>
    <row r="552" spans="1:15" ht="13.8" x14ac:dyDescent="0.25">
      <c r="A552" s="4" t="s">
        <v>43</v>
      </c>
      <c r="B552" s="4" t="str">
        <f t="shared" si="48"/>
        <v xml:space="preserve">Compaq </v>
      </c>
      <c r="C552" s="4" t="s">
        <v>29</v>
      </c>
      <c r="D552" s="4">
        <v>55</v>
      </c>
      <c r="E552" s="4">
        <v>59999</v>
      </c>
      <c r="F552" s="4">
        <v>99999</v>
      </c>
      <c r="G552" s="4" t="s">
        <v>54</v>
      </c>
      <c r="H552" s="4">
        <v>4.4000000000000004</v>
      </c>
      <c r="I552" s="4">
        <f t="shared" si="49"/>
        <v>40000</v>
      </c>
      <c r="J552">
        <f t="shared" si="50"/>
        <v>0.40000400004000042</v>
      </c>
      <c r="K552" s="4">
        <f t="shared" si="51"/>
        <v>-40000</v>
      </c>
      <c r="L552" s="5">
        <f t="shared" si="52"/>
        <v>-0.66667777796296601</v>
      </c>
      <c r="M552" s="4" t="str">
        <f t="shared" si="53"/>
        <v>Medium Ratings</v>
      </c>
      <c r="N552" s="34">
        <f t="array" ref="N552">MEDIAN(_xlfn._xlws.FILTER(Table4[Original Price],Table4[Brand-Renamed] = Table4[[#This Row],[Brand]]))</f>
        <v>39999</v>
      </c>
      <c r="O552" s="35">
        <f t="array" ref="O552">MEDIAN(_xlfn._xlws.FILTER(Table4[Selling Price],Table4[Brand-Renamed] =Table4[[#This Row],[Brand-Renamed]]))</f>
        <v>32999</v>
      </c>
    </row>
    <row r="553" spans="1:15" ht="13.8" x14ac:dyDescent="0.25">
      <c r="A553" s="6" t="s">
        <v>125</v>
      </c>
      <c r="B553" s="4" t="str">
        <f t="shared" si="48"/>
        <v>Samsung</v>
      </c>
      <c r="C553" s="6" t="s">
        <v>8</v>
      </c>
      <c r="D553" s="6">
        <v>43</v>
      </c>
      <c r="E553" s="6">
        <v>36999</v>
      </c>
      <c r="F553" s="6">
        <v>58900</v>
      </c>
      <c r="G553" s="6" t="s">
        <v>56</v>
      </c>
      <c r="H553" s="6">
        <v>4.3</v>
      </c>
      <c r="I553" s="6">
        <f t="shared" si="49"/>
        <v>21901</v>
      </c>
      <c r="J553">
        <f t="shared" si="50"/>
        <v>0.37183361629881156</v>
      </c>
      <c r="K553" s="6">
        <f t="shared" si="51"/>
        <v>-21901</v>
      </c>
      <c r="L553" s="7">
        <f t="shared" si="52"/>
        <v>-0.59193491715992319</v>
      </c>
      <c r="M553" s="6" t="str">
        <f t="shared" si="53"/>
        <v>Medium Ratings</v>
      </c>
      <c r="N553" s="34">
        <f t="array" ref="N553">MEDIAN(_xlfn._xlws.FILTER(Table4[Original Price],Table4[Brand-Renamed] = Table4[[#This Row],[Brand]]))</f>
        <v>100945</v>
      </c>
      <c r="O553" s="35">
        <f t="array" ref="O553">MEDIAN(_xlfn._xlws.FILTER(Table4[Selling Price],Table4[Brand-Renamed] =Table4[[#This Row],[Brand-Renamed]]))</f>
        <v>74490</v>
      </c>
    </row>
    <row r="554" spans="1:15" ht="13.8" x14ac:dyDescent="0.25">
      <c r="A554" s="4" t="s">
        <v>129</v>
      </c>
      <c r="B554" s="4" t="str">
        <f t="shared" si="48"/>
        <v>Philips</v>
      </c>
      <c r="C554" s="4" t="s">
        <v>8</v>
      </c>
      <c r="D554" s="4">
        <v>43</v>
      </c>
      <c r="E554" s="4">
        <v>24999</v>
      </c>
      <c r="F554" s="4">
        <v>55990</v>
      </c>
      <c r="G554" s="4" t="s">
        <v>60</v>
      </c>
      <c r="H554" s="4">
        <v>4</v>
      </c>
      <c r="I554" s="4">
        <f t="shared" si="49"/>
        <v>30991</v>
      </c>
      <c r="J554">
        <f t="shared" si="50"/>
        <v>0.55350955527772816</v>
      </c>
      <c r="K554" s="4">
        <f t="shared" si="51"/>
        <v>-30991</v>
      </c>
      <c r="L554" s="5">
        <f t="shared" si="52"/>
        <v>-1.2396895875835034</v>
      </c>
      <c r="M554" s="4" t="str">
        <f t="shared" si="53"/>
        <v>Medium Ratings</v>
      </c>
      <c r="N554" s="34">
        <f t="array" ref="N554">MEDIAN(_xlfn._xlws.FILTER(Table4[Original Price],Table4[Brand-Renamed] = Table4[[#This Row],[Brand]]))</f>
        <v>44990</v>
      </c>
      <c r="O554" s="35">
        <f t="array" ref="O554">MEDIAN(_xlfn._xlws.FILTER(Table4[Selling Price],Table4[Brand-Renamed] =Table4[[#This Row],[Brand-Renamed]]))</f>
        <v>33459</v>
      </c>
    </row>
    <row r="555" spans="1:15" ht="13.8" x14ac:dyDescent="0.25">
      <c r="A555" s="6" t="s">
        <v>50</v>
      </c>
      <c r="B555" s="4" t="str">
        <f t="shared" si="48"/>
        <v xml:space="preserve">Haier </v>
      </c>
      <c r="C555" s="6" t="s">
        <v>8</v>
      </c>
      <c r="D555" s="6">
        <v>40</v>
      </c>
      <c r="E555" s="6">
        <v>25590</v>
      </c>
      <c r="F555" s="6">
        <v>36990</v>
      </c>
      <c r="G555" s="6" t="s">
        <v>54</v>
      </c>
      <c r="H555" s="6">
        <v>4.7</v>
      </c>
      <c r="I555" s="6">
        <f t="shared" si="49"/>
        <v>11400</v>
      </c>
      <c r="J555">
        <f t="shared" si="50"/>
        <v>0.30819140308191401</v>
      </c>
      <c r="K555" s="6">
        <f t="shared" si="51"/>
        <v>-11400</v>
      </c>
      <c r="L555" s="7">
        <f t="shared" si="52"/>
        <v>-0.44548651817116058</v>
      </c>
      <c r="M555" s="6" t="str">
        <f t="shared" si="53"/>
        <v>Good Ratings</v>
      </c>
      <c r="N555" s="34">
        <f t="array" ref="N555">MEDIAN(_xlfn._xlws.FILTER(Table4[Original Price],Table4[Brand-Renamed] = Table4[[#This Row],[Brand]]))</f>
        <v>43990</v>
      </c>
      <c r="O555" s="35">
        <f t="array" ref="O555">MEDIAN(_xlfn._xlws.FILTER(Table4[Selling Price],Table4[Brand-Renamed] =Table4[[#This Row],[Brand-Renamed]]))</f>
        <v>30994.5</v>
      </c>
    </row>
    <row r="556" spans="1:15" ht="13.8" x14ac:dyDescent="0.25">
      <c r="A556" s="4" t="s">
        <v>125</v>
      </c>
      <c r="B556" s="4" t="str">
        <f t="shared" si="48"/>
        <v>Samsung</v>
      </c>
      <c r="C556" s="4" t="s">
        <v>32</v>
      </c>
      <c r="D556" s="4">
        <v>43</v>
      </c>
      <c r="E556" s="4">
        <v>36106</v>
      </c>
      <c r="F556" s="4">
        <v>69900</v>
      </c>
      <c r="G556" s="4" t="s">
        <v>56</v>
      </c>
      <c r="H556" s="4">
        <v>4.3</v>
      </c>
      <c r="I556" s="4">
        <f t="shared" si="49"/>
        <v>33794</v>
      </c>
      <c r="J556">
        <f t="shared" si="50"/>
        <v>0.48346208869814022</v>
      </c>
      <c r="K556" s="4">
        <f t="shared" si="51"/>
        <v>-33794</v>
      </c>
      <c r="L556" s="5">
        <f t="shared" si="52"/>
        <v>-0.93596632138702707</v>
      </c>
      <c r="M556" s="4" t="str">
        <f t="shared" si="53"/>
        <v>Medium Ratings</v>
      </c>
      <c r="N556" s="34">
        <f t="array" ref="N556">MEDIAN(_xlfn._xlws.FILTER(Table4[Original Price],Table4[Brand-Renamed] = Table4[[#This Row],[Brand]]))</f>
        <v>100945</v>
      </c>
      <c r="O556" s="35">
        <f t="array" ref="O556">MEDIAN(_xlfn._xlws.FILTER(Table4[Selling Price],Table4[Brand-Renamed] =Table4[[#This Row],[Brand-Renamed]]))</f>
        <v>74490</v>
      </c>
    </row>
    <row r="557" spans="1:15" ht="13.8" x14ac:dyDescent="0.25">
      <c r="A557" s="6" t="s">
        <v>125</v>
      </c>
      <c r="B557" s="4" t="str">
        <f t="shared" si="48"/>
        <v>Samsung</v>
      </c>
      <c r="C557" s="6" t="s">
        <v>8</v>
      </c>
      <c r="D557" s="6">
        <v>43</v>
      </c>
      <c r="E557" s="6">
        <v>24726</v>
      </c>
      <c r="F557" s="6">
        <v>45900</v>
      </c>
      <c r="G557" s="6" t="s">
        <v>56</v>
      </c>
      <c r="H557" s="6">
        <v>3.8</v>
      </c>
      <c r="I557" s="6">
        <f t="shared" si="49"/>
        <v>21174</v>
      </c>
      <c r="J557">
        <f t="shared" si="50"/>
        <v>0.46130718954248368</v>
      </c>
      <c r="K557" s="6">
        <f t="shared" si="51"/>
        <v>-21174</v>
      </c>
      <c r="L557" s="7">
        <f t="shared" si="52"/>
        <v>-0.85634554719728218</v>
      </c>
      <c r="M557" s="6" t="str">
        <f t="shared" si="53"/>
        <v>Medium Ratings</v>
      </c>
      <c r="N557" s="34">
        <f t="array" ref="N557">MEDIAN(_xlfn._xlws.FILTER(Table4[Original Price],Table4[Brand-Renamed] = Table4[[#This Row],[Brand]]))</f>
        <v>100945</v>
      </c>
      <c r="O557" s="35">
        <f t="array" ref="O557">MEDIAN(_xlfn._xlws.FILTER(Table4[Selling Price],Table4[Brand-Renamed] =Table4[[#This Row],[Brand-Renamed]]))</f>
        <v>74490</v>
      </c>
    </row>
    <row r="558" spans="1:15" ht="13.8" x14ac:dyDescent="0.25">
      <c r="A558" s="4" t="s">
        <v>119</v>
      </c>
      <c r="B558" s="4" t="str">
        <f t="shared" si="48"/>
        <v xml:space="preserve">Tcl </v>
      </c>
      <c r="C558" s="4" t="s">
        <v>32</v>
      </c>
      <c r="D558" s="4">
        <v>43</v>
      </c>
      <c r="E558" s="4">
        <v>25999</v>
      </c>
      <c r="F558" s="4">
        <v>48990</v>
      </c>
      <c r="G558" s="4" t="s">
        <v>60</v>
      </c>
      <c r="H558" s="4">
        <v>4.0999999999999996</v>
      </c>
      <c r="I558" s="4">
        <f t="shared" si="49"/>
        <v>22991</v>
      </c>
      <c r="J558">
        <f t="shared" si="50"/>
        <v>0.46929985711369665</v>
      </c>
      <c r="K558" s="4">
        <f t="shared" si="51"/>
        <v>-22991</v>
      </c>
      <c r="L558" s="5">
        <f t="shared" si="52"/>
        <v>-0.88430324243240122</v>
      </c>
      <c r="M558" s="4" t="str">
        <f t="shared" si="53"/>
        <v>Medium Ratings</v>
      </c>
      <c r="N558" s="34">
        <f t="array" ref="N558">MEDIAN(_xlfn._xlws.FILTER(Table4[Original Price],Table4[Brand-Renamed] = Table4[[#This Row],[Brand]]))</f>
        <v>77990</v>
      </c>
      <c r="O558" s="35">
        <f t="array" ref="O558">MEDIAN(_xlfn._xlws.FILTER(Table4[Selling Price],Table4[Brand-Renamed] =Table4[[#This Row],[Brand-Renamed]]))</f>
        <v>40999</v>
      </c>
    </row>
    <row r="559" spans="1:15" ht="13.8" x14ac:dyDescent="0.25">
      <c r="A559" s="6" t="s">
        <v>15</v>
      </c>
      <c r="B559" s="4" t="str">
        <f t="shared" si="48"/>
        <v>Vu</v>
      </c>
      <c r="C559" s="6" t="s">
        <v>32</v>
      </c>
      <c r="D559" s="6">
        <v>75</v>
      </c>
      <c r="E559" s="6">
        <v>84999</v>
      </c>
      <c r="F559" s="6">
        <v>130000</v>
      </c>
      <c r="G559" s="6" t="s">
        <v>60</v>
      </c>
      <c r="H559" s="6">
        <v>4.0999999999999996</v>
      </c>
      <c r="I559" s="6">
        <f t="shared" si="49"/>
        <v>45001</v>
      </c>
      <c r="J559">
        <f t="shared" si="50"/>
        <v>0.34616153846153846</v>
      </c>
      <c r="K559" s="6">
        <f t="shared" si="51"/>
        <v>-45001</v>
      </c>
      <c r="L559" s="7">
        <f t="shared" si="52"/>
        <v>-0.52942975799715286</v>
      </c>
      <c r="M559" s="6" t="str">
        <f t="shared" si="53"/>
        <v>Medium Ratings</v>
      </c>
      <c r="N559" s="34">
        <f t="array" ref="N559">MEDIAN(_xlfn._xlws.FILTER(Table4[Original Price],Table4[Brand-Renamed] = Table4[[#This Row],[Brand]]))</f>
        <v>49990</v>
      </c>
      <c r="O559" s="35">
        <f t="array" ref="O559">MEDIAN(_xlfn._xlws.FILTER(Table4[Selling Price],Table4[Brand-Renamed] =Table4[[#This Row],[Brand-Renamed]]))</f>
        <v>30999</v>
      </c>
    </row>
    <row r="560" spans="1:15" ht="13.8" x14ac:dyDescent="0.25">
      <c r="A560" s="4" t="s">
        <v>84</v>
      </c>
      <c r="B560" s="4" t="str">
        <f t="shared" si="48"/>
        <v>Skyworth</v>
      </c>
      <c r="C560" s="4" t="s">
        <v>19</v>
      </c>
      <c r="D560" s="4">
        <v>24</v>
      </c>
      <c r="E560" s="4">
        <v>8659</v>
      </c>
      <c r="F560" s="4">
        <v>12490</v>
      </c>
      <c r="G560" s="4"/>
      <c r="H560" s="4">
        <v>3</v>
      </c>
      <c r="I560" s="4">
        <f t="shared" si="49"/>
        <v>3831</v>
      </c>
      <c r="J560">
        <f t="shared" si="50"/>
        <v>0.3067253803042434</v>
      </c>
      <c r="K560" s="4">
        <f t="shared" si="51"/>
        <v>-3831</v>
      </c>
      <c r="L560" s="5">
        <f t="shared" si="52"/>
        <v>-0.44242984178311584</v>
      </c>
      <c r="M560" s="4" t="str">
        <f t="shared" si="53"/>
        <v>Bad Ratings</v>
      </c>
      <c r="N560" s="34">
        <f t="array" ref="N560">MEDIAN(_xlfn._xlws.FILTER(Table4[Original Price],Table4[Brand-Renamed] = Table4[[#This Row],[Brand]]))</f>
        <v>12490</v>
      </c>
      <c r="O560" s="35">
        <f t="array" ref="O560">MEDIAN(_xlfn._xlws.FILTER(Table4[Selling Price],Table4[Brand-Renamed] =Table4[[#This Row],[Brand-Renamed]]))</f>
        <v>8659</v>
      </c>
    </row>
    <row r="561" spans="1:15" ht="13.8" x14ac:dyDescent="0.25">
      <c r="A561" s="6" t="s">
        <v>69</v>
      </c>
      <c r="B561" s="4" t="str">
        <f t="shared" si="48"/>
        <v xml:space="preserve">Maser </v>
      </c>
      <c r="C561" s="6" t="s">
        <v>19</v>
      </c>
      <c r="D561" s="6">
        <v>24</v>
      </c>
      <c r="E561" s="6">
        <v>7499</v>
      </c>
      <c r="F561" s="6">
        <v>7999</v>
      </c>
      <c r="G561" s="6"/>
      <c r="H561" s="6">
        <v>3.8</v>
      </c>
      <c r="I561" s="6">
        <f t="shared" si="49"/>
        <v>500</v>
      </c>
      <c r="J561">
        <f t="shared" si="50"/>
        <v>6.250781347668459E-2</v>
      </c>
      <c r="K561" s="6">
        <f t="shared" si="51"/>
        <v>-500</v>
      </c>
      <c r="L561" s="7">
        <f t="shared" si="52"/>
        <v>-6.6675556740898784E-2</v>
      </c>
      <c r="M561" s="6" t="str">
        <f t="shared" si="53"/>
        <v>Medium Ratings</v>
      </c>
      <c r="N561" s="34">
        <f t="array" ref="N561">MEDIAN(_xlfn._xlws.FILTER(Table4[Original Price],Table4[Brand-Renamed] = Table4[[#This Row],[Brand]]))</f>
        <v>7999</v>
      </c>
      <c r="O561" s="35">
        <f t="array" ref="O561">MEDIAN(_xlfn._xlws.FILTER(Table4[Selling Price],Table4[Brand-Renamed] =Table4[[#This Row],[Brand-Renamed]]))</f>
        <v>7499</v>
      </c>
    </row>
    <row r="562" spans="1:15" ht="13.8" x14ac:dyDescent="0.25">
      <c r="A562" s="4" t="s">
        <v>132</v>
      </c>
      <c r="B562" s="4" t="str">
        <f t="shared" si="48"/>
        <v xml:space="preserve">Impex </v>
      </c>
      <c r="C562" s="4" t="s">
        <v>8</v>
      </c>
      <c r="D562" s="4">
        <v>43</v>
      </c>
      <c r="E562" s="4">
        <v>36379</v>
      </c>
      <c r="F562" s="4">
        <v>52990</v>
      </c>
      <c r="G562" s="4" t="s">
        <v>62</v>
      </c>
      <c r="H562" s="4">
        <v>4</v>
      </c>
      <c r="I562" s="4">
        <f t="shared" si="49"/>
        <v>16611</v>
      </c>
      <c r="J562">
        <f t="shared" si="50"/>
        <v>0.31347424042272126</v>
      </c>
      <c r="K562" s="4">
        <f t="shared" si="51"/>
        <v>-16611</v>
      </c>
      <c r="L562" s="5">
        <f t="shared" si="52"/>
        <v>-0.45660958245141425</v>
      </c>
      <c r="M562" s="4" t="str">
        <f t="shared" si="53"/>
        <v>Medium Ratings</v>
      </c>
      <c r="N562" s="34">
        <f t="array" ref="N562">MEDIAN(_xlfn._xlws.FILTER(Table4[Original Price],Table4[Brand-Renamed] = Table4[[#This Row],[Brand]]))</f>
        <v>32039</v>
      </c>
      <c r="O562" s="35">
        <f t="array" ref="O562">MEDIAN(_xlfn._xlws.FILTER(Table4[Selling Price],Table4[Brand-Renamed] =Table4[[#This Row],[Brand-Renamed]]))</f>
        <v>28690</v>
      </c>
    </row>
    <row r="563" spans="1:15" ht="13.8" x14ac:dyDescent="0.25">
      <c r="A563" s="6" t="s">
        <v>125</v>
      </c>
      <c r="B563" s="4" t="str">
        <f t="shared" si="48"/>
        <v>Samsung</v>
      </c>
      <c r="C563" s="6" t="s">
        <v>19</v>
      </c>
      <c r="D563" s="6">
        <v>32</v>
      </c>
      <c r="E563" s="6">
        <v>15210</v>
      </c>
      <c r="F563" s="6">
        <v>27900</v>
      </c>
      <c r="G563" s="6" t="s">
        <v>56</v>
      </c>
      <c r="H563" s="6">
        <v>4.3</v>
      </c>
      <c r="I563" s="6">
        <f t="shared" si="49"/>
        <v>12690</v>
      </c>
      <c r="J563">
        <f t="shared" si="50"/>
        <v>0.45483870967741935</v>
      </c>
      <c r="K563" s="6">
        <f t="shared" si="51"/>
        <v>-12690</v>
      </c>
      <c r="L563" s="7">
        <f t="shared" si="52"/>
        <v>-0.83431952662721898</v>
      </c>
      <c r="M563" s="6" t="str">
        <f t="shared" si="53"/>
        <v>Medium Ratings</v>
      </c>
      <c r="N563" s="34">
        <f t="array" ref="N563">MEDIAN(_xlfn._xlws.FILTER(Table4[Original Price],Table4[Brand-Renamed] = Table4[[#This Row],[Brand]]))</f>
        <v>100945</v>
      </c>
      <c r="O563" s="35">
        <f t="array" ref="O563">MEDIAN(_xlfn._xlws.FILTER(Table4[Selling Price],Table4[Brand-Renamed] =Table4[[#This Row],[Brand-Renamed]]))</f>
        <v>74490</v>
      </c>
    </row>
    <row r="564" spans="1:15" ht="13.8" x14ac:dyDescent="0.25">
      <c r="A564" s="4" t="s">
        <v>119</v>
      </c>
      <c r="B564" s="4" t="str">
        <f t="shared" si="48"/>
        <v xml:space="preserve">Tcl </v>
      </c>
      <c r="C564" s="4" t="s">
        <v>19</v>
      </c>
      <c r="D564" s="4">
        <v>24</v>
      </c>
      <c r="E564" s="4">
        <v>7499</v>
      </c>
      <c r="F564" s="4">
        <v>11990</v>
      </c>
      <c r="G564" s="4" t="s">
        <v>62</v>
      </c>
      <c r="H564" s="4">
        <v>4</v>
      </c>
      <c r="I564" s="4">
        <f t="shared" si="49"/>
        <v>4491</v>
      </c>
      <c r="J564">
        <f t="shared" si="50"/>
        <v>0.37456213511259384</v>
      </c>
      <c r="K564" s="4">
        <f t="shared" si="51"/>
        <v>-4491</v>
      </c>
      <c r="L564" s="5">
        <f t="shared" si="52"/>
        <v>-0.59887985064675286</v>
      </c>
      <c r="M564" s="4" t="str">
        <f t="shared" si="53"/>
        <v>Medium Ratings</v>
      </c>
      <c r="N564" s="34">
        <f t="array" ref="N564">MEDIAN(_xlfn._xlws.FILTER(Table4[Original Price],Table4[Brand-Renamed] = Table4[[#This Row],[Brand]]))</f>
        <v>77990</v>
      </c>
      <c r="O564" s="35">
        <f t="array" ref="O564">MEDIAN(_xlfn._xlws.FILTER(Table4[Selling Price],Table4[Brand-Renamed] =Table4[[#This Row],[Brand-Renamed]]))</f>
        <v>40999</v>
      </c>
    </row>
    <row r="565" spans="1:15" ht="13.8" x14ac:dyDescent="0.25">
      <c r="A565" s="6" t="s">
        <v>129</v>
      </c>
      <c r="B565" s="4" t="str">
        <f t="shared" si="48"/>
        <v>Philips</v>
      </c>
      <c r="C565" s="6" t="s">
        <v>8</v>
      </c>
      <c r="D565" s="6">
        <v>42</v>
      </c>
      <c r="E565" s="6">
        <v>42000</v>
      </c>
      <c r="F565" s="6">
        <v>42000</v>
      </c>
      <c r="G565" s="6" t="s">
        <v>54</v>
      </c>
      <c r="H565" s="6">
        <v>3.8</v>
      </c>
      <c r="I565" s="6">
        <f t="shared" si="49"/>
        <v>0</v>
      </c>
      <c r="J565" t="str">
        <f t="shared" si="50"/>
        <v>Discount Not Applied</v>
      </c>
      <c r="K565" s="6">
        <f t="shared" si="51"/>
        <v>0</v>
      </c>
      <c r="L565" s="7">
        <f t="shared" si="52"/>
        <v>0</v>
      </c>
      <c r="M565" s="6" t="str">
        <f t="shared" si="53"/>
        <v>Medium Ratings</v>
      </c>
      <c r="N565" s="34">
        <f t="array" ref="N565">MEDIAN(_xlfn._xlws.FILTER(Table4[Original Price],Table4[Brand-Renamed] = Table4[[#This Row],[Brand]]))</f>
        <v>44990</v>
      </c>
      <c r="O565" s="35">
        <f t="array" ref="O565">MEDIAN(_xlfn._xlws.FILTER(Table4[Selling Price],Table4[Brand-Renamed] =Table4[[#This Row],[Brand-Renamed]]))</f>
        <v>33459</v>
      </c>
    </row>
    <row r="566" spans="1:15" ht="13.8" x14ac:dyDescent="0.25">
      <c r="A566" s="4" t="s">
        <v>21</v>
      </c>
      <c r="B566" s="4" t="str">
        <f t="shared" si="48"/>
        <v>Micromax</v>
      </c>
      <c r="C566" s="4" t="s">
        <v>19</v>
      </c>
      <c r="D566" s="4">
        <v>32</v>
      </c>
      <c r="E566" s="4">
        <v>14999</v>
      </c>
      <c r="F566" s="4">
        <v>27990</v>
      </c>
      <c r="G566" s="4" t="s">
        <v>54</v>
      </c>
      <c r="H566" s="4">
        <v>4.0999999999999996</v>
      </c>
      <c r="I566" s="4">
        <f t="shared" si="49"/>
        <v>12991</v>
      </c>
      <c r="J566">
        <f t="shared" si="50"/>
        <v>0.46413004644515898</v>
      </c>
      <c r="K566" s="4">
        <f t="shared" si="51"/>
        <v>-12991</v>
      </c>
      <c r="L566" s="5">
        <f t="shared" si="52"/>
        <v>-0.86612440829388626</v>
      </c>
      <c r="M566" s="4" t="str">
        <f t="shared" si="53"/>
        <v>Medium Ratings</v>
      </c>
      <c r="N566" s="34">
        <f t="array" ref="N566">MEDIAN(_xlfn._xlws.FILTER(Table4[Original Price],Table4[Brand-Renamed] = Table4[[#This Row],[Brand]]))</f>
        <v>24990</v>
      </c>
      <c r="O566" s="35">
        <f t="array" ref="O566">MEDIAN(_xlfn._xlws.FILTER(Table4[Selling Price],Table4[Brand-Renamed] =Table4[[#This Row],[Brand-Renamed]]))</f>
        <v>16825</v>
      </c>
    </row>
    <row r="567" spans="1:15" ht="13.8" x14ac:dyDescent="0.25">
      <c r="A567" s="6" t="s">
        <v>82</v>
      </c>
      <c r="B567" s="4" t="str">
        <f t="shared" si="48"/>
        <v xml:space="preserve">Sanyo </v>
      </c>
      <c r="C567" s="6" t="s">
        <v>32</v>
      </c>
      <c r="D567" s="6">
        <v>55</v>
      </c>
      <c r="E567" s="6">
        <v>50999</v>
      </c>
      <c r="F567" s="6">
        <v>76990</v>
      </c>
      <c r="G567" s="6" t="s">
        <v>60</v>
      </c>
      <c r="H567" s="6">
        <v>4.5</v>
      </c>
      <c r="I567" s="6">
        <f t="shared" si="49"/>
        <v>25991</v>
      </c>
      <c r="J567">
        <f t="shared" si="50"/>
        <v>0.33758929731133913</v>
      </c>
      <c r="K567" s="6">
        <f t="shared" si="51"/>
        <v>-25991</v>
      </c>
      <c r="L567" s="7">
        <f t="shared" si="52"/>
        <v>-0.50963744387144849</v>
      </c>
      <c r="M567" s="6" t="str">
        <f t="shared" si="53"/>
        <v>Good Ratings</v>
      </c>
      <c r="N567" s="34">
        <f t="array" ref="N567">MEDIAN(_xlfn._xlws.FILTER(Table4[Original Price],Table4[Brand-Renamed] = Table4[[#This Row],[Brand]]))</f>
        <v>70990</v>
      </c>
      <c r="O567" s="35">
        <f t="array" ref="O567">MEDIAN(_xlfn._xlws.FILTER(Table4[Selling Price],Table4[Brand-Renamed] =Table4[[#This Row],[Brand-Renamed]]))</f>
        <v>45499</v>
      </c>
    </row>
    <row r="568" spans="1:15" ht="13.8" x14ac:dyDescent="0.25">
      <c r="A568" s="4" t="s">
        <v>126</v>
      </c>
      <c r="B568" s="4" t="str">
        <f t="shared" si="48"/>
        <v xml:space="preserve">Sony </v>
      </c>
      <c r="C568" s="4" t="s">
        <v>32</v>
      </c>
      <c r="D568" s="4">
        <v>55</v>
      </c>
      <c r="E568" s="4">
        <v>134993</v>
      </c>
      <c r="F568" s="4">
        <v>299900</v>
      </c>
      <c r="G568" s="4" t="s">
        <v>60</v>
      </c>
      <c r="H568" s="4"/>
      <c r="I568" s="4">
        <f t="shared" si="49"/>
        <v>164907</v>
      </c>
      <c r="J568">
        <f t="shared" si="50"/>
        <v>0.54987329109703231</v>
      </c>
      <c r="K568" s="4">
        <f t="shared" si="51"/>
        <v>-164907</v>
      </c>
      <c r="L568" s="5">
        <f t="shared" si="52"/>
        <v>-1.221596675383168</v>
      </c>
      <c r="M568" s="4" t="str">
        <f t="shared" si="53"/>
        <v>Ratings Not Given</v>
      </c>
      <c r="N568" s="34">
        <f t="array" ref="N568">MEDIAN(_xlfn._xlws.FILTER(Table4[Original Price],Table4[Brand-Renamed] = Table4[[#This Row],[Brand]]))</f>
        <v>87400</v>
      </c>
      <c r="O568" s="35">
        <f t="array" ref="O568">MEDIAN(_xlfn._xlws.FILTER(Table4[Selling Price],Table4[Brand-Renamed] =Table4[[#This Row],[Brand-Renamed]]))</f>
        <v>64294.5</v>
      </c>
    </row>
    <row r="569" spans="1:15" ht="13.8" x14ac:dyDescent="0.25">
      <c r="A569" s="6" t="s">
        <v>126</v>
      </c>
      <c r="B569" s="4" t="str">
        <f t="shared" si="48"/>
        <v xml:space="preserve">Sony </v>
      </c>
      <c r="C569" s="6" t="s">
        <v>19</v>
      </c>
      <c r="D569" s="6">
        <v>32</v>
      </c>
      <c r="E569" s="6">
        <v>22999</v>
      </c>
      <c r="F569" s="6">
        <v>27990</v>
      </c>
      <c r="G569" s="6" t="s">
        <v>60</v>
      </c>
      <c r="H569" s="6">
        <v>4.4000000000000004</v>
      </c>
      <c r="I569" s="6">
        <f t="shared" si="49"/>
        <v>4991</v>
      </c>
      <c r="J569">
        <f t="shared" si="50"/>
        <v>0.178313683458378</v>
      </c>
      <c r="K569" s="6">
        <f t="shared" si="51"/>
        <v>-4991</v>
      </c>
      <c r="L569" s="7">
        <f t="shared" si="52"/>
        <v>-0.21700943519283447</v>
      </c>
      <c r="M569" s="6" t="str">
        <f t="shared" si="53"/>
        <v>Medium Ratings</v>
      </c>
      <c r="N569" s="34">
        <f t="array" ref="N569">MEDIAN(_xlfn._xlws.FILTER(Table4[Original Price],Table4[Brand-Renamed] = Table4[[#This Row],[Brand]]))</f>
        <v>87400</v>
      </c>
      <c r="O569" s="35">
        <f t="array" ref="O569">MEDIAN(_xlfn._xlws.FILTER(Table4[Selling Price],Table4[Brand-Renamed] =Table4[[#This Row],[Brand-Renamed]]))</f>
        <v>64294.5</v>
      </c>
    </row>
    <row r="570" spans="1:15" ht="13.8" x14ac:dyDescent="0.25">
      <c r="A570" s="4" t="s">
        <v>21</v>
      </c>
      <c r="B570" s="4" t="str">
        <f t="shared" si="48"/>
        <v>Micromax</v>
      </c>
      <c r="C570" s="4" t="s">
        <v>19</v>
      </c>
      <c r="D570" s="4">
        <v>20</v>
      </c>
      <c r="E570" s="4">
        <v>6498</v>
      </c>
      <c r="F570" s="4">
        <v>10590</v>
      </c>
      <c r="G570" s="4" t="s">
        <v>54</v>
      </c>
      <c r="H570" s="4">
        <v>4.2</v>
      </c>
      <c r="I570" s="4">
        <f t="shared" si="49"/>
        <v>4092</v>
      </c>
      <c r="J570">
        <f t="shared" si="50"/>
        <v>0.38640226628895186</v>
      </c>
      <c r="K570" s="4">
        <f t="shared" si="51"/>
        <v>-4092</v>
      </c>
      <c r="L570" s="5">
        <f t="shared" si="52"/>
        <v>-0.62973222530009232</v>
      </c>
      <c r="M570" s="4" t="str">
        <f t="shared" si="53"/>
        <v>Medium Ratings</v>
      </c>
      <c r="N570" s="34">
        <f t="array" ref="N570">MEDIAN(_xlfn._xlws.FILTER(Table4[Original Price],Table4[Brand-Renamed] = Table4[[#This Row],[Brand]]))</f>
        <v>24990</v>
      </c>
      <c r="O570" s="35">
        <f t="array" ref="O570">MEDIAN(_xlfn._xlws.FILTER(Table4[Selling Price],Table4[Brand-Renamed] =Table4[[#This Row],[Brand-Renamed]]))</f>
        <v>16825</v>
      </c>
    </row>
    <row r="571" spans="1:15" ht="13.8" x14ac:dyDescent="0.25">
      <c r="A571" s="6" t="s">
        <v>126</v>
      </c>
      <c r="B571" s="4" t="str">
        <f t="shared" si="48"/>
        <v xml:space="preserve">Sony </v>
      </c>
      <c r="C571" s="6" t="s">
        <v>32</v>
      </c>
      <c r="D571" s="6">
        <v>55</v>
      </c>
      <c r="E571" s="6">
        <v>82493</v>
      </c>
      <c r="F571" s="6">
        <v>129900</v>
      </c>
      <c r="G571" s="6" t="s">
        <v>54</v>
      </c>
      <c r="H571" s="6">
        <v>4.8</v>
      </c>
      <c r="I571" s="6">
        <f t="shared" si="49"/>
        <v>47407</v>
      </c>
      <c r="J571">
        <f t="shared" si="50"/>
        <v>0.36494996150885295</v>
      </c>
      <c r="K571" s="6">
        <f t="shared" si="51"/>
        <v>-47407</v>
      </c>
      <c r="L571" s="7">
        <f t="shared" si="52"/>
        <v>-0.57467906367813026</v>
      </c>
      <c r="M571" s="6" t="str">
        <f t="shared" si="53"/>
        <v>Good Ratings</v>
      </c>
      <c r="N571" s="34">
        <f t="array" ref="N571">MEDIAN(_xlfn._xlws.FILTER(Table4[Original Price],Table4[Brand-Renamed] = Table4[[#This Row],[Brand]]))</f>
        <v>87400</v>
      </c>
      <c r="O571" s="35">
        <f t="array" ref="O571">MEDIAN(_xlfn._xlws.FILTER(Table4[Selling Price],Table4[Brand-Renamed] =Table4[[#This Row],[Brand-Renamed]]))</f>
        <v>64294.5</v>
      </c>
    </row>
    <row r="572" spans="1:15" ht="13.8" x14ac:dyDescent="0.25">
      <c r="A572" s="4" t="s">
        <v>122</v>
      </c>
      <c r="B572" s="4" t="str">
        <f t="shared" si="48"/>
        <v xml:space="preserve">Lg </v>
      </c>
      <c r="C572" s="4" t="s">
        <v>19</v>
      </c>
      <c r="D572" s="4">
        <v>32</v>
      </c>
      <c r="E572" s="4">
        <v>28311</v>
      </c>
      <c r="F572" s="4">
        <v>30900</v>
      </c>
      <c r="G572" s="4" t="s">
        <v>58</v>
      </c>
      <c r="H572" s="4">
        <v>3.7</v>
      </c>
      <c r="I572" s="4">
        <f t="shared" si="49"/>
        <v>2589</v>
      </c>
      <c r="J572">
        <f t="shared" si="50"/>
        <v>8.3786407766990298E-2</v>
      </c>
      <c r="K572" s="4">
        <f t="shared" si="51"/>
        <v>-2589</v>
      </c>
      <c r="L572" s="5">
        <f t="shared" si="52"/>
        <v>-9.1448553565751822E-2</v>
      </c>
      <c r="M572" s="4" t="str">
        <f t="shared" si="53"/>
        <v>Bad Ratings</v>
      </c>
      <c r="N572" s="34">
        <f t="array" ref="N572">MEDIAN(_xlfn._xlws.FILTER(Table4[Original Price],Table4[Brand-Renamed] = Table4[[#This Row],[Brand]]))</f>
        <v>98990</v>
      </c>
      <c r="O572" s="35">
        <f t="array" ref="O572">MEDIAN(_xlfn._xlws.FILTER(Table4[Selling Price],Table4[Brand-Renamed] =Table4[[#This Row],[Brand-Renamed]]))</f>
        <v>76737</v>
      </c>
    </row>
    <row r="573" spans="1:15" ht="13.8" x14ac:dyDescent="0.25">
      <c r="A573" s="6" t="s">
        <v>15</v>
      </c>
      <c r="B573" s="4" t="str">
        <f t="shared" si="48"/>
        <v>Vu</v>
      </c>
      <c r="C573" s="6" t="s">
        <v>19</v>
      </c>
      <c r="D573" s="6">
        <v>32</v>
      </c>
      <c r="E573" s="6">
        <v>13999</v>
      </c>
      <c r="F573" s="6">
        <v>19000</v>
      </c>
      <c r="G573" s="6" t="s">
        <v>54</v>
      </c>
      <c r="H573" s="6">
        <v>4.3</v>
      </c>
      <c r="I573" s="6">
        <f t="shared" si="49"/>
        <v>5001</v>
      </c>
      <c r="J573">
        <f t="shared" si="50"/>
        <v>0.26321052631578945</v>
      </c>
      <c r="K573" s="6">
        <f t="shared" si="51"/>
        <v>-5001</v>
      </c>
      <c r="L573" s="7">
        <f t="shared" si="52"/>
        <v>-0.35723980284306023</v>
      </c>
      <c r="M573" s="6" t="str">
        <f t="shared" si="53"/>
        <v>Medium Ratings</v>
      </c>
      <c r="N573" s="34">
        <f t="array" ref="N573">MEDIAN(_xlfn._xlws.FILTER(Table4[Original Price],Table4[Brand-Renamed] = Table4[[#This Row],[Brand]]))</f>
        <v>49990</v>
      </c>
      <c r="O573" s="35">
        <f t="array" ref="O573">MEDIAN(_xlfn._xlws.FILTER(Table4[Selling Price],Table4[Brand-Renamed] =Table4[[#This Row],[Brand-Renamed]]))</f>
        <v>30999</v>
      </c>
    </row>
    <row r="574" spans="1:15" ht="13.8" x14ac:dyDescent="0.25">
      <c r="A574" s="4" t="s">
        <v>126</v>
      </c>
      <c r="B574" s="4" t="str">
        <f t="shared" si="48"/>
        <v xml:space="preserve">Sony </v>
      </c>
      <c r="C574" s="4" t="s">
        <v>32</v>
      </c>
      <c r="D574" s="4">
        <v>49</v>
      </c>
      <c r="E574" s="4">
        <v>66104</v>
      </c>
      <c r="F574" s="4">
        <v>129900</v>
      </c>
      <c r="G574" s="4" t="s">
        <v>54</v>
      </c>
      <c r="H574" s="4">
        <v>4.4000000000000004</v>
      </c>
      <c r="I574" s="4">
        <f t="shared" si="49"/>
        <v>63796</v>
      </c>
      <c r="J574">
        <f t="shared" si="50"/>
        <v>0.49111624326404929</v>
      </c>
      <c r="K574" s="4">
        <f t="shared" si="51"/>
        <v>-63796</v>
      </c>
      <c r="L574" s="5">
        <f t="shared" si="52"/>
        <v>-0.96508532010165804</v>
      </c>
      <c r="M574" s="4" t="str">
        <f t="shared" si="53"/>
        <v>Medium Ratings</v>
      </c>
      <c r="N574" s="34">
        <f t="array" ref="N574">MEDIAN(_xlfn._xlws.FILTER(Table4[Original Price],Table4[Brand-Renamed] = Table4[[#This Row],[Brand]]))</f>
        <v>87400</v>
      </c>
      <c r="O574" s="35">
        <f t="array" ref="O574">MEDIAN(_xlfn._xlws.FILTER(Table4[Selling Price],Table4[Brand-Renamed] =Table4[[#This Row],[Brand-Renamed]]))</f>
        <v>64294.5</v>
      </c>
    </row>
    <row r="575" spans="1:15" ht="13.8" x14ac:dyDescent="0.25">
      <c r="A575" s="6" t="s">
        <v>125</v>
      </c>
      <c r="B575" s="4" t="str">
        <f t="shared" si="48"/>
        <v>Samsung</v>
      </c>
      <c r="C575" s="6" t="s">
        <v>32</v>
      </c>
      <c r="D575" s="6">
        <v>43</v>
      </c>
      <c r="E575" s="6">
        <v>35999</v>
      </c>
      <c r="F575" s="6">
        <v>52900</v>
      </c>
      <c r="G575" s="6" t="s">
        <v>56</v>
      </c>
      <c r="H575" s="6">
        <v>4.5</v>
      </c>
      <c r="I575" s="6">
        <f t="shared" si="49"/>
        <v>16901</v>
      </c>
      <c r="J575">
        <f t="shared" si="50"/>
        <v>0.31948960302457469</v>
      </c>
      <c r="K575" s="6">
        <f t="shared" si="51"/>
        <v>-16901</v>
      </c>
      <c r="L575" s="7">
        <f t="shared" si="52"/>
        <v>-0.46948526347954112</v>
      </c>
      <c r="M575" s="6" t="str">
        <f t="shared" si="53"/>
        <v>Good Ratings</v>
      </c>
      <c r="N575" s="34">
        <f t="array" ref="N575">MEDIAN(_xlfn._xlws.FILTER(Table4[Original Price],Table4[Brand-Renamed] = Table4[[#This Row],[Brand]]))</f>
        <v>100945</v>
      </c>
      <c r="O575" s="35">
        <f t="array" ref="O575">MEDIAN(_xlfn._xlws.FILTER(Table4[Selling Price],Table4[Brand-Renamed] =Table4[[#This Row],[Brand-Renamed]]))</f>
        <v>74490</v>
      </c>
    </row>
    <row r="576" spans="1:15" ht="13.8" x14ac:dyDescent="0.25">
      <c r="A576" s="4" t="s">
        <v>13</v>
      </c>
      <c r="B576" s="4" t="str">
        <f t="shared" si="48"/>
        <v>Panasonic</v>
      </c>
      <c r="C576" s="4" t="s">
        <v>8</v>
      </c>
      <c r="D576" s="4">
        <v>43</v>
      </c>
      <c r="E576" s="4">
        <v>36999</v>
      </c>
      <c r="F576" s="4">
        <v>49900</v>
      </c>
      <c r="G576" s="4" t="s">
        <v>54</v>
      </c>
      <c r="H576" s="4">
        <v>4.4000000000000004</v>
      </c>
      <c r="I576" s="4">
        <f t="shared" si="49"/>
        <v>12901</v>
      </c>
      <c r="J576">
        <f t="shared" si="50"/>
        <v>0.25853707414829658</v>
      </c>
      <c r="K576" s="4">
        <f t="shared" si="51"/>
        <v>-12901</v>
      </c>
      <c r="L576" s="5">
        <f t="shared" si="52"/>
        <v>-0.34868509959728644</v>
      </c>
      <c r="M576" s="4" t="str">
        <f t="shared" si="53"/>
        <v>Medium Ratings</v>
      </c>
      <c r="N576" s="34">
        <f t="array" ref="N576">MEDIAN(_xlfn._xlws.FILTER(Table4[Original Price],Table4[Brand-Renamed] = Table4[[#This Row],[Brand]]))</f>
        <v>64195</v>
      </c>
      <c r="O576" s="35">
        <f t="array" ref="O576">MEDIAN(_xlfn._xlws.FILTER(Table4[Selling Price],Table4[Brand-Renamed] =Table4[[#This Row],[Brand-Renamed]]))</f>
        <v>43129</v>
      </c>
    </row>
    <row r="577" spans="1:15" ht="13.8" x14ac:dyDescent="0.25">
      <c r="A577" s="6" t="s">
        <v>122</v>
      </c>
      <c r="B577" s="4" t="str">
        <f t="shared" si="48"/>
        <v xml:space="preserve">Lg </v>
      </c>
      <c r="C577" s="6" t="s">
        <v>32</v>
      </c>
      <c r="D577" s="6">
        <v>50</v>
      </c>
      <c r="E577" s="6">
        <v>44990</v>
      </c>
      <c r="F577" s="6">
        <v>66990</v>
      </c>
      <c r="G577" s="6" t="s">
        <v>58</v>
      </c>
      <c r="H577" s="6">
        <v>4.4000000000000004</v>
      </c>
      <c r="I577" s="6">
        <f t="shared" si="49"/>
        <v>22000</v>
      </c>
      <c r="J577">
        <f t="shared" si="50"/>
        <v>0.32840722495894908</v>
      </c>
      <c r="K577" s="6">
        <f t="shared" si="51"/>
        <v>-22000</v>
      </c>
      <c r="L577" s="7">
        <f t="shared" si="52"/>
        <v>-0.48899755501222492</v>
      </c>
      <c r="M577" s="6" t="str">
        <f t="shared" si="53"/>
        <v>Medium Ratings</v>
      </c>
      <c r="N577" s="34">
        <f t="array" ref="N577">MEDIAN(_xlfn._xlws.FILTER(Table4[Original Price],Table4[Brand-Renamed] = Table4[[#This Row],[Brand]]))</f>
        <v>98990</v>
      </c>
      <c r="O577" s="35">
        <f t="array" ref="O577">MEDIAN(_xlfn._xlws.FILTER(Table4[Selling Price],Table4[Brand-Renamed] =Table4[[#This Row],[Brand-Renamed]]))</f>
        <v>76737</v>
      </c>
    </row>
    <row r="578" spans="1:15" ht="13.8" x14ac:dyDescent="0.25">
      <c r="A578" s="4" t="s">
        <v>122</v>
      </c>
      <c r="B578" s="4" t="str">
        <f t="shared" ref="B578:B641" si="54">PROPER(A578)</f>
        <v xml:space="preserve">Lg </v>
      </c>
      <c r="C578" s="4" t="s">
        <v>19</v>
      </c>
      <c r="D578" s="4">
        <v>24</v>
      </c>
      <c r="E578" s="4">
        <v>14771</v>
      </c>
      <c r="F578" s="4">
        <v>15900</v>
      </c>
      <c r="G578" s="4" t="s">
        <v>60</v>
      </c>
      <c r="H578" s="4">
        <v>4.4000000000000004</v>
      </c>
      <c r="I578" s="4">
        <f t="shared" ref="I578:I641" si="55">F578-E578</f>
        <v>1129</v>
      </c>
      <c r="J578">
        <f t="shared" ref="J578:J641" si="56">IF((F578-E578)/F578 = 0, "Discount Not Applied", (F578-E578)/F578)</f>
        <v>7.1006289308176096E-2</v>
      </c>
      <c r="K578" s="4">
        <f t="shared" ref="K578:K641" si="57">E578-F578</f>
        <v>-1129</v>
      </c>
      <c r="L578" s="5">
        <f t="shared" ref="L578:L641" si="58">(E578-F578)/E578</f>
        <v>-7.643355223072236E-2</v>
      </c>
      <c r="M578" s="4" t="str">
        <f t="shared" ref="M578:M641" si="59">IF(ISBLANK(H578),"Ratings Not Given",IF(H578&gt;=4.5,"Good Ratings",IF(H578&lt;=3.7,"Bad Ratings","Medium Ratings")))</f>
        <v>Medium Ratings</v>
      </c>
      <c r="N578" s="34">
        <f t="array" ref="N578">MEDIAN(_xlfn._xlws.FILTER(Table4[Original Price],Table4[Brand-Renamed] = Table4[[#This Row],[Brand]]))</f>
        <v>98990</v>
      </c>
      <c r="O578" s="35">
        <f t="array" ref="O578">MEDIAN(_xlfn._xlws.FILTER(Table4[Selling Price],Table4[Brand-Renamed] =Table4[[#This Row],[Brand-Renamed]]))</f>
        <v>76737</v>
      </c>
    </row>
    <row r="579" spans="1:15" ht="13.8" x14ac:dyDescent="0.25">
      <c r="A579" s="6" t="s">
        <v>21</v>
      </c>
      <c r="B579" s="4" t="str">
        <f t="shared" si="54"/>
        <v>Micromax</v>
      </c>
      <c r="C579" s="6" t="s">
        <v>19</v>
      </c>
      <c r="D579" s="6">
        <v>32</v>
      </c>
      <c r="E579" s="6">
        <v>10499</v>
      </c>
      <c r="F579" s="6">
        <v>19990</v>
      </c>
      <c r="G579" s="6" t="s">
        <v>54</v>
      </c>
      <c r="H579" s="6">
        <v>4.3</v>
      </c>
      <c r="I579" s="6">
        <f t="shared" si="55"/>
        <v>9491</v>
      </c>
      <c r="J579">
        <f t="shared" si="56"/>
        <v>0.47478739369684841</v>
      </c>
      <c r="K579" s="6">
        <f t="shared" si="57"/>
        <v>-9491</v>
      </c>
      <c r="L579" s="7">
        <f t="shared" si="58"/>
        <v>-0.90399085627202591</v>
      </c>
      <c r="M579" s="6" t="str">
        <f t="shared" si="59"/>
        <v>Medium Ratings</v>
      </c>
      <c r="N579" s="34">
        <f t="array" ref="N579">MEDIAN(_xlfn._xlws.FILTER(Table4[Original Price],Table4[Brand-Renamed] = Table4[[#This Row],[Brand]]))</f>
        <v>24990</v>
      </c>
      <c r="O579" s="35">
        <f t="array" ref="O579">MEDIAN(_xlfn._xlws.FILTER(Table4[Selling Price],Table4[Brand-Renamed] =Table4[[#This Row],[Brand-Renamed]]))</f>
        <v>16825</v>
      </c>
    </row>
    <row r="580" spans="1:15" ht="13.8" x14ac:dyDescent="0.25">
      <c r="A580" s="4" t="s">
        <v>125</v>
      </c>
      <c r="B580" s="4" t="str">
        <f t="shared" si="54"/>
        <v>Samsung</v>
      </c>
      <c r="C580" s="4" t="s">
        <v>19</v>
      </c>
      <c r="D580" s="4">
        <v>32</v>
      </c>
      <c r="E580" s="4">
        <v>17499</v>
      </c>
      <c r="F580" s="4">
        <v>20900</v>
      </c>
      <c r="G580" s="4" t="s">
        <v>56</v>
      </c>
      <c r="H580" s="4">
        <v>4.3</v>
      </c>
      <c r="I580" s="4">
        <f t="shared" si="55"/>
        <v>3401</v>
      </c>
      <c r="J580">
        <f t="shared" si="56"/>
        <v>0.16272727272727272</v>
      </c>
      <c r="K580" s="4">
        <f t="shared" si="57"/>
        <v>-3401</v>
      </c>
      <c r="L580" s="5">
        <f t="shared" si="58"/>
        <v>-0.19435396308360478</v>
      </c>
      <c r="M580" s="4" t="str">
        <f t="shared" si="59"/>
        <v>Medium Ratings</v>
      </c>
      <c r="N580" s="34">
        <f t="array" ref="N580">MEDIAN(_xlfn._xlws.FILTER(Table4[Original Price],Table4[Brand-Renamed] = Table4[[#This Row],[Brand]]))</f>
        <v>100945</v>
      </c>
      <c r="O580" s="35">
        <f t="array" ref="O580">MEDIAN(_xlfn._xlws.FILTER(Table4[Selling Price],Table4[Brand-Renamed] =Table4[[#This Row],[Brand-Renamed]]))</f>
        <v>74490</v>
      </c>
    </row>
    <row r="581" spans="1:15" ht="13.8" x14ac:dyDescent="0.25">
      <c r="A581" s="6" t="s">
        <v>15</v>
      </c>
      <c r="B581" s="4" t="str">
        <f t="shared" si="54"/>
        <v>Vu</v>
      </c>
      <c r="C581" s="6" t="s">
        <v>8</v>
      </c>
      <c r="D581" s="6">
        <v>40</v>
      </c>
      <c r="E581" s="6">
        <v>16999</v>
      </c>
      <c r="F581" s="6">
        <v>32175</v>
      </c>
      <c r="G581" s="6" t="s">
        <v>54</v>
      </c>
      <c r="H581" s="6">
        <v>4.4000000000000004</v>
      </c>
      <c r="I581" s="6">
        <f t="shared" si="55"/>
        <v>15176</v>
      </c>
      <c r="J581">
        <f t="shared" si="56"/>
        <v>0.47167055167055166</v>
      </c>
      <c r="K581" s="6">
        <f t="shared" si="57"/>
        <v>-15176</v>
      </c>
      <c r="L581" s="7">
        <f t="shared" si="58"/>
        <v>-0.89275839755279718</v>
      </c>
      <c r="M581" s="6" t="str">
        <f t="shared" si="59"/>
        <v>Medium Ratings</v>
      </c>
      <c r="N581" s="34">
        <f t="array" ref="N581">MEDIAN(_xlfn._xlws.FILTER(Table4[Original Price],Table4[Brand-Renamed] = Table4[[#This Row],[Brand]]))</f>
        <v>49990</v>
      </c>
      <c r="O581" s="35">
        <f t="array" ref="O581">MEDIAN(_xlfn._xlws.FILTER(Table4[Selling Price],Table4[Brand-Renamed] =Table4[[#This Row],[Brand-Renamed]]))</f>
        <v>30999</v>
      </c>
    </row>
    <row r="582" spans="1:15" ht="13.8" x14ac:dyDescent="0.25">
      <c r="A582" s="4" t="s">
        <v>125</v>
      </c>
      <c r="B582" s="4" t="str">
        <f t="shared" si="54"/>
        <v>Samsung</v>
      </c>
      <c r="C582" s="4" t="s">
        <v>8</v>
      </c>
      <c r="D582" s="4">
        <v>40</v>
      </c>
      <c r="E582" s="4">
        <v>19929</v>
      </c>
      <c r="F582" s="4">
        <v>43476</v>
      </c>
      <c r="G582" s="4" t="s">
        <v>56</v>
      </c>
      <c r="H582" s="4">
        <v>4.3</v>
      </c>
      <c r="I582" s="4">
        <f t="shared" si="55"/>
        <v>23547</v>
      </c>
      <c r="J582">
        <f t="shared" si="56"/>
        <v>0.54160916367651113</v>
      </c>
      <c r="K582" s="4">
        <f t="shared" si="57"/>
        <v>-23547</v>
      </c>
      <c r="L582" s="5">
        <f t="shared" si="58"/>
        <v>-1.181544482914346</v>
      </c>
      <c r="M582" s="4" t="str">
        <f t="shared" si="59"/>
        <v>Medium Ratings</v>
      </c>
      <c r="N582" s="34">
        <f t="array" ref="N582">MEDIAN(_xlfn._xlws.FILTER(Table4[Original Price],Table4[Brand-Renamed] = Table4[[#This Row],[Brand]]))</f>
        <v>100945</v>
      </c>
      <c r="O582" s="35">
        <f t="array" ref="O582">MEDIAN(_xlfn._xlws.FILTER(Table4[Selling Price],Table4[Brand-Renamed] =Table4[[#This Row],[Brand-Renamed]]))</f>
        <v>74490</v>
      </c>
    </row>
    <row r="583" spans="1:15" ht="13.8" x14ac:dyDescent="0.25">
      <c r="A583" s="6" t="s">
        <v>119</v>
      </c>
      <c r="B583" s="4" t="str">
        <f t="shared" si="54"/>
        <v xml:space="preserve">Tcl </v>
      </c>
      <c r="C583" s="6" t="s">
        <v>29</v>
      </c>
      <c r="D583" s="6">
        <v>75</v>
      </c>
      <c r="E583" s="6">
        <v>149990</v>
      </c>
      <c r="F583" s="6">
        <v>399990</v>
      </c>
      <c r="G583" s="6" t="s">
        <v>54</v>
      </c>
      <c r="H583" s="6">
        <v>3.9</v>
      </c>
      <c r="I583" s="6">
        <f t="shared" si="55"/>
        <v>250000</v>
      </c>
      <c r="J583">
        <f t="shared" si="56"/>
        <v>0.62501562539063471</v>
      </c>
      <c r="K583" s="6">
        <f t="shared" si="57"/>
        <v>-250000</v>
      </c>
      <c r="L583" s="7">
        <f t="shared" si="58"/>
        <v>-1.6667777851856791</v>
      </c>
      <c r="M583" s="6" t="str">
        <f t="shared" si="59"/>
        <v>Medium Ratings</v>
      </c>
      <c r="N583" s="34">
        <f t="array" ref="N583">MEDIAN(_xlfn._xlws.FILTER(Table4[Original Price],Table4[Brand-Renamed] = Table4[[#This Row],[Brand]]))</f>
        <v>77990</v>
      </c>
      <c r="O583" s="35">
        <f t="array" ref="O583">MEDIAN(_xlfn._xlws.FILTER(Table4[Selling Price],Table4[Brand-Renamed] =Table4[[#This Row],[Brand-Renamed]]))</f>
        <v>40999</v>
      </c>
    </row>
    <row r="584" spans="1:15" ht="13.8" x14ac:dyDescent="0.25">
      <c r="A584" s="4" t="s">
        <v>124</v>
      </c>
      <c r="B584" s="4" t="str">
        <f t="shared" si="54"/>
        <v>Iffalcon By Tcl</v>
      </c>
      <c r="C584" s="4" t="s">
        <v>32</v>
      </c>
      <c r="D584" s="4">
        <v>43</v>
      </c>
      <c r="E584" s="4">
        <v>29999</v>
      </c>
      <c r="F584" s="4">
        <v>76990</v>
      </c>
      <c r="G584" s="4" t="s">
        <v>54</v>
      </c>
      <c r="H584" s="4">
        <v>4.3</v>
      </c>
      <c r="I584" s="4">
        <f t="shared" si="55"/>
        <v>46991</v>
      </c>
      <c r="J584">
        <f t="shared" si="56"/>
        <v>0.61035199376542404</v>
      </c>
      <c r="K584" s="4">
        <f t="shared" si="57"/>
        <v>-46991</v>
      </c>
      <c r="L584" s="5">
        <f t="shared" si="58"/>
        <v>-1.5664188806293544</v>
      </c>
      <c r="M584" s="4" t="str">
        <f t="shared" si="59"/>
        <v>Medium Ratings</v>
      </c>
      <c r="N584" s="34">
        <f t="array" ref="N584">MEDIAN(_xlfn._xlws.FILTER(Table4[Original Price],Table4[Brand-Renamed] = Table4[[#This Row],[Brand]]))</f>
        <v>76990</v>
      </c>
      <c r="O584" s="35">
        <f t="array" ref="O584">MEDIAN(_xlfn._xlws.FILTER(Table4[Selling Price],Table4[Brand-Renamed] =Table4[[#This Row],[Brand-Renamed]]))</f>
        <v>36999</v>
      </c>
    </row>
    <row r="585" spans="1:15" ht="13.8" x14ac:dyDescent="0.25">
      <c r="A585" s="6" t="s">
        <v>13</v>
      </c>
      <c r="B585" s="4" t="str">
        <f t="shared" si="54"/>
        <v>Panasonic</v>
      </c>
      <c r="C585" s="6" t="s">
        <v>8</v>
      </c>
      <c r="D585" s="6">
        <v>49</v>
      </c>
      <c r="E585" s="6">
        <v>42999</v>
      </c>
      <c r="F585" s="6">
        <v>72900</v>
      </c>
      <c r="G585" s="6" t="s">
        <v>60</v>
      </c>
      <c r="H585" s="6">
        <v>4.2</v>
      </c>
      <c r="I585" s="6">
        <f t="shared" si="55"/>
        <v>29901</v>
      </c>
      <c r="J585">
        <f t="shared" si="56"/>
        <v>0.41016460905349794</v>
      </c>
      <c r="K585" s="6">
        <f t="shared" si="57"/>
        <v>-29901</v>
      </c>
      <c r="L585" s="7">
        <f t="shared" si="58"/>
        <v>-0.69538826484336846</v>
      </c>
      <c r="M585" s="6" t="str">
        <f t="shared" si="59"/>
        <v>Medium Ratings</v>
      </c>
      <c r="N585" s="34">
        <f t="array" ref="N585">MEDIAN(_xlfn._xlws.FILTER(Table4[Original Price],Table4[Brand-Renamed] = Table4[[#This Row],[Brand]]))</f>
        <v>64195</v>
      </c>
      <c r="O585" s="35">
        <f t="array" ref="O585">MEDIAN(_xlfn._xlws.FILTER(Table4[Selling Price],Table4[Brand-Renamed] =Table4[[#This Row],[Brand-Renamed]]))</f>
        <v>43129</v>
      </c>
    </row>
    <row r="586" spans="1:15" ht="13.8" x14ac:dyDescent="0.25">
      <c r="A586" s="4" t="s">
        <v>15</v>
      </c>
      <c r="B586" s="4" t="str">
        <f t="shared" si="54"/>
        <v>Vu</v>
      </c>
      <c r="C586" s="4" t="s">
        <v>8</v>
      </c>
      <c r="D586" s="4">
        <v>43</v>
      </c>
      <c r="E586" s="4">
        <v>22499</v>
      </c>
      <c r="F586" s="4">
        <v>31000</v>
      </c>
      <c r="G586" s="4" t="s">
        <v>54</v>
      </c>
      <c r="H586" s="4">
        <v>4.2</v>
      </c>
      <c r="I586" s="4">
        <f t="shared" si="55"/>
        <v>8501</v>
      </c>
      <c r="J586">
        <f t="shared" si="56"/>
        <v>0.27422580645161293</v>
      </c>
      <c r="K586" s="4">
        <f t="shared" si="57"/>
        <v>-8501</v>
      </c>
      <c r="L586" s="5">
        <f t="shared" si="58"/>
        <v>-0.3778390150673363</v>
      </c>
      <c r="M586" s="4" t="str">
        <f t="shared" si="59"/>
        <v>Medium Ratings</v>
      </c>
      <c r="N586" s="34">
        <f t="array" ref="N586">MEDIAN(_xlfn._xlws.FILTER(Table4[Original Price],Table4[Brand-Renamed] = Table4[[#This Row],[Brand]]))</f>
        <v>49990</v>
      </c>
      <c r="O586" s="35">
        <f t="array" ref="O586">MEDIAN(_xlfn._xlws.FILTER(Table4[Selling Price],Table4[Brand-Renamed] =Table4[[#This Row],[Brand-Renamed]]))</f>
        <v>30999</v>
      </c>
    </row>
    <row r="587" spans="1:15" ht="13.8" x14ac:dyDescent="0.25">
      <c r="A587" s="6" t="s">
        <v>140</v>
      </c>
      <c r="B587" s="4" t="str">
        <f t="shared" si="54"/>
        <v xml:space="preserve">Murphy </v>
      </c>
      <c r="C587" s="6" t="s">
        <v>8</v>
      </c>
      <c r="D587" s="6">
        <v>32</v>
      </c>
      <c r="E587" s="6">
        <v>12990</v>
      </c>
      <c r="F587" s="6">
        <v>16990</v>
      </c>
      <c r="G587" s="6"/>
      <c r="H587" s="6"/>
      <c r="I587" s="6">
        <f t="shared" si="55"/>
        <v>4000</v>
      </c>
      <c r="J587">
        <f t="shared" si="56"/>
        <v>0.23543260741612712</v>
      </c>
      <c r="K587" s="6">
        <f t="shared" si="57"/>
        <v>-4000</v>
      </c>
      <c r="L587" s="7">
        <f t="shared" si="58"/>
        <v>-0.30792917628945343</v>
      </c>
      <c r="M587" s="6" t="str">
        <f t="shared" si="59"/>
        <v>Ratings Not Given</v>
      </c>
      <c r="N587" s="34">
        <f t="array" ref="N587">MEDIAN(_xlfn._xlws.FILTER(Table4[Original Price],Table4[Brand-Renamed] = Table4[[#This Row],[Brand]]))</f>
        <v>15994.5</v>
      </c>
      <c r="O587" s="35">
        <f t="array" ref="O587">MEDIAN(_xlfn._xlws.FILTER(Table4[Selling Price],Table4[Brand-Renamed] =Table4[[#This Row],[Brand-Renamed]]))</f>
        <v>13490</v>
      </c>
    </row>
    <row r="588" spans="1:15" ht="13.8" x14ac:dyDescent="0.25">
      <c r="A588" s="4" t="s">
        <v>18</v>
      </c>
      <c r="B588" s="4" t="str">
        <f t="shared" si="54"/>
        <v>Hisense</v>
      </c>
      <c r="C588" s="4" t="s">
        <v>29</v>
      </c>
      <c r="D588" s="4">
        <v>65</v>
      </c>
      <c r="E588" s="4">
        <v>84990</v>
      </c>
      <c r="F588" s="4">
        <v>109990</v>
      </c>
      <c r="G588" s="4" t="s">
        <v>54</v>
      </c>
      <c r="H588" s="4"/>
      <c r="I588" s="4">
        <f t="shared" si="55"/>
        <v>25000</v>
      </c>
      <c r="J588">
        <f t="shared" si="56"/>
        <v>0.22729339030820983</v>
      </c>
      <c r="K588" s="4">
        <f t="shared" si="57"/>
        <v>-25000</v>
      </c>
      <c r="L588" s="5">
        <f t="shared" si="58"/>
        <v>-0.29415225320625954</v>
      </c>
      <c r="M588" s="4" t="str">
        <f t="shared" si="59"/>
        <v>Ratings Not Given</v>
      </c>
      <c r="N588" s="34">
        <f t="array" ref="N588">MEDIAN(_xlfn._xlws.FILTER(Table4[Original Price],Table4[Brand-Renamed] = Table4[[#This Row],[Brand]]))</f>
        <v>50490</v>
      </c>
      <c r="O588" s="35">
        <f t="array" ref="O588">MEDIAN(_xlfn._xlws.FILTER(Table4[Selling Price],Table4[Brand-Renamed] =Table4[[#This Row],[Brand-Renamed]]))</f>
        <v>39499</v>
      </c>
    </row>
    <row r="589" spans="1:15" ht="13.8" x14ac:dyDescent="0.25">
      <c r="A589" s="6" t="s">
        <v>134</v>
      </c>
      <c r="B589" s="4" t="str">
        <f t="shared" si="54"/>
        <v>Cloudwalker</v>
      </c>
      <c r="C589" s="6" t="s">
        <v>32</v>
      </c>
      <c r="D589" s="6">
        <v>55</v>
      </c>
      <c r="E589" s="6">
        <v>36999</v>
      </c>
      <c r="F589" s="6">
        <v>61990</v>
      </c>
      <c r="G589" s="6" t="s">
        <v>54</v>
      </c>
      <c r="H589" s="6">
        <v>4.0999999999999996</v>
      </c>
      <c r="I589" s="6">
        <f t="shared" si="55"/>
        <v>24991</v>
      </c>
      <c r="J589">
        <f t="shared" si="56"/>
        <v>0.40314566865623486</v>
      </c>
      <c r="K589" s="6">
        <f t="shared" si="57"/>
        <v>-24991</v>
      </c>
      <c r="L589" s="7">
        <f t="shared" si="58"/>
        <v>-0.67545068785642859</v>
      </c>
      <c r="M589" s="6" t="str">
        <f t="shared" si="59"/>
        <v>Medium Ratings</v>
      </c>
      <c r="N589" s="34">
        <f t="array" ref="N589">MEDIAN(_xlfn._xlws.FILTER(Table4[Original Price],Table4[Brand-Renamed] = Table4[[#This Row],[Brand]]))</f>
        <v>32990</v>
      </c>
      <c r="O589" s="35">
        <f t="array" ref="O589">MEDIAN(_xlfn._xlws.FILTER(Table4[Selling Price],Table4[Brand-Renamed] =Table4[[#This Row],[Brand-Renamed]]))</f>
        <v>21999</v>
      </c>
    </row>
    <row r="590" spans="1:15" ht="13.8" x14ac:dyDescent="0.25">
      <c r="A590" s="4" t="s">
        <v>126</v>
      </c>
      <c r="B590" s="4" t="str">
        <f t="shared" si="54"/>
        <v xml:space="preserve">Sony </v>
      </c>
      <c r="C590" s="4" t="s">
        <v>8</v>
      </c>
      <c r="D590" s="4">
        <v>32</v>
      </c>
      <c r="E590" s="4">
        <v>31990</v>
      </c>
      <c r="F590" s="4">
        <v>39990</v>
      </c>
      <c r="G590" s="4" t="s">
        <v>60</v>
      </c>
      <c r="H590" s="4">
        <v>4.5</v>
      </c>
      <c r="I590" s="4">
        <f t="shared" si="55"/>
        <v>8000</v>
      </c>
      <c r="J590">
        <f t="shared" si="56"/>
        <v>0.20005001250312579</v>
      </c>
      <c r="K590" s="4">
        <f t="shared" si="57"/>
        <v>-8000</v>
      </c>
      <c r="L590" s="5">
        <f t="shared" si="58"/>
        <v>-0.25007814942169426</v>
      </c>
      <c r="M590" s="4" t="str">
        <f t="shared" si="59"/>
        <v>Good Ratings</v>
      </c>
      <c r="N590" s="34">
        <f t="array" ref="N590">MEDIAN(_xlfn._xlws.FILTER(Table4[Original Price],Table4[Brand-Renamed] = Table4[[#This Row],[Brand]]))</f>
        <v>87400</v>
      </c>
      <c r="O590" s="35">
        <f t="array" ref="O590">MEDIAN(_xlfn._xlws.FILTER(Table4[Selling Price],Table4[Brand-Renamed] =Table4[[#This Row],[Brand-Renamed]]))</f>
        <v>64294.5</v>
      </c>
    </row>
    <row r="591" spans="1:15" ht="13.8" x14ac:dyDescent="0.25">
      <c r="A591" s="6" t="s">
        <v>82</v>
      </c>
      <c r="B591" s="4" t="str">
        <f t="shared" si="54"/>
        <v xml:space="preserve">Sanyo </v>
      </c>
      <c r="C591" s="6" t="s">
        <v>32</v>
      </c>
      <c r="D591" s="6">
        <v>49</v>
      </c>
      <c r="E591" s="6">
        <v>39999</v>
      </c>
      <c r="F591" s="6">
        <v>64990</v>
      </c>
      <c r="G591" s="6" t="s">
        <v>60</v>
      </c>
      <c r="H591" s="6">
        <v>3.9</v>
      </c>
      <c r="I591" s="6">
        <f t="shared" si="55"/>
        <v>24991</v>
      </c>
      <c r="J591">
        <f t="shared" si="56"/>
        <v>0.38453608247422683</v>
      </c>
      <c r="K591" s="6">
        <f t="shared" si="57"/>
        <v>-24991</v>
      </c>
      <c r="L591" s="7">
        <f t="shared" si="58"/>
        <v>-0.6247906197654941</v>
      </c>
      <c r="M591" s="6" t="str">
        <f t="shared" si="59"/>
        <v>Medium Ratings</v>
      </c>
      <c r="N591" s="34">
        <f t="array" ref="N591">MEDIAN(_xlfn._xlws.FILTER(Table4[Original Price],Table4[Brand-Renamed] = Table4[[#This Row],[Brand]]))</f>
        <v>70990</v>
      </c>
      <c r="O591" s="35">
        <f t="array" ref="O591">MEDIAN(_xlfn._xlws.FILTER(Table4[Selling Price],Table4[Brand-Renamed] =Table4[[#This Row],[Brand-Renamed]]))</f>
        <v>45499</v>
      </c>
    </row>
    <row r="592" spans="1:15" ht="13.8" x14ac:dyDescent="0.25">
      <c r="A592" s="4" t="s">
        <v>13</v>
      </c>
      <c r="B592" s="4" t="str">
        <f t="shared" si="54"/>
        <v>Panasonic</v>
      </c>
      <c r="C592" s="4" t="s">
        <v>8</v>
      </c>
      <c r="D592" s="4">
        <v>43</v>
      </c>
      <c r="E592" s="4">
        <v>27990</v>
      </c>
      <c r="F592" s="4">
        <v>56900</v>
      </c>
      <c r="G592" s="4" t="s">
        <v>54</v>
      </c>
      <c r="H592" s="4">
        <v>4.0999999999999996</v>
      </c>
      <c r="I592" s="4">
        <f t="shared" si="55"/>
        <v>28910</v>
      </c>
      <c r="J592">
        <f t="shared" si="56"/>
        <v>0.5080843585237258</v>
      </c>
      <c r="K592" s="4">
        <f t="shared" si="57"/>
        <v>-28910</v>
      </c>
      <c r="L592" s="5">
        <f t="shared" si="58"/>
        <v>-1.0328688817434799</v>
      </c>
      <c r="M592" s="4" t="str">
        <f t="shared" si="59"/>
        <v>Medium Ratings</v>
      </c>
      <c r="N592" s="34">
        <f t="array" ref="N592">MEDIAN(_xlfn._xlws.FILTER(Table4[Original Price],Table4[Brand-Renamed] = Table4[[#This Row],[Brand]]))</f>
        <v>64195</v>
      </c>
      <c r="O592" s="35">
        <f t="array" ref="O592">MEDIAN(_xlfn._xlws.FILTER(Table4[Selling Price],Table4[Brand-Renamed] =Table4[[#This Row],[Brand-Renamed]]))</f>
        <v>43129</v>
      </c>
    </row>
    <row r="593" spans="1:15" ht="13.8" x14ac:dyDescent="0.25">
      <c r="A593" s="6" t="s">
        <v>15</v>
      </c>
      <c r="B593" s="4" t="str">
        <f t="shared" si="54"/>
        <v>Vu</v>
      </c>
      <c r="C593" s="6" t="s">
        <v>32</v>
      </c>
      <c r="D593" s="6">
        <v>50</v>
      </c>
      <c r="E593" s="6">
        <v>37254</v>
      </c>
      <c r="F593" s="6">
        <v>60000</v>
      </c>
      <c r="G593" s="6" t="s">
        <v>54</v>
      </c>
      <c r="H593" s="6">
        <v>4.3</v>
      </c>
      <c r="I593" s="6">
        <f t="shared" si="55"/>
        <v>22746</v>
      </c>
      <c r="J593">
        <f t="shared" si="56"/>
        <v>0.37909999999999999</v>
      </c>
      <c r="K593" s="6">
        <f t="shared" si="57"/>
        <v>-22746</v>
      </c>
      <c r="L593" s="7">
        <f t="shared" si="58"/>
        <v>-0.61056530842325651</v>
      </c>
      <c r="M593" s="6" t="str">
        <f t="shared" si="59"/>
        <v>Medium Ratings</v>
      </c>
      <c r="N593" s="34">
        <f t="array" ref="N593">MEDIAN(_xlfn._xlws.FILTER(Table4[Original Price],Table4[Brand-Renamed] = Table4[[#This Row],[Brand]]))</f>
        <v>49990</v>
      </c>
      <c r="O593" s="35">
        <f t="array" ref="O593">MEDIAN(_xlfn._xlws.FILTER(Table4[Selling Price],Table4[Brand-Renamed] =Table4[[#This Row],[Brand-Renamed]]))</f>
        <v>30999</v>
      </c>
    </row>
    <row r="594" spans="1:15" ht="13.8" x14ac:dyDescent="0.25">
      <c r="A594" s="4" t="s">
        <v>122</v>
      </c>
      <c r="B594" s="4" t="str">
        <f t="shared" si="54"/>
        <v xml:space="preserve">Lg </v>
      </c>
      <c r="C594" s="4" t="s">
        <v>32</v>
      </c>
      <c r="D594" s="4">
        <v>55</v>
      </c>
      <c r="E594" s="4">
        <v>115658</v>
      </c>
      <c r="F594" s="4">
        <v>212490</v>
      </c>
      <c r="G594" s="4" t="s">
        <v>58</v>
      </c>
      <c r="H594" s="4">
        <v>4.5999999999999996</v>
      </c>
      <c r="I594" s="4">
        <f t="shared" si="55"/>
        <v>96832</v>
      </c>
      <c r="J594">
        <f t="shared" si="56"/>
        <v>0.4557014447738717</v>
      </c>
      <c r="K594" s="4">
        <f t="shared" si="57"/>
        <v>-96832</v>
      </c>
      <c r="L594" s="5">
        <f t="shared" si="58"/>
        <v>-0.83722699683549773</v>
      </c>
      <c r="M594" s="4" t="str">
        <f t="shared" si="59"/>
        <v>Good Ratings</v>
      </c>
      <c r="N594" s="34">
        <f t="array" ref="N594">MEDIAN(_xlfn._xlws.FILTER(Table4[Original Price],Table4[Brand-Renamed] = Table4[[#This Row],[Brand]]))</f>
        <v>98990</v>
      </c>
      <c r="O594" s="35">
        <f t="array" ref="O594">MEDIAN(_xlfn._xlws.FILTER(Table4[Selling Price],Table4[Brand-Renamed] =Table4[[#This Row],[Brand-Renamed]]))</f>
        <v>76737</v>
      </c>
    </row>
    <row r="595" spans="1:15" ht="13.8" x14ac:dyDescent="0.25">
      <c r="A595" s="6" t="s">
        <v>126</v>
      </c>
      <c r="B595" s="4" t="str">
        <f t="shared" si="54"/>
        <v xml:space="preserve">Sony </v>
      </c>
      <c r="C595" s="6" t="s">
        <v>32</v>
      </c>
      <c r="D595" s="6">
        <v>65</v>
      </c>
      <c r="E595" s="6">
        <v>152999</v>
      </c>
      <c r="F595" s="6">
        <v>269900</v>
      </c>
      <c r="G595" s="6" t="s">
        <v>54</v>
      </c>
      <c r="H595" s="6">
        <v>4.5</v>
      </c>
      <c r="I595" s="6">
        <f t="shared" si="55"/>
        <v>116901</v>
      </c>
      <c r="J595">
        <f t="shared" si="56"/>
        <v>0.43312708410522416</v>
      </c>
      <c r="K595" s="6">
        <f t="shared" si="57"/>
        <v>-116901</v>
      </c>
      <c r="L595" s="7">
        <f t="shared" si="58"/>
        <v>-0.76406381741057128</v>
      </c>
      <c r="M595" s="6" t="str">
        <f t="shared" si="59"/>
        <v>Good Ratings</v>
      </c>
      <c r="N595" s="34">
        <f t="array" ref="N595">MEDIAN(_xlfn._xlws.FILTER(Table4[Original Price],Table4[Brand-Renamed] = Table4[[#This Row],[Brand]]))</f>
        <v>87400</v>
      </c>
      <c r="O595" s="35">
        <f t="array" ref="O595">MEDIAN(_xlfn._xlws.FILTER(Table4[Selling Price],Table4[Brand-Renamed] =Table4[[#This Row],[Brand-Renamed]]))</f>
        <v>64294.5</v>
      </c>
    </row>
    <row r="596" spans="1:15" ht="13.8" x14ac:dyDescent="0.25">
      <c r="A596" s="4" t="s">
        <v>21</v>
      </c>
      <c r="B596" s="4" t="str">
        <f t="shared" si="54"/>
        <v>Micromax</v>
      </c>
      <c r="C596" s="4" t="s">
        <v>8</v>
      </c>
      <c r="D596" s="4">
        <v>40</v>
      </c>
      <c r="E596" s="4">
        <v>18990</v>
      </c>
      <c r="F596" s="4">
        <v>36663</v>
      </c>
      <c r="G596" s="4" t="s">
        <v>54</v>
      </c>
      <c r="H596" s="4">
        <v>4.2</v>
      </c>
      <c r="I596" s="4">
        <f t="shared" si="55"/>
        <v>17673</v>
      </c>
      <c r="J596">
        <f t="shared" si="56"/>
        <v>0.48203911300220931</v>
      </c>
      <c r="K596" s="4">
        <f t="shared" si="57"/>
        <v>-17673</v>
      </c>
      <c r="L596" s="5">
        <f t="shared" si="58"/>
        <v>-0.93064770932069507</v>
      </c>
      <c r="M596" s="4" t="str">
        <f t="shared" si="59"/>
        <v>Medium Ratings</v>
      </c>
      <c r="N596" s="34">
        <f t="array" ref="N596">MEDIAN(_xlfn._xlws.FILTER(Table4[Original Price],Table4[Brand-Renamed] = Table4[[#This Row],[Brand]]))</f>
        <v>24990</v>
      </c>
      <c r="O596" s="35">
        <f t="array" ref="O596">MEDIAN(_xlfn._xlws.FILTER(Table4[Selling Price],Table4[Brand-Renamed] =Table4[[#This Row],[Brand-Renamed]]))</f>
        <v>16825</v>
      </c>
    </row>
    <row r="597" spans="1:15" ht="13.8" x14ac:dyDescent="0.25">
      <c r="A597" s="6" t="s">
        <v>122</v>
      </c>
      <c r="B597" s="4" t="str">
        <f t="shared" si="54"/>
        <v xml:space="preserve">Lg </v>
      </c>
      <c r="C597" s="6" t="s">
        <v>8</v>
      </c>
      <c r="D597" s="6">
        <v>22</v>
      </c>
      <c r="E597" s="6">
        <v>13933</v>
      </c>
      <c r="F597" s="6">
        <v>14500</v>
      </c>
      <c r="G597" s="6" t="s">
        <v>60</v>
      </c>
      <c r="H597" s="6">
        <v>4.5999999999999996</v>
      </c>
      <c r="I597" s="6">
        <f t="shared" si="55"/>
        <v>567</v>
      </c>
      <c r="J597">
        <f t="shared" si="56"/>
        <v>3.9103448275862068E-2</v>
      </c>
      <c r="K597" s="6">
        <f t="shared" si="57"/>
        <v>-567</v>
      </c>
      <c r="L597" s="7">
        <f t="shared" si="58"/>
        <v>-4.0694753463001505E-2</v>
      </c>
      <c r="M597" s="6" t="str">
        <f t="shared" si="59"/>
        <v>Good Ratings</v>
      </c>
      <c r="N597" s="34">
        <f t="array" ref="N597">MEDIAN(_xlfn._xlws.FILTER(Table4[Original Price],Table4[Brand-Renamed] = Table4[[#This Row],[Brand]]))</f>
        <v>98990</v>
      </c>
      <c r="O597" s="35">
        <f t="array" ref="O597">MEDIAN(_xlfn._xlws.FILTER(Table4[Selling Price],Table4[Brand-Renamed] =Table4[[#This Row],[Brand-Renamed]]))</f>
        <v>76737</v>
      </c>
    </row>
    <row r="598" spans="1:15" ht="13.8" x14ac:dyDescent="0.25">
      <c r="A598" s="4" t="s">
        <v>122</v>
      </c>
      <c r="B598" s="4" t="str">
        <f t="shared" si="54"/>
        <v xml:space="preserve">Lg </v>
      </c>
      <c r="C598" s="4" t="s">
        <v>19</v>
      </c>
      <c r="D598" s="4">
        <v>24</v>
      </c>
      <c r="E598" s="4">
        <v>14495</v>
      </c>
      <c r="F598" s="4">
        <v>14500</v>
      </c>
      <c r="G598" s="4" t="s">
        <v>60</v>
      </c>
      <c r="H598" s="4">
        <v>4.4000000000000004</v>
      </c>
      <c r="I598" s="4">
        <f t="shared" si="55"/>
        <v>5</v>
      </c>
      <c r="J598">
        <f t="shared" si="56"/>
        <v>3.4482758620689653E-4</v>
      </c>
      <c r="K598" s="4">
        <f t="shared" si="57"/>
        <v>-5</v>
      </c>
      <c r="L598" s="5">
        <f t="shared" si="58"/>
        <v>-3.4494653328734045E-4</v>
      </c>
      <c r="M598" s="4" t="str">
        <f t="shared" si="59"/>
        <v>Medium Ratings</v>
      </c>
      <c r="N598" s="34">
        <f t="array" ref="N598">MEDIAN(_xlfn._xlws.FILTER(Table4[Original Price],Table4[Brand-Renamed] = Table4[[#This Row],[Brand]]))</f>
        <v>98990</v>
      </c>
      <c r="O598" s="35">
        <f t="array" ref="O598">MEDIAN(_xlfn._xlws.FILTER(Table4[Selling Price],Table4[Brand-Renamed] =Table4[[#This Row],[Brand-Renamed]]))</f>
        <v>76737</v>
      </c>
    </row>
    <row r="599" spans="1:15" ht="13.8" x14ac:dyDescent="0.25">
      <c r="A599" s="6" t="s">
        <v>126</v>
      </c>
      <c r="B599" s="4" t="str">
        <f t="shared" si="54"/>
        <v xml:space="preserve">Sony </v>
      </c>
      <c r="C599" s="6" t="s">
        <v>32</v>
      </c>
      <c r="D599" s="6">
        <v>65</v>
      </c>
      <c r="E599" s="6">
        <v>140791</v>
      </c>
      <c r="F599" s="6">
        <v>209900</v>
      </c>
      <c r="G599" s="6" t="s">
        <v>54</v>
      </c>
      <c r="H599" s="6">
        <v>4.8</v>
      </c>
      <c r="I599" s="6">
        <f t="shared" si="55"/>
        <v>69109</v>
      </c>
      <c r="J599">
        <f t="shared" si="56"/>
        <v>0.32924726060028586</v>
      </c>
      <c r="K599" s="6">
        <f t="shared" si="57"/>
        <v>-69109</v>
      </c>
      <c r="L599" s="7">
        <f t="shared" si="58"/>
        <v>-0.49086234205311419</v>
      </c>
      <c r="M599" s="6" t="str">
        <f t="shared" si="59"/>
        <v>Good Ratings</v>
      </c>
      <c r="N599" s="34">
        <f t="array" ref="N599">MEDIAN(_xlfn._xlws.FILTER(Table4[Original Price],Table4[Brand-Renamed] = Table4[[#This Row],[Brand]]))</f>
        <v>87400</v>
      </c>
      <c r="O599" s="35">
        <f t="array" ref="O599">MEDIAN(_xlfn._xlws.FILTER(Table4[Selling Price],Table4[Brand-Renamed] =Table4[[#This Row],[Brand-Renamed]]))</f>
        <v>64294.5</v>
      </c>
    </row>
    <row r="600" spans="1:15" ht="13.8" x14ac:dyDescent="0.25">
      <c r="A600" s="4" t="s">
        <v>15</v>
      </c>
      <c r="B600" s="4" t="str">
        <f t="shared" si="54"/>
        <v>Vu</v>
      </c>
      <c r="C600" s="4" t="s">
        <v>32</v>
      </c>
      <c r="D600" s="4">
        <v>50</v>
      </c>
      <c r="E600" s="4">
        <v>27999</v>
      </c>
      <c r="F600" s="4">
        <v>55000</v>
      </c>
      <c r="G600" s="4" t="s">
        <v>54</v>
      </c>
      <c r="H600" s="4">
        <v>4.4000000000000004</v>
      </c>
      <c r="I600" s="4">
        <f t="shared" si="55"/>
        <v>27001</v>
      </c>
      <c r="J600">
        <f t="shared" si="56"/>
        <v>0.49092727272727271</v>
      </c>
      <c r="K600" s="4">
        <f t="shared" si="57"/>
        <v>-27001</v>
      </c>
      <c r="L600" s="5">
        <f t="shared" si="58"/>
        <v>-0.96435586985249477</v>
      </c>
      <c r="M600" s="4" t="str">
        <f t="shared" si="59"/>
        <v>Medium Ratings</v>
      </c>
      <c r="N600" s="34">
        <f t="array" ref="N600">MEDIAN(_xlfn._xlws.FILTER(Table4[Original Price],Table4[Brand-Renamed] = Table4[[#This Row],[Brand]]))</f>
        <v>49990</v>
      </c>
      <c r="O600" s="35">
        <f t="array" ref="O600">MEDIAN(_xlfn._xlws.FILTER(Table4[Selling Price],Table4[Brand-Renamed] =Table4[[#This Row],[Brand-Renamed]]))</f>
        <v>30999</v>
      </c>
    </row>
    <row r="601" spans="1:15" ht="13.8" x14ac:dyDescent="0.25">
      <c r="A601" s="6" t="s">
        <v>70</v>
      </c>
      <c r="B601" s="4" t="str">
        <f t="shared" si="54"/>
        <v xml:space="preserve">Mi </v>
      </c>
      <c r="C601" s="6" t="s">
        <v>32</v>
      </c>
      <c r="D601" s="6">
        <v>55</v>
      </c>
      <c r="E601" s="6">
        <v>43477</v>
      </c>
      <c r="F601" s="6">
        <v>44999</v>
      </c>
      <c r="G601" s="6" t="s">
        <v>54</v>
      </c>
      <c r="H601" s="6"/>
      <c r="I601" s="6">
        <f t="shared" si="55"/>
        <v>1522</v>
      </c>
      <c r="J601">
        <f t="shared" si="56"/>
        <v>3.3822973843863194E-2</v>
      </c>
      <c r="K601" s="6">
        <f t="shared" si="57"/>
        <v>-1522</v>
      </c>
      <c r="L601" s="7">
        <f t="shared" si="58"/>
        <v>-3.5007015203440899E-2</v>
      </c>
      <c r="M601" s="6" t="str">
        <f t="shared" si="59"/>
        <v>Ratings Not Given</v>
      </c>
      <c r="N601" s="34">
        <f t="array" ref="N601">MEDIAN(_xlfn._xlws.FILTER(Table4[Original Price],Table4[Brand-Renamed] = Table4[[#This Row],[Brand]]))</f>
        <v>34999</v>
      </c>
      <c r="O601" s="35">
        <f t="array" ref="O601">MEDIAN(_xlfn._xlws.FILTER(Table4[Selling Price],Table4[Brand-Renamed] =Table4[[#This Row],[Brand-Renamed]]))</f>
        <v>27999</v>
      </c>
    </row>
    <row r="602" spans="1:15" ht="13.8" x14ac:dyDescent="0.25">
      <c r="A602" s="4" t="s">
        <v>119</v>
      </c>
      <c r="B602" s="4" t="str">
        <f t="shared" si="54"/>
        <v xml:space="preserve">Tcl </v>
      </c>
      <c r="C602" s="4" t="s">
        <v>8</v>
      </c>
      <c r="D602" s="4">
        <v>40</v>
      </c>
      <c r="E602" s="4">
        <v>19489</v>
      </c>
      <c r="F602" s="4">
        <v>36419</v>
      </c>
      <c r="G602" s="4" t="s">
        <v>60</v>
      </c>
      <c r="H602" s="4">
        <v>4.0999999999999996</v>
      </c>
      <c r="I602" s="4">
        <f t="shared" si="55"/>
        <v>16930</v>
      </c>
      <c r="J602">
        <f t="shared" si="56"/>
        <v>0.46486723962766685</v>
      </c>
      <c r="K602" s="4">
        <f t="shared" si="57"/>
        <v>-16930</v>
      </c>
      <c r="L602" s="5">
        <f t="shared" si="58"/>
        <v>-0.86869516137308223</v>
      </c>
      <c r="M602" s="4" t="str">
        <f t="shared" si="59"/>
        <v>Medium Ratings</v>
      </c>
      <c r="N602" s="34">
        <f t="array" ref="N602">MEDIAN(_xlfn._xlws.FILTER(Table4[Original Price],Table4[Brand-Renamed] = Table4[[#This Row],[Brand]]))</f>
        <v>77990</v>
      </c>
      <c r="O602" s="35">
        <f t="array" ref="O602">MEDIAN(_xlfn._xlws.FILTER(Table4[Selling Price],Table4[Brand-Renamed] =Table4[[#This Row],[Brand-Renamed]]))</f>
        <v>40999</v>
      </c>
    </row>
    <row r="603" spans="1:15" ht="13.8" x14ac:dyDescent="0.25">
      <c r="A603" s="6" t="s">
        <v>13</v>
      </c>
      <c r="B603" s="4" t="str">
        <f t="shared" si="54"/>
        <v>Panasonic</v>
      </c>
      <c r="C603" s="6" t="s">
        <v>32</v>
      </c>
      <c r="D603" s="6">
        <v>65</v>
      </c>
      <c r="E603" s="6">
        <v>114999</v>
      </c>
      <c r="F603" s="6">
        <v>179900</v>
      </c>
      <c r="G603" s="6" t="s">
        <v>60</v>
      </c>
      <c r="H603" s="6">
        <v>4.8</v>
      </c>
      <c r="I603" s="6">
        <f t="shared" si="55"/>
        <v>64901</v>
      </c>
      <c r="J603">
        <f t="shared" si="56"/>
        <v>0.36076153418565871</v>
      </c>
      <c r="K603" s="6">
        <f t="shared" si="57"/>
        <v>-64901</v>
      </c>
      <c r="L603" s="7">
        <f t="shared" si="58"/>
        <v>-0.56436142922981936</v>
      </c>
      <c r="M603" s="6" t="str">
        <f t="shared" si="59"/>
        <v>Good Ratings</v>
      </c>
      <c r="N603" s="34">
        <f t="array" ref="N603">MEDIAN(_xlfn._xlws.FILTER(Table4[Original Price],Table4[Brand-Renamed] = Table4[[#This Row],[Brand]]))</f>
        <v>64195</v>
      </c>
      <c r="O603" s="35">
        <f t="array" ref="O603">MEDIAN(_xlfn._xlws.FILTER(Table4[Selling Price],Table4[Brand-Renamed] =Table4[[#This Row],[Brand-Renamed]]))</f>
        <v>43129</v>
      </c>
    </row>
    <row r="604" spans="1:15" ht="13.8" x14ac:dyDescent="0.25">
      <c r="A604" s="4" t="s">
        <v>122</v>
      </c>
      <c r="B604" s="4" t="str">
        <f t="shared" si="54"/>
        <v xml:space="preserve">Lg </v>
      </c>
      <c r="C604" s="4" t="s">
        <v>32</v>
      </c>
      <c r="D604" s="4">
        <v>43</v>
      </c>
      <c r="E604" s="4">
        <v>36999</v>
      </c>
      <c r="F604" s="4">
        <v>55990</v>
      </c>
      <c r="G604" s="4" t="s">
        <v>58</v>
      </c>
      <c r="H604" s="4">
        <v>4.5</v>
      </c>
      <c r="I604" s="4">
        <f t="shared" si="55"/>
        <v>18991</v>
      </c>
      <c r="J604">
        <f t="shared" si="56"/>
        <v>0.33918556885158063</v>
      </c>
      <c r="K604" s="4">
        <f t="shared" si="57"/>
        <v>-18991</v>
      </c>
      <c r="L604" s="5">
        <f t="shared" si="58"/>
        <v>-0.51328414281467072</v>
      </c>
      <c r="M604" s="4" t="str">
        <f t="shared" si="59"/>
        <v>Good Ratings</v>
      </c>
      <c r="N604" s="34">
        <f t="array" ref="N604">MEDIAN(_xlfn._xlws.FILTER(Table4[Original Price],Table4[Brand-Renamed] = Table4[[#This Row],[Brand]]))</f>
        <v>98990</v>
      </c>
      <c r="O604" s="35">
        <f t="array" ref="O604">MEDIAN(_xlfn._xlws.FILTER(Table4[Selling Price],Table4[Brand-Renamed] =Table4[[#This Row],[Brand-Renamed]]))</f>
        <v>76737</v>
      </c>
    </row>
    <row r="605" spans="1:15" ht="13.8" x14ac:dyDescent="0.25">
      <c r="A605" s="6" t="s">
        <v>122</v>
      </c>
      <c r="B605" s="4" t="str">
        <f t="shared" si="54"/>
        <v xml:space="preserve">Lg </v>
      </c>
      <c r="C605" s="6" t="s">
        <v>19</v>
      </c>
      <c r="D605" s="6">
        <v>32</v>
      </c>
      <c r="E605" s="6">
        <v>19603</v>
      </c>
      <c r="F605" s="6">
        <v>26490</v>
      </c>
      <c r="G605" s="6" t="s">
        <v>60</v>
      </c>
      <c r="H605" s="6">
        <v>4.4000000000000004</v>
      </c>
      <c r="I605" s="6">
        <f t="shared" si="55"/>
        <v>6887</v>
      </c>
      <c r="J605">
        <f t="shared" si="56"/>
        <v>0.25998489996224988</v>
      </c>
      <c r="K605" s="6">
        <f t="shared" si="57"/>
        <v>-6887</v>
      </c>
      <c r="L605" s="7">
        <f t="shared" si="58"/>
        <v>-0.35132377697291228</v>
      </c>
      <c r="M605" s="6" t="str">
        <f t="shared" si="59"/>
        <v>Medium Ratings</v>
      </c>
      <c r="N605" s="34">
        <f t="array" ref="N605">MEDIAN(_xlfn._xlws.FILTER(Table4[Original Price],Table4[Brand-Renamed] = Table4[[#This Row],[Brand]]))</f>
        <v>98990</v>
      </c>
      <c r="O605" s="35">
        <f t="array" ref="O605">MEDIAN(_xlfn._xlws.FILTER(Table4[Selling Price],Table4[Brand-Renamed] =Table4[[#This Row],[Brand-Renamed]]))</f>
        <v>76737</v>
      </c>
    </row>
    <row r="606" spans="1:15" ht="13.8" x14ac:dyDescent="0.25">
      <c r="A606" s="4" t="s">
        <v>9</v>
      </c>
      <c r="B606" s="4" t="str">
        <f t="shared" si="54"/>
        <v>Samsung</v>
      </c>
      <c r="C606" s="4" t="s">
        <v>8</v>
      </c>
      <c r="D606" s="4">
        <v>50</v>
      </c>
      <c r="E606" s="4">
        <v>36900</v>
      </c>
      <c r="F606" s="4">
        <v>36900</v>
      </c>
      <c r="G606" s="4" t="s">
        <v>56</v>
      </c>
      <c r="H606" s="4">
        <v>3.8</v>
      </c>
      <c r="I606" s="4">
        <f t="shared" si="55"/>
        <v>0</v>
      </c>
      <c r="J606" t="str">
        <f t="shared" si="56"/>
        <v>Discount Not Applied</v>
      </c>
      <c r="K606" s="4">
        <f t="shared" si="57"/>
        <v>0</v>
      </c>
      <c r="L606" s="5">
        <f t="shared" si="58"/>
        <v>0</v>
      </c>
      <c r="M606" s="4" t="str">
        <f t="shared" si="59"/>
        <v>Medium Ratings</v>
      </c>
      <c r="N606" s="34">
        <f t="array" ref="N606">MEDIAN(_xlfn._xlws.FILTER(Table4[Original Price],Table4[Brand-Renamed] = Table4[[#This Row],[Brand]]))</f>
        <v>100945</v>
      </c>
      <c r="O606" s="35">
        <f t="array" ref="O606">MEDIAN(_xlfn._xlws.FILTER(Table4[Selling Price],Table4[Brand-Renamed] =Table4[[#This Row],[Brand-Renamed]]))</f>
        <v>74490</v>
      </c>
    </row>
    <row r="607" spans="1:15" ht="13.8" x14ac:dyDescent="0.25">
      <c r="A607" s="6" t="s">
        <v>129</v>
      </c>
      <c r="B607" s="4" t="str">
        <f t="shared" si="54"/>
        <v>Philips</v>
      </c>
      <c r="C607" s="6" t="s">
        <v>32</v>
      </c>
      <c r="D607" s="6">
        <v>55</v>
      </c>
      <c r="E607" s="6">
        <v>48999</v>
      </c>
      <c r="F607" s="6">
        <v>89990</v>
      </c>
      <c r="G607" s="6" t="s">
        <v>54</v>
      </c>
      <c r="H607" s="6">
        <v>4</v>
      </c>
      <c r="I607" s="6">
        <f t="shared" si="55"/>
        <v>40991</v>
      </c>
      <c r="J607">
        <f t="shared" si="56"/>
        <v>0.455506167351928</v>
      </c>
      <c r="K607" s="6">
        <f t="shared" si="57"/>
        <v>-40991</v>
      </c>
      <c r="L607" s="7">
        <f t="shared" si="58"/>
        <v>-0.83656809322639236</v>
      </c>
      <c r="M607" s="6" t="str">
        <f t="shared" si="59"/>
        <v>Medium Ratings</v>
      </c>
      <c r="N607" s="34">
        <f t="array" ref="N607">MEDIAN(_xlfn._xlws.FILTER(Table4[Original Price],Table4[Brand-Renamed] = Table4[[#This Row],[Brand]]))</f>
        <v>44990</v>
      </c>
      <c r="O607" s="35">
        <f t="array" ref="O607">MEDIAN(_xlfn._xlws.FILTER(Table4[Selling Price],Table4[Brand-Renamed] =Table4[[#This Row],[Brand-Renamed]]))</f>
        <v>33459</v>
      </c>
    </row>
    <row r="608" spans="1:15" ht="13.8" x14ac:dyDescent="0.25">
      <c r="A608" s="4" t="s">
        <v>21</v>
      </c>
      <c r="B608" s="4" t="str">
        <f t="shared" si="54"/>
        <v>Micromax</v>
      </c>
      <c r="C608" s="4" t="s">
        <v>19</v>
      </c>
      <c r="D608" s="4">
        <v>22</v>
      </c>
      <c r="E608" s="4">
        <v>8900</v>
      </c>
      <c r="F608" s="4">
        <v>10000</v>
      </c>
      <c r="G608" s="4" t="s">
        <v>54</v>
      </c>
      <c r="H608" s="4">
        <v>4.2</v>
      </c>
      <c r="I608" s="4">
        <f t="shared" si="55"/>
        <v>1100</v>
      </c>
      <c r="J608">
        <f t="shared" si="56"/>
        <v>0.11</v>
      </c>
      <c r="K608" s="4">
        <f t="shared" si="57"/>
        <v>-1100</v>
      </c>
      <c r="L608" s="5">
        <f t="shared" si="58"/>
        <v>-0.12359550561797752</v>
      </c>
      <c r="M608" s="4" t="str">
        <f t="shared" si="59"/>
        <v>Medium Ratings</v>
      </c>
      <c r="N608" s="34">
        <f t="array" ref="N608">MEDIAN(_xlfn._xlws.FILTER(Table4[Original Price],Table4[Brand-Renamed] = Table4[[#This Row],[Brand]]))</f>
        <v>24990</v>
      </c>
      <c r="O608" s="35">
        <f t="array" ref="O608">MEDIAN(_xlfn._xlws.FILTER(Table4[Selling Price],Table4[Brand-Renamed] =Table4[[#This Row],[Brand-Renamed]]))</f>
        <v>16825</v>
      </c>
    </row>
    <row r="609" spans="1:15" ht="13.8" x14ac:dyDescent="0.25">
      <c r="A609" s="6" t="s">
        <v>15</v>
      </c>
      <c r="B609" s="4" t="str">
        <f t="shared" si="54"/>
        <v>Vu</v>
      </c>
      <c r="C609" s="6" t="s">
        <v>32</v>
      </c>
      <c r="D609" s="6">
        <v>50</v>
      </c>
      <c r="E609" s="6">
        <v>50000</v>
      </c>
      <c r="F609" s="6">
        <v>50000</v>
      </c>
      <c r="G609" s="6" t="s">
        <v>54</v>
      </c>
      <c r="H609" s="6">
        <v>4.4000000000000004</v>
      </c>
      <c r="I609" s="6">
        <f t="shared" si="55"/>
        <v>0</v>
      </c>
      <c r="J609" t="str">
        <f t="shared" si="56"/>
        <v>Discount Not Applied</v>
      </c>
      <c r="K609" s="6">
        <f t="shared" si="57"/>
        <v>0</v>
      </c>
      <c r="L609" s="7">
        <f t="shared" si="58"/>
        <v>0</v>
      </c>
      <c r="M609" s="6" t="str">
        <f t="shared" si="59"/>
        <v>Medium Ratings</v>
      </c>
      <c r="N609" s="34">
        <f t="array" ref="N609">MEDIAN(_xlfn._xlws.FILTER(Table4[Original Price],Table4[Brand-Renamed] = Table4[[#This Row],[Brand]]))</f>
        <v>49990</v>
      </c>
      <c r="O609" s="35">
        <f t="array" ref="O609">MEDIAN(_xlfn._xlws.FILTER(Table4[Selling Price],Table4[Brand-Renamed] =Table4[[#This Row],[Brand-Renamed]]))</f>
        <v>30999</v>
      </c>
    </row>
    <row r="610" spans="1:15" ht="13.8" x14ac:dyDescent="0.25">
      <c r="A610" s="4" t="s">
        <v>70</v>
      </c>
      <c r="B610" s="4" t="str">
        <f t="shared" si="54"/>
        <v xml:space="preserve">Mi </v>
      </c>
      <c r="C610" s="4" t="s">
        <v>8</v>
      </c>
      <c r="D610" s="4">
        <v>49</v>
      </c>
      <c r="E610" s="4">
        <v>32994</v>
      </c>
      <c r="F610" s="4">
        <v>32999</v>
      </c>
      <c r="G610" s="4" t="s">
        <v>54</v>
      </c>
      <c r="H610" s="4">
        <v>4.4000000000000004</v>
      </c>
      <c r="I610" s="4">
        <f t="shared" si="55"/>
        <v>5</v>
      </c>
      <c r="J610">
        <f t="shared" si="56"/>
        <v>1.5151974302251583E-4</v>
      </c>
      <c r="K610" s="4">
        <f t="shared" si="57"/>
        <v>-5</v>
      </c>
      <c r="L610" s="5">
        <f t="shared" si="58"/>
        <v>-1.515427047341941E-4</v>
      </c>
      <c r="M610" s="4" t="str">
        <f t="shared" si="59"/>
        <v>Medium Ratings</v>
      </c>
      <c r="N610" s="34">
        <f t="array" ref="N610">MEDIAN(_xlfn._xlws.FILTER(Table4[Original Price],Table4[Brand-Renamed] = Table4[[#This Row],[Brand]]))</f>
        <v>34999</v>
      </c>
      <c r="O610" s="35">
        <f t="array" ref="O610">MEDIAN(_xlfn._xlws.FILTER(Table4[Selling Price],Table4[Brand-Renamed] =Table4[[#This Row],[Brand-Renamed]]))</f>
        <v>27999</v>
      </c>
    </row>
    <row r="611" spans="1:15" ht="13.8" x14ac:dyDescent="0.25">
      <c r="A611" s="6" t="s">
        <v>55</v>
      </c>
      <c r="B611" s="4" t="str">
        <f t="shared" si="54"/>
        <v xml:space="preserve">Intex </v>
      </c>
      <c r="C611" s="6" t="s">
        <v>19</v>
      </c>
      <c r="D611" s="6">
        <v>32</v>
      </c>
      <c r="E611" s="6">
        <v>12699</v>
      </c>
      <c r="F611" s="6">
        <v>27990</v>
      </c>
      <c r="G611" s="6" t="s">
        <v>54</v>
      </c>
      <c r="H611" s="6">
        <v>3.6</v>
      </c>
      <c r="I611" s="6">
        <f t="shared" si="55"/>
        <v>15291</v>
      </c>
      <c r="J611">
        <f t="shared" si="56"/>
        <v>0.54630225080385852</v>
      </c>
      <c r="K611" s="6">
        <f t="shared" si="57"/>
        <v>-15291</v>
      </c>
      <c r="L611" s="7">
        <f t="shared" si="58"/>
        <v>-1.2041105598866053</v>
      </c>
      <c r="M611" s="6" t="str">
        <f t="shared" si="59"/>
        <v>Bad Ratings</v>
      </c>
      <c r="N611" s="34">
        <f t="array" ref="N611">MEDIAN(_xlfn._xlws.FILTER(Table4[Original Price],Table4[Brand-Renamed] = Table4[[#This Row],[Brand]]))</f>
        <v>35999</v>
      </c>
      <c r="O611" s="35">
        <f t="array" ref="O611">MEDIAN(_xlfn._xlws.FILTER(Table4[Selling Price],Table4[Brand-Renamed] =Table4[[#This Row],[Brand-Renamed]]))</f>
        <v>23688</v>
      </c>
    </row>
    <row r="612" spans="1:15" ht="13.8" x14ac:dyDescent="0.25">
      <c r="A612" s="4" t="s">
        <v>127</v>
      </c>
      <c r="B612" s="4" t="str">
        <f t="shared" si="54"/>
        <v xml:space="preserve">Kodak </v>
      </c>
      <c r="C612" s="4" t="s">
        <v>8</v>
      </c>
      <c r="D612" s="4">
        <v>49</v>
      </c>
      <c r="E612" s="4">
        <v>22999</v>
      </c>
      <c r="F612" s="4">
        <v>31990</v>
      </c>
      <c r="G612" s="4" t="s">
        <v>54</v>
      </c>
      <c r="H612" s="4">
        <v>4.3</v>
      </c>
      <c r="I612" s="4">
        <f t="shared" si="55"/>
        <v>8991</v>
      </c>
      <c r="J612">
        <f t="shared" si="56"/>
        <v>0.28105658018130664</v>
      </c>
      <c r="K612" s="4">
        <f t="shared" si="57"/>
        <v>-8991</v>
      </c>
      <c r="L612" s="5">
        <f t="shared" si="58"/>
        <v>-0.39093004043654073</v>
      </c>
      <c r="M612" s="4" t="str">
        <f t="shared" si="59"/>
        <v>Medium Ratings</v>
      </c>
      <c r="N612" s="34">
        <f t="array" ref="N612">MEDIAN(_xlfn._xlws.FILTER(Table4[Original Price],Table4[Brand-Renamed] = Table4[[#This Row],[Brand]]))</f>
        <v>31990</v>
      </c>
      <c r="O612" s="35">
        <f t="array" ref="O612">MEDIAN(_xlfn._xlws.FILTER(Table4[Selling Price],Table4[Brand-Renamed] =Table4[[#This Row],[Brand-Renamed]]))</f>
        <v>22499</v>
      </c>
    </row>
    <row r="613" spans="1:15" ht="13.8" x14ac:dyDescent="0.25">
      <c r="A613" s="6" t="s">
        <v>129</v>
      </c>
      <c r="B613" s="4" t="str">
        <f t="shared" si="54"/>
        <v>Philips</v>
      </c>
      <c r="C613" s="6" t="s">
        <v>19</v>
      </c>
      <c r="D613" s="6">
        <v>32</v>
      </c>
      <c r="E613" s="6">
        <v>10840</v>
      </c>
      <c r="F613" s="6">
        <v>24990</v>
      </c>
      <c r="G613" s="6" t="s">
        <v>54</v>
      </c>
      <c r="H613" s="6">
        <v>4.0999999999999996</v>
      </c>
      <c r="I613" s="6">
        <f t="shared" si="55"/>
        <v>14150</v>
      </c>
      <c r="J613">
        <f t="shared" si="56"/>
        <v>0.56622649059623853</v>
      </c>
      <c r="K613" s="6">
        <f t="shared" si="57"/>
        <v>-14150</v>
      </c>
      <c r="L613" s="7">
        <f t="shared" si="58"/>
        <v>-1.305350553505535</v>
      </c>
      <c r="M613" s="6" t="str">
        <f t="shared" si="59"/>
        <v>Medium Ratings</v>
      </c>
      <c r="N613" s="34">
        <f t="array" ref="N613">MEDIAN(_xlfn._xlws.FILTER(Table4[Original Price],Table4[Brand-Renamed] = Table4[[#This Row],[Brand]]))</f>
        <v>44990</v>
      </c>
      <c r="O613" s="35">
        <f t="array" ref="O613">MEDIAN(_xlfn._xlws.FILTER(Table4[Selling Price],Table4[Brand-Renamed] =Table4[[#This Row],[Brand-Renamed]]))</f>
        <v>33459</v>
      </c>
    </row>
    <row r="614" spans="1:15" ht="13.8" x14ac:dyDescent="0.25">
      <c r="A614" s="4" t="s">
        <v>75</v>
      </c>
      <c r="B614" s="4" t="str">
        <f t="shared" si="54"/>
        <v>Onida</v>
      </c>
      <c r="C614" s="4" t="s">
        <v>8</v>
      </c>
      <c r="D614" s="4">
        <v>49</v>
      </c>
      <c r="E614" s="4">
        <v>29990</v>
      </c>
      <c r="F614" s="4">
        <v>50990</v>
      </c>
      <c r="G614" s="4" t="s">
        <v>54</v>
      </c>
      <c r="H614" s="4">
        <v>4.4000000000000004</v>
      </c>
      <c r="I614" s="4">
        <f t="shared" si="55"/>
        <v>21000</v>
      </c>
      <c r="J614">
        <f t="shared" si="56"/>
        <v>0.41184545989409688</v>
      </c>
      <c r="K614" s="4">
        <f t="shared" si="57"/>
        <v>-21000</v>
      </c>
      <c r="L614" s="5">
        <f t="shared" si="58"/>
        <v>-0.70023341113704574</v>
      </c>
      <c r="M614" s="4" t="str">
        <f t="shared" si="59"/>
        <v>Medium Ratings</v>
      </c>
      <c r="N614" s="34">
        <f t="array" ref="N614">MEDIAN(_xlfn._xlws.FILTER(Table4[Original Price],Table4[Brand-Renamed] = Table4[[#This Row],[Brand]]))</f>
        <v>34990</v>
      </c>
      <c r="O614" s="35">
        <f t="array" ref="O614">MEDIAN(_xlfn._xlws.FILTER(Table4[Selling Price],Table4[Brand-Renamed] =Table4[[#This Row],[Brand-Renamed]]))</f>
        <v>29399.5</v>
      </c>
    </row>
    <row r="615" spans="1:15" ht="13.8" x14ac:dyDescent="0.25">
      <c r="A615" s="6" t="s">
        <v>46</v>
      </c>
      <c r="B615" s="4" t="str">
        <f t="shared" si="54"/>
        <v>Dektron</v>
      </c>
      <c r="C615" s="6" t="s">
        <v>19</v>
      </c>
      <c r="D615" s="6">
        <v>24</v>
      </c>
      <c r="E615" s="6">
        <v>6999</v>
      </c>
      <c r="F615" s="6">
        <v>10999</v>
      </c>
      <c r="G615" s="6" t="s">
        <v>60</v>
      </c>
      <c r="H615" s="6">
        <v>4.3</v>
      </c>
      <c r="I615" s="6">
        <f t="shared" si="55"/>
        <v>4000</v>
      </c>
      <c r="J615">
        <f t="shared" si="56"/>
        <v>0.36366942449313572</v>
      </c>
      <c r="K615" s="6">
        <f t="shared" si="57"/>
        <v>-4000</v>
      </c>
      <c r="L615" s="7">
        <f t="shared" si="58"/>
        <v>-0.57151021574510641</v>
      </c>
      <c r="M615" s="6" t="str">
        <f t="shared" si="59"/>
        <v>Medium Ratings</v>
      </c>
      <c r="N615" s="34">
        <f t="array" ref="N615">MEDIAN(_xlfn._xlws.FILTER(Table4[Original Price],Table4[Brand-Renamed] = Table4[[#This Row],[Brand]]))</f>
        <v>10499</v>
      </c>
      <c r="O615" s="35">
        <f t="array" ref="O615">MEDIAN(_xlfn._xlws.FILTER(Table4[Selling Price],Table4[Brand-Renamed] =Table4[[#This Row],[Brand-Renamed]]))</f>
        <v>6999</v>
      </c>
    </row>
    <row r="616" spans="1:15" ht="13.8" x14ac:dyDescent="0.25">
      <c r="A616" s="4" t="s">
        <v>130</v>
      </c>
      <c r="B616" s="4" t="str">
        <f t="shared" si="54"/>
        <v xml:space="preserve">Rgl </v>
      </c>
      <c r="C616" s="4" t="s">
        <v>8</v>
      </c>
      <c r="D616" s="4">
        <v>21</v>
      </c>
      <c r="E616" s="4">
        <v>5200</v>
      </c>
      <c r="F616" s="4">
        <v>9420</v>
      </c>
      <c r="G616" s="4" t="s">
        <v>62</v>
      </c>
      <c r="H616" s="4">
        <v>3.9</v>
      </c>
      <c r="I616" s="4">
        <f t="shared" si="55"/>
        <v>4220</v>
      </c>
      <c r="J616">
        <f t="shared" si="56"/>
        <v>0.44798301486199577</v>
      </c>
      <c r="K616" s="4">
        <f t="shared" si="57"/>
        <v>-4220</v>
      </c>
      <c r="L616" s="5">
        <f t="shared" si="58"/>
        <v>-0.81153846153846154</v>
      </c>
      <c r="M616" s="4" t="str">
        <f t="shared" si="59"/>
        <v>Medium Ratings</v>
      </c>
      <c r="N616" s="34">
        <f t="array" ref="N616">MEDIAN(_xlfn._xlws.FILTER(Table4[Original Price],Table4[Brand-Renamed] = Table4[[#This Row],[Brand]]))</f>
        <v>12000</v>
      </c>
      <c r="O616" s="35">
        <f t="array" ref="O616">MEDIAN(_xlfn._xlws.FILTER(Table4[Selling Price],Table4[Brand-Renamed] =Table4[[#This Row],[Brand-Renamed]]))</f>
        <v>5490</v>
      </c>
    </row>
    <row r="617" spans="1:15" ht="13.8" x14ac:dyDescent="0.25">
      <c r="A617" s="6" t="s">
        <v>126</v>
      </c>
      <c r="B617" s="4" t="str">
        <f t="shared" si="54"/>
        <v xml:space="preserve">Sony </v>
      </c>
      <c r="C617" s="6" t="s">
        <v>8</v>
      </c>
      <c r="D617" s="6">
        <v>52</v>
      </c>
      <c r="E617" s="6">
        <v>37900</v>
      </c>
      <c r="F617" s="6">
        <v>37900</v>
      </c>
      <c r="G617" s="6" t="s">
        <v>60</v>
      </c>
      <c r="H617" s="6">
        <v>4.5999999999999996</v>
      </c>
      <c r="I617" s="6">
        <f t="shared" si="55"/>
        <v>0</v>
      </c>
      <c r="J617" t="str">
        <f t="shared" si="56"/>
        <v>Discount Not Applied</v>
      </c>
      <c r="K617" s="6">
        <f t="shared" si="57"/>
        <v>0</v>
      </c>
      <c r="L617" s="7">
        <f t="shared" si="58"/>
        <v>0</v>
      </c>
      <c r="M617" s="6" t="str">
        <f t="shared" si="59"/>
        <v>Good Ratings</v>
      </c>
      <c r="N617" s="34">
        <f t="array" ref="N617">MEDIAN(_xlfn._xlws.FILTER(Table4[Original Price],Table4[Brand-Renamed] = Table4[[#This Row],[Brand]]))</f>
        <v>87400</v>
      </c>
      <c r="O617" s="35">
        <f t="array" ref="O617">MEDIAN(_xlfn._xlws.FILTER(Table4[Selling Price],Table4[Brand-Renamed] =Table4[[#This Row],[Brand-Renamed]]))</f>
        <v>64294.5</v>
      </c>
    </row>
    <row r="618" spans="1:15" ht="13.8" x14ac:dyDescent="0.25">
      <c r="A618" s="4" t="s">
        <v>134</v>
      </c>
      <c r="B618" s="4" t="str">
        <f t="shared" si="54"/>
        <v>Cloudwalker</v>
      </c>
      <c r="C618" s="4" t="s">
        <v>8</v>
      </c>
      <c r="D618" s="4">
        <v>43</v>
      </c>
      <c r="E618" s="4">
        <v>17499</v>
      </c>
      <c r="F618" s="4">
        <v>32990</v>
      </c>
      <c r="G618" s="4" t="s">
        <v>54</v>
      </c>
      <c r="H618" s="4">
        <v>4.3</v>
      </c>
      <c r="I618" s="4">
        <f t="shared" si="55"/>
        <v>15491</v>
      </c>
      <c r="J618">
        <f t="shared" si="56"/>
        <v>0.46956653531373144</v>
      </c>
      <c r="K618" s="4">
        <f t="shared" si="57"/>
        <v>-15491</v>
      </c>
      <c r="L618" s="5">
        <f t="shared" si="58"/>
        <v>-0.88525058574775706</v>
      </c>
      <c r="M618" s="4" t="str">
        <f t="shared" si="59"/>
        <v>Medium Ratings</v>
      </c>
      <c r="N618" s="34">
        <f t="array" ref="N618">MEDIAN(_xlfn._xlws.FILTER(Table4[Original Price],Table4[Brand-Renamed] = Table4[[#This Row],[Brand]]))</f>
        <v>32990</v>
      </c>
      <c r="O618" s="35">
        <f t="array" ref="O618">MEDIAN(_xlfn._xlws.FILTER(Table4[Selling Price],Table4[Brand-Renamed] =Table4[[#This Row],[Brand-Renamed]]))</f>
        <v>21999</v>
      </c>
    </row>
    <row r="619" spans="1:15" ht="13.8" x14ac:dyDescent="0.25">
      <c r="A619" s="6" t="s">
        <v>122</v>
      </c>
      <c r="B619" s="4" t="str">
        <f t="shared" si="54"/>
        <v xml:space="preserve">Lg </v>
      </c>
      <c r="C619" s="6" t="s">
        <v>19</v>
      </c>
      <c r="D619" s="6">
        <v>24</v>
      </c>
      <c r="E619" s="6">
        <v>15552</v>
      </c>
      <c r="F619" s="6">
        <v>16900</v>
      </c>
      <c r="G619" s="6" t="s">
        <v>60</v>
      </c>
      <c r="H619" s="6">
        <v>2</v>
      </c>
      <c r="I619" s="6">
        <f t="shared" si="55"/>
        <v>1348</v>
      </c>
      <c r="J619">
        <f t="shared" si="56"/>
        <v>7.9763313609467451E-2</v>
      </c>
      <c r="K619" s="6">
        <f t="shared" si="57"/>
        <v>-1348</v>
      </c>
      <c r="L619" s="7">
        <f t="shared" si="58"/>
        <v>-8.6676954732510289E-2</v>
      </c>
      <c r="M619" s="6" t="str">
        <f t="shared" si="59"/>
        <v>Bad Ratings</v>
      </c>
      <c r="N619" s="34">
        <f t="array" ref="N619">MEDIAN(_xlfn._xlws.FILTER(Table4[Original Price],Table4[Brand-Renamed] = Table4[[#This Row],[Brand]]))</f>
        <v>98990</v>
      </c>
      <c r="O619" s="35">
        <f t="array" ref="O619">MEDIAN(_xlfn._xlws.FILTER(Table4[Selling Price],Table4[Brand-Renamed] =Table4[[#This Row],[Brand-Renamed]]))</f>
        <v>76737</v>
      </c>
    </row>
    <row r="620" spans="1:15" ht="13.8" x14ac:dyDescent="0.25">
      <c r="A620" s="4" t="s">
        <v>118</v>
      </c>
      <c r="B620" s="4" t="str">
        <f t="shared" si="54"/>
        <v>Toshiba</v>
      </c>
      <c r="C620" s="4" t="s">
        <v>32</v>
      </c>
      <c r="D620" s="4">
        <v>43</v>
      </c>
      <c r="E620" s="4">
        <v>28999</v>
      </c>
      <c r="F620" s="4">
        <v>38999</v>
      </c>
      <c r="G620" s="4" t="s">
        <v>64</v>
      </c>
      <c r="H620" s="4"/>
      <c r="I620" s="4">
        <f t="shared" si="55"/>
        <v>10000</v>
      </c>
      <c r="J620">
        <f t="shared" si="56"/>
        <v>0.2564168312008</v>
      </c>
      <c r="K620" s="4">
        <f t="shared" si="57"/>
        <v>-10000</v>
      </c>
      <c r="L620" s="5">
        <f t="shared" si="58"/>
        <v>-0.34483947722335251</v>
      </c>
      <c r="M620" s="4" t="str">
        <f t="shared" si="59"/>
        <v>Ratings Not Given</v>
      </c>
      <c r="N620" s="34">
        <f t="array" ref="N620">MEDIAN(_xlfn._xlws.FILTER(Table4[Original Price],Table4[Brand-Renamed] = Table4[[#This Row],[Brand]]))</f>
        <v>46990</v>
      </c>
      <c r="O620" s="35">
        <f t="array" ref="O620">MEDIAN(_xlfn._xlws.FILTER(Table4[Selling Price],Table4[Brand-Renamed] =Table4[[#This Row],[Brand-Renamed]]))</f>
        <v>29999</v>
      </c>
    </row>
    <row r="621" spans="1:15" ht="13.8" x14ac:dyDescent="0.25">
      <c r="A621" s="6" t="s">
        <v>122</v>
      </c>
      <c r="B621" s="4" t="str">
        <f t="shared" si="54"/>
        <v xml:space="preserve">Lg </v>
      </c>
      <c r="C621" s="6" t="s">
        <v>8</v>
      </c>
      <c r="D621" s="6">
        <v>22</v>
      </c>
      <c r="E621" s="6">
        <v>12453</v>
      </c>
      <c r="F621" s="6">
        <v>13500</v>
      </c>
      <c r="G621" s="6" t="s">
        <v>60</v>
      </c>
      <c r="H621" s="6">
        <v>4.0999999999999996</v>
      </c>
      <c r="I621" s="6">
        <f t="shared" si="55"/>
        <v>1047</v>
      </c>
      <c r="J621">
        <f t="shared" si="56"/>
        <v>7.7555555555555558E-2</v>
      </c>
      <c r="K621" s="6">
        <f t="shared" si="57"/>
        <v>-1047</v>
      </c>
      <c r="L621" s="7">
        <f t="shared" si="58"/>
        <v>-8.4076126234642251E-2</v>
      </c>
      <c r="M621" s="6" t="str">
        <f t="shared" si="59"/>
        <v>Medium Ratings</v>
      </c>
      <c r="N621" s="34">
        <f t="array" ref="N621">MEDIAN(_xlfn._xlws.FILTER(Table4[Original Price],Table4[Brand-Renamed] = Table4[[#This Row],[Brand]]))</f>
        <v>98990</v>
      </c>
      <c r="O621" s="35">
        <f t="array" ref="O621">MEDIAN(_xlfn._xlws.FILTER(Table4[Selling Price],Table4[Brand-Renamed] =Table4[[#This Row],[Brand-Renamed]]))</f>
        <v>76737</v>
      </c>
    </row>
    <row r="622" spans="1:15" ht="13.8" x14ac:dyDescent="0.25">
      <c r="A622" s="4" t="s">
        <v>124</v>
      </c>
      <c r="B622" s="4" t="str">
        <f t="shared" si="54"/>
        <v>Iffalcon By Tcl</v>
      </c>
      <c r="C622" s="4" t="s">
        <v>19</v>
      </c>
      <c r="D622" s="4">
        <v>32</v>
      </c>
      <c r="E622" s="4">
        <v>13990</v>
      </c>
      <c r="F622" s="4">
        <v>18990</v>
      </c>
      <c r="G622" s="4" t="s">
        <v>54</v>
      </c>
      <c r="H622" s="4">
        <v>4.2</v>
      </c>
      <c r="I622" s="4">
        <f t="shared" si="55"/>
        <v>5000</v>
      </c>
      <c r="J622">
        <f t="shared" si="56"/>
        <v>0.2632964718272775</v>
      </c>
      <c r="K622" s="4">
        <f t="shared" si="57"/>
        <v>-5000</v>
      </c>
      <c r="L622" s="5">
        <f t="shared" si="58"/>
        <v>-0.35739814152966404</v>
      </c>
      <c r="M622" s="4" t="str">
        <f t="shared" si="59"/>
        <v>Medium Ratings</v>
      </c>
      <c r="N622" s="34">
        <f t="array" ref="N622">MEDIAN(_xlfn._xlws.FILTER(Table4[Original Price],Table4[Brand-Renamed] = Table4[[#This Row],[Brand]]))</f>
        <v>76990</v>
      </c>
      <c r="O622" s="35">
        <f t="array" ref="O622">MEDIAN(_xlfn._xlws.FILTER(Table4[Selling Price],Table4[Brand-Renamed] =Table4[[#This Row],[Brand-Renamed]]))</f>
        <v>36999</v>
      </c>
    </row>
    <row r="623" spans="1:15" ht="13.8" x14ac:dyDescent="0.25">
      <c r="A623" s="6" t="s">
        <v>122</v>
      </c>
      <c r="B623" s="4" t="str">
        <f t="shared" si="54"/>
        <v xml:space="preserve">Lg </v>
      </c>
      <c r="C623" s="6" t="s">
        <v>8</v>
      </c>
      <c r="D623" s="6">
        <v>32</v>
      </c>
      <c r="E623" s="6">
        <v>32527</v>
      </c>
      <c r="F623" s="6">
        <v>38900</v>
      </c>
      <c r="G623" s="6" t="s">
        <v>58</v>
      </c>
      <c r="H623" s="6">
        <v>4.3</v>
      </c>
      <c r="I623" s="6">
        <f t="shared" si="55"/>
        <v>6373</v>
      </c>
      <c r="J623">
        <f t="shared" si="56"/>
        <v>0.16383033419023135</v>
      </c>
      <c r="K623" s="6">
        <f t="shared" si="57"/>
        <v>-6373</v>
      </c>
      <c r="L623" s="7">
        <f t="shared" si="58"/>
        <v>-0.19592953546284625</v>
      </c>
      <c r="M623" s="6" t="str">
        <f t="shared" si="59"/>
        <v>Medium Ratings</v>
      </c>
      <c r="N623" s="34">
        <f t="array" ref="N623">MEDIAN(_xlfn._xlws.FILTER(Table4[Original Price],Table4[Brand-Renamed] = Table4[[#This Row],[Brand]]))</f>
        <v>98990</v>
      </c>
      <c r="O623" s="35">
        <f t="array" ref="O623">MEDIAN(_xlfn._xlws.FILTER(Table4[Selling Price],Table4[Brand-Renamed] =Table4[[#This Row],[Brand-Renamed]]))</f>
        <v>76737</v>
      </c>
    </row>
    <row r="624" spans="1:15" ht="13.8" x14ac:dyDescent="0.25">
      <c r="A624" s="4" t="s">
        <v>125</v>
      </c>
      <c r="B624" s="4" t="str">
        <f t="shared" si="54"/>
        <v>Samsung</v>
      </c>
      <c r="C624" s="4" t="s">
        <v>8</v>
      </c>
      <c r="D624" s="4">
        <v>40</v>
      </c>
      <c r="E624" s="4">
        <v>33000</v>
      </c>
      <c r="F624" s="4">
        <v>43850</v>
      </c>
      <c r="G624" s="4" t="s">
        <v>56</v>
      </c>
      <c r="H624" s="4">
        <v>3.8</v>
      </c>
      <c r="I624" s="4">
        <f t="shared" si="55"/>
        <v>10850</v>
      </c>
      <c r="J624">
        <f t="shared" si="56"/>
        <v>0.24743443557582667</v>
      </c>
      <c r="K624" s="4">
        <f t="shared" si="57"/>
        <v>-10850</v>
      </c>
      <c r="L624" s="5">
        <f t="shared" si="58"/>
        <v>-0.3287878787878788</v>
      </c>
      <c r="M624" s="4" t="str">
        <f t="shared" si="59"/>
        <v>Medium Ratings</v>
      </c>
      <c r="N624" s="34">
        <f t="array" ref="N624">MEDIAN(_xlfn._xlws.FILTER(Table4[Original Price],Table4[Brand-Renamed] = Table4[[#This Row],[Brand]]))</f>
        <v>100945</v>
      </c>
      <c r="O624" s="35">
        <f t="array" ref="O624">MEDIAN(_xlfn._xlws.FILTER(Table4[Selling Price],Table4[Brand-Renamed] =Table4[[#This Row],[Brand-Renamed]]))</f>
        <v>74490</v>
      </c>
    </row>
    <row r="625" spans="1:15" ht="13.8" x14ac:dyDescent="0.25">
      <c r="A625" s="6" t="s">
        <v>21</v>
      </c>
      <c r="B625" s="4" t="str">
        <f t="shared" si="54"/>
        <v>Micromax</v>
      </c>
      <c r="C625" s="6" t="s">
        <v>19</v>
      </c>
      <c r="D625" s="6">
        <v>24</v>
      </c>
      <c r="E625" s="6">
        <v>5792</v>
      </c>
      <c r="F625" s="6">
        <v>11990</v>
      </c>
      <c r="G625" s="6" t="s">
        <v>54</v>
      </c>
      <c r="H625" s="6">
        <v>4.3</v>
      </c>
      <c r="I625" s="6">
        <f t="shared" si="55"/>
        <v>6198</v>
      </c>
      <c r="J625">
        <f t="shared" si="56"/>
        <v>0.51693077564637202</v>
      </c>
      <c r="K625" s="6">
        <f t="shared" si="57"/>
        <v>-6198</v>
      </c>
      <c r="L625" s="7">
        <f t="shared" si="58"/>
        <v>-1.070096685082873</v>
      </c>
      <c r="M625" s="6" t="str">
        <f t="shared" si="59"/>
        <v>Medium Ratings</v>
      </c>
      <c r="N625" s="34">
        <f t="array" ref="N625">MEDIAN(_xlfn._xlws.FILTER(Table4[Original Price],Table4[Brand-Renamed] = Table4[[#This Row],[Brand]]))</f>
        <v>24990</v>
      </c>
      <c r="O625" s="35">
        <f t="array" ref="O625">MEDIAN(_xlfn._xlws.FILTER(Table4[Selling Price],Table4[Brand-Renamed] =Table4[[#This Row],[Brand-Renamed]]))</f>
        <v>16825</v>
      </c>
    </row>
    <row r="626" spans="1:15" ht="13.8" x14ac:dyDescent="0.25">
      <c r="A626" s="4" t="s">
        <v>134</v>
      </c>
      <c r="B626" s="4" t="str">
        <f t="shared" si="54"/>
        <v>Cloudwalker</v>
      </c>
      <c r="C626" s="4" t="s">
        <v>32</v>
      </c>
      <c r="D626" s="4">
        <v>55</v>
      </c>
      <c r="E626" s="4">
        <v>84500</v>
      </c>
      <c r="F626" s="4">
        <v>84500</v>
      </c>
      <c r="G626" s="4" t="s">
        <v>54</v>
      </c>
      <c r="H626" s="4">
        <v>3.7</v>
      </c>
      <c r="I626" s="4">
        <f t="shared" si="55"/>
        <v>0</v>
      </c>
      <c r="J626" t="str">
        <f t="shared" si="56"/>
        <v>Discount Not Applied</v>
      </c>
      <c r="K626" s="4">
        <f t="shared" si="57"/>
        <v>0</v>
      </c>
      <c r="L626" s="5">
        <f t="shared" si="58"/>
        <v>0</v>
      </c>
      <c r="M626" s="4" t="str">
        <f t="shared" si="59"/>
        <v>Bad Ratings</v>
      </c>
      <c r="N626" s="34">
        <f t="array" ref="N626">MEDIAN(_xlfn._xlws.FILTER(Table4[Original Price],Table4[Brand-Renamed] = Table4[[#This Row],[Brand]]))</f>
        <v>32990</v>
      </c>
      <c r="O626" s="35">
        <f t="array" ref="O626">MEDIAN(_xlfn._xlws.FILTER(Table4[Selling Price],Table4[Brand-Renamed] =Table4[[#This Row],[Brand-Renamed]]))</f>
        <v>21999</v>
      </c>
    </row>
    <row r="627" spans="1:15" ht="13.8" x14ac:dyDescent="0.25">
      <c r="A627" s="6" t="s">
        <v>125</v>
      </c>
      <c r="B627" s="4" t="str">
        <f t="shared" si="54"/>
        <v>Samsung</v>
      </c>
      <c r="C627" s="6" t="s">
        <v>8</v>
      </c>
      <c r="D627" s="6">
        <v>32</v>
      </c>
      <c r="E627" s="6">
        <v>20126</v>
      </c>
      <c r="F627" s="6">
        <v>40900</v>
      </c>
      <c r="G627" s="6" t="s">
        <v>56</v>
      </c>
      <c r="H627" s="6">
        <v>4.4000000000000004</v>
      </c>
      <c r="I627" s="6">
        <f t="shared" si="55"/>
        <v>20774</v>
      </c>
      <c r="J627">
        <f t="shared" si="56"/>
        <v>0.50792176039119807</v>
      </c>
      <c r="K627" s="6">
        <f t="shared" si="57"/>
        <v>-20774</v>
      </c>
      <c r="L627" s="7">
        <f t="shared" si="58"/>
        <v>-1.0321971579051972</v>
      </c>
      <c r="M627" s="6" t="str">
        <f t="shared" si="59"/>
        <v>Medium Ratings</v>
      </c>
      <c r="N627" s="34">
        <f t="array" ref="N627">MEDIAN(_xlfn._xlws.FILTER(Table4[Original Price],Table4[Brand-Renamed] = Table4[[#This Row],[Brand]]))</f>
        <v>100945</v>
      </c>
      <c r="O627" s="35">
        <f t="array" ref="O627">MEDIAN(_xlfn._xlws.FILTER(Table4[Selling Price],Table4[Brand-Renamed] =Table4[[#This Row],[Brand-Renamed]]))</f>
        <v>74490</v>
      </c>
    </row>
    <row r="628" spans="1:15" ht="13.8" x14ac:dyDescent="0.25">
      <c r="A628" s="4" t="s">
        <v>125</v>
      </c>
      <c r="B628" s="4" t="str">
        <f t="shared" si="54"/>
        <v>Samsung</v>
      </c>
      <c r="C628" s="4" t="s">
        <v>8</v>
      </c>
      <c r="D628" s="4">
        <v>32</v>
      </c>
      <c r="E628" s="4">
        <v>15990</v>
      </c>
      <c r="F628" s="4">
        <v>34900</v>
      </c>
      <c r="G628" s="4" t="s">
        <v>56</v>
      </c>
      <c r="H628" s="4">
        <v>4.2</v>
      </c>
      <c r="I628" s="4">
        <f t="shared" si="55"/>
        <v>18910</v>
      </c>
      <c r="J628">
        <f t="shared" si="56"/>
        <v>0.54183381088825211</v>
      </c>
      <c r="K628" s="4">
        <f t="shared" si="57"/>
        <v>-18910</v>
      </c>
      <c r="L628" s="5">
        <f t="shared" si="58"/>
        <v>-1.182614133833646</v>
      </c>
      <c r="M628" s="4" t="str">
        <f t="shared" si="59"/>
        <v>Medium Ratings</v>
      </c>
      <c r="N628" s="34">
        <f t="array" ref="N628">MEDIAN(_xlfn._xlws.FILTER(Table4[Original Price],Table4[Brand-Renamed] = Table4[[#This Row],[Brand]]))</f>
        <v>100945</v>
      </c>
      <c r="O628" s="35">
        <f t="array" ref="O628">MEDIAN(_xlfn._xlws.FILTER(Table4[Selling Price],Table4[Brand-Renamed] =Table4[[#This Row],[Brand-Renamed]]))</f>
        <v>74490</v>
      </c>
    </row>
    <row r="629" spans="1:15" ht="13.8" x14ac:dyDescent="0.25">
      <c r="A629" s="6" t="s">
        <v>15</v>
      </c>
      <c r="B629" s="4" t="str">
        <f t="shared" si="54"/>
        <v>Vu</v>
      </c>
      <c r="C629" s="6" t="s">
        <v>19</v>
      </c>
      <c r="D629" s="6">
        <v>32</v>
      </c>
      <c r="E629" s="6">
        <v>14999</v>
      </c>
      <c r="F629" s="6">
        <v>15000</v>
      </c>
      <c r="G629" s="6" t="s">
        <v>54</v>
      </c>
      <c r="H629" s="6">
        <v>4.3</v>
      </c>
      <c r="I629" s="6">
        <f t="shared" si="55"/>
        <v>1</v>
      </c>
      <c r="J629">
        <f t="shared" si="56"/>
        <v>6.666666666666667E-5</v>
      </c>
      <c r="K629" s="6">
        <f t="shared" si="57"/>
        <v>-1</v>
      </c>
      <c r="L629" s="7">
        <f t="shared" si="58"/>
        <v>-6.667111140742716E-5</v>
      </c>
      <c r="M629" s="6" t="str">
        <f t="shared" si="59"/>
        <v>Medium Ratings</v>
      </c>
      <c r="N629" s="34">
        <f t="array" ref="N629">MEDIAN(_xlfn._xlws.FILTER(Table4[Original Price],Table4[Brand-Renamed] = Table4[[#This Row],[Brand]]))</f>
        <v>49990</v>
      </c>
      <c r="O629" s="35">
        <f t="array" ref="O629">MEDIAN(_xlfn._xlws.FILTER(Table4[Selling Price],Table4[Brand-Renamed] =Table4[[#This Row],[Brand-Renamed]]))</f>
        <v>30999</v>
      </c>
    </row>
    <row r="630" spans="1:15" ht="13.8" x14ac:dyDescent="0.25">
      <c r="A630" s="4" t="s">
        <v>131</v>
      </c>
      <c r="B630" s="4" t="str">
        <f t="shared" si="54"/>
        <v xml:space="preserve">Lumx </v>
      </c>
      <c r="C630" s="4" t="s">
        <v>19</v>
      </c>
      <c r="D630" s="4">
        <v>32</v>
      </c>
      <c r="E630" s="4">
        <v>11990</v>
      </c>
      <c r="F630" s="4">
        <v>23900</v>
      </c>
      <c r="G630" s="4" t="s">
        <v>54</v>
      </c>
      <c r="H630" s="4"/>
      <c r="I630" s="4">
        <f t="shared" si="55"/>
        <v>11910</v>
      </c>
      <c r="J630">
        <f t="shared" si="56"/>
        <v>0.49832635983263596</v>
      </c>
      <c r="K630" s="4">
        <f t="shared" si="57"/>
        <v>-11910</v>
      </c>
      <c r="L630" s="5">
        <f t="shared" si="58"/>
        <v>-0.99332777314428689</v>
      </c>
      <c r="M630" s="4" t="str">
        <f t="shared" si="59"/>
        <v>Ratings Not Given</v>
      </c>
      <c r="N630" s="34">
        <f t="array" ref="N630">MEDIAN(_xlfn._xlws.FILTER(Table4[Original Price],Table4[Brand-Renamed] = Table4[[#This Row],[Brand]]))</f>
        <v>28445</v>
      </c>
      <c r="O630" s="35">
        <f t="array" ref="O630">MEDIAN(_xlfn._xlws.FILTER(Table4[Selling Price],Table4[Brand-Renamed] =Table4[[#This Row],[Brand-Renamed]]))</f>
        <v>16990</v>
      </c>
    </row>
    <row r="631" spans="1:15" ht="13.8" x14ac:dyDescent="0.25">
      <c r="A631" s="6" t="s">
        <v>13</v>
      </c>
      <c r="B631" s="4" t="str">
        <f t="shared" si="54"/>
        <v>Panasonic</v>
      </c>
      <c r="C631" s="6" t="s">
        <v>8</v>
      </c>
      <c r="D631" s="6">
        <v>43</v>
      </c>
      <c r="E631" s="6">
        <v>53999</v>
      </c>
      <c r="F631" s="6">
        <v>59900</v>
      </c>
      <c r="G631" s="6" t="s">
        <v>54</v>
      </c>
      <c r="H631" s="6">
        <v>4.4000000000000004</v>
      </c>
      <c r="I631" s="6">
        <f t="shared" si="55"/>
        <v>5901</v>
      </c>
      <c r="J631">
        <f t="shared" si="56"/>
        <v>9.8514190317195327E-2</v>
      </c>
      <c r="K631" s="6">
        <f t="shared" si="57"/>
        <v>-5901</v>
      </c>
      <c r="L631" s="7">
        <f t="shared" si="58"/>
        <v>-0.10927980147780514</v>
      </c>
      <c r="M631" s="6" t="str">
        <f t="shared" si="59"/>
        <v>Medium Ratings</v>
      </c>
      <c r="N631" s="34">
        <f t="array" ref="N631">MEDIAN(_xlfn._xlws.FILTER(Table4[Original Price],Table4[Brand-Renamed] = Table4[[#This Row],[Brand]]))</f>
        <v>64195</v>
      </c>
      <c r="O631" s="35">
        <f t="array" ref="O631">MEDIAN(_xlfn._xlws.FILTER(Table4[Selling Price],Table4[Brand-Renamed] =Table4[[#This Row],[Brand-Renamed]]))</f>
        <v>43129</v>
      </c>
    </row>
    <row r="632" spans="1:15" ht="13.8" x14ac:dyDescent="0.25">
      <c r="A632" s="4" t="s">
        <v>130</v>
      </c>
      <c r="B632" s="4" t="str">
        <f t="shared" si="54"/>
        <v xml:space="preserve">Rgl </v>
      </c>
      <c r="C632" s="4" t="s">
        <v>8</v>
      </c>
      <c r="D632" s="4">
        <v>22</v>
      </c>
      <c r="E632" s="4">
        <v>5490</v>
      </c>
      <c r="F632" s="4">
        <v>9990</v>
      </c>
      <c r="G632" s="4" t="s">
        <v>62</v>
      </c>
      <c r="H632" s="4">
        <v>3.9</v>
      </c>
      <c r="I632" s="4">
        <f t="shared" si="55"/>
        <v>4500</v>
      </c>
      <c r="J632">
        <f t="shared" si="56"/>
        <v>0.45045045045045046</v>
      </c>
      <c r="K632" s="4">
        <f t="shared" si="57"/>
        <v>-4500</v>
      </c>
      <c r="L632" s="5">
        <f t="shared" si="58"/>
        <v>-0.81967213114754101</v>
      </c>
      <c r="M632" s="4" t="str">
        <f t="shared" si="59"/>
        <v>Medium Ratings</v>
      </c>
      <c r="N632" s="34">
        <f t="array" ref="N632">MEDIAN(_xlfn._xlws.FILTER(Table4[Original Price],Table4[Brand-Renamed] = Table4[[#This Row],[Brand]]))</f>
        <v>12000</v>
      </c>
      <c r="O632" s="35">
        <f t="array" ref="O632">MEDIAN(_xlfn._xlws.FILTER(Table4[Selling Price],Table4[Brand-Renamed] =Table4[[#This Row],[Brand-Renamed]]))</f>
        <v>5490</v>
      </c>
    </row>
    <row r="633" spans="1:15" ht="13.8" x14ac:dyDescent="0.25">
      <c r="A633" s="6" t="s">
        <v>122</v>
      </c>
      <c r="B633" s="4" t="str">
        <f t="shared" si="54"/>
        <v xml:space="preserve">Lg </v>
      </c>
      <c r="C633" s="6" t="s">
        <v>8</v>
      </c>
      <c r="D633" s="6">
        <v>32</v>
      </c>
      <c r="E633" s="6">
        <v>31990</v>
      </c>
      <c r="F633" s="6">
        <v>31990</v>
      </c>
      <c r="G633" s="6" t="s">
        <v>58</v>
      </c>
      <c r="H633" s="6">
        <v>4.4000000000000004</v>
      </c>
      <c r="I633" s="6">
        <f t="shared" si="55"/>
        <v>0</v>
      </c>
      <c r="J633" t="str">
        <f t="shared" si="56"/>
        <v>Discount Not Applied</v>
      </c>
      <c r="K633" s="6">
        <f t="shared" si="57"/>
        <v>0</v>
      </c>
      <c r="L633" s="7">
        <f t="shared" si="58"/>
        <v>0</v>
      </c>
      <c r="M633" s="6" t="str">
        <f t="shared" si="59"/>
        <v>Medium Ratings</v>
      </c>
      <c r="N633" s="34">
        <f t="array" ref="N633">MEDIAN(_xlfn._xlws.FILTER(Table4[Original Price],Table4[Brand-Renamed] = Table4[[#This Row],[Brand]]))</f>
        <v>98990</v>
      </c>
      <c r="O633" s="35">
        <f t="array" ref="O633">MEDIAN(_xlfn._xlws.FILTER(Table4[Selling Price],Table4[Brand-Renamed] =Table4[[#This Row],[Brand-Renamed]]))</f>
        <v>76737</v>
      </c>
    </row>
    <row r="634" spans="1:15" ht="13.8" x14ac:dyDescent="0.25">
      <c r="A634" s="4" t="s">
        <v>134</v>
      </c>
      <c r="B634" s="4" t="str">
        <f t="shared" si="54"/>
        <v>Cloudwalker</v>
      </c>
      <c r="C634" s="4" t="s">
        <v>19</v>
      </c>
      <c r="D634" s="4">
        <v>32</v>
      </c>
      <c r="E634" s="4">
        <v>11999</v>
      </c>
      <c r="F634" s="4">
        <v>19990</v>
      </c>
      <c r="G634" s="4" t="s">
        <v>54</v>
      </c>
      <c r="H634" s="4">
        <v>4.3</v>
      </c>
      <c r="I634" s="4">
        <f t="shared" si="55"/>
        <v>7991</v>
      </c>
      <c r="J634">
        <f t="shared" si="56"/>
        <v>0.39974987493746872</v>
      </c>
      <c r="K634" s="4">
        <f t="shared" si="57"/>
        <v>-7991</v>
      </c>
      <c r="L634" s="5">
        <f t="shared" si="58"/>
        <v>-0.66597216434702888</v>
      </c>
      <c r="M634" s="4" t="str">
        <f t="shared" si="59"/>
        <v>Medium Ratings</v>
      </c>
      <c r="N634" s="34">
        <f t="array" ref="N634">MEDIAN(_xlfn._xlws.FILTER(Table4[Original Price],Table4[Brand-Renamed] = Table4[[#This Row],[Brand]]))</f>
        <v>32990</v>
      </c>
      <c r="O634" s="35">
        <f t="array" ref="O634">MEDIAN(_xlfn._xlws.FILTER(Table4[Selling Price],Table4[Brand-Renamed] =Table4[[#This Row],[Brand-Renamed]]))</f>
        <v>21999</v>
      </c>
    </row>
    <row r="635" spans="1:15" ht="13.8" x14ac:dyDescent="0.25">
      <c r="A635" s="6" t="s">
        <v>83</v>
      </c>
      <c r="B635" s="4" t="str">
        <f t="shared" si="54"/>
        <v xml:space="preserve">Sharp </v>
      </c>
      <c r="C635" s="6" t="s">
        <v>32</v>
      </c>
      <c r="D635" s="6">
        <v>50</v>
      </c>
      <c r="E635" s="6">
        <v>37396</v>
      </c>
      <c r="F635" s="6">
        <v>79990</v>
      </c>
      <c r="G635" s="6" t="s">
        <v>60</v>
      </c>
      <c r="H635" s="6"/>
      <c r="I635" s="6">
        <f t="shared" si="55"/>
        <v>42594</v>
      </c>
      <c r="J635">
        <f t="shared" si="56"/>
        <v>0.53249156144518062</v>
      </c>
      <c r="K635" s="6">
        <f t="shared" si="57"/>
        <v>-42594</v>
      </c>
      <c r="L635" s="7">
        <f t="shared" si="58"/>
        <v>-1.1389988234035726</v>
      </c>
      <c r="M635" s="6" t="str">
        <f t="shared" si="59"/>
        <v>Ratings Not Given</v>
      </c>
      <c r="N635" s="34">
        <f t="array" ref="N635">MEDIAN(_xlfn._xlws.FILTER(Table4[Original Price],Table4[Brand-Renamed] = Table4[[#This Row],[Brand]]))</f>
        <v>127990</v>
      </c>
      <c r="O635" s="35">
        <f t="array" ref="O635">MEDIAN(_xlfn._xlws.FILTER(Table4[Selling Price],Table4[Brand-Renamed] =Table4[[#This Row],[Brand-Renamed]]))</f>
        <v>127990</v>
      </c>
    </row>
    <row r="636" spans="1:15" ht="13.8" x14ac:dyDescent="0.25">
      <c r="A636" s="4" t="s">
        <v>41</v>
      </c>
      <c r="B636" s="4" t="str">
        <f t="shared" si="54"/>
        <v xml:space="preserve">Candes </v>
      </c>
      <c r="C636" s="4" t="s">
        <v>8</v>
      </c>
      <c r="D636" s="4">
        <v>40</v>
      </c>
      <c r="E636" s="4">
        <v>15999</v>
      </c>
      <c r="F636" s="4">
        <v>29990</v>
      </c>
      <c r="G636" s="4" t="s">
        <v>54</v>
      </c>
      <c r="H636" s="4">
        <v>4.0999999999999996</v>
      </c>
      <c r="I636" s="4">
        <f t="shared" si="55"/>
        <v>13991</v>
      </c>
      <c r="J636">
        <f t="shared" si="56"/>
        <v>0.46652217405801932</v>
      </c>
      <c r="K636" s="4">
        <f t="shared" si="57"/>
        <v>-13991</v>
      </c>
      <c r="L636" s="5">
        <f t="shared" si="58"/>
        <v>-0.87449215575973493</v>
      </c>
      <c r="M636" s="4" t="str">
        <f t="shared" si="59"/>
        <v>Medium Ratings</v>
      </c>
      <c r="N636" s="34">
        <f t="array" ref="N636">MEDIAN(_xlfn._xlws.FILTER(Table4[Original Price],Table4[Brand-Renamed] = Table4[[#This Row],[Brand]]))</f>
        <v>26340</v>
      </c>
      <c r="O636" s="35">
        <f t="array" ref="O636">MEDIAN(_xlfn._xlws.FILTER(Table4[Selling Price],Table4[Brand-Renamed] =Table4[[#This Row],[Brand-Renamed]]))</f>
        <v>13649</v>
      </c>
    </row>
    <row r="637" spans="1:15" ht="13.8" x14ac:dyDescent="0.25">
      <c r="A637" s="6" t="s">
        <v>38</v>
      </c>
      <c r="B637" s="4" t="str">
        <f t="shared" si="54"/>
        <v xml:space="preserve">Akai </v>
      </c>
      <c r="C637" s="6" t="s">
        <v>19</v>
      </c>
      <c r="D637" s="6">
        <v>32</v>
      </c>
      <c r="E637" s="6">
        <v>17500</v>
      </c>
      <c r="F637" s="6">
        <v>23190</v>
      </c>
      <c r="G637" s="6" t="s">
        <v>54</v>
      </c>
      <c r="H637" s="6"/>
      <c r="I637" s="6">
        <f t="shared" si="55"/>
        <v>5690</v>
      </c>
      <c r="J637">
        <f t="shared" si="56"/>
        <v>0.24536438119879259</v>
      </c>
      <c r="K637" s="6">
        <f t="shared" si="57"/>
        <v>-5690</v>
      </c>
      <c r="L637" s="7">
        <f t="shared" si="58"/>
        <v>-0.32514285714285712</v>
      </c>
      <c r="M637" s="6" t="str">
        <f t="shared" si="59"/>
        <v>Ratings Not Given</v>
      </c>
      <c r="N637" s="34">
        <f t="array" ref="N637">MEDIAN(_xlfn._xlws.FILTER(Table4[Original Price],Table4[Brand-Renamed] = Table4[[#This Row],[Brand]]))</f>
        <v>79990</v>
      </c>
      <c r="O637" s="35">
        <f t="array" ref="O637">MEDIAN(_xlfn._xlws.FILTER(Table4[Selling Price],Table4[Brand-Renamed] =Table4[[#This Row],[Brand-Renamed]]))</f>
        <v>51146</v>
      </c>
    </row>
    <row r="638" spans="1:15" ht="13.8" x14ac:dyDescent="0.25">
      <c r="A638" s="4" t="s">
        <v>126</v>
      </c>
      <c r="B638" s="4" t="str">
        <f t="shared" si="54"/>
        <v xml:space="preserve">Sony </v>
      </c>
      <c r="C638" s="4" t="s">
        <v>8</v>
      </c>
      <c r="D638" s="4">
        <v>50</v>
      </c>
      <c r="E638" s="4">
        <v>52999</v>
      </c>
      <c r="F638" s="4">
        <v>79900</v>
      </c>
      <c r="G638" s="4" t="s">
        <v>60</v>
      </c>
      <c r="H638" s="4">
        <v>4.5</v>
      </c>
      <c r="I638" s="4">
        <f t="shared" si="55"/>
        <v>26901</v>
      </c>
      <c r="J638">
        <f t="shared" si="56"/>
        <v>0.33668335419274092</v>
      </c>
      <c r="K638" s="4">
        <f t="shared" si="57"/>
        <v>-26901</v>
      </c>
      <c r="L638" s="5">
        <f t="shared" si="58"/>
        <v>-0.50757561463423839</v>
      </c>
      <c r="M638" s="4" t="str">
        <f t="shared" si="59"/>
        <v>Good Ratings</v>
      </c>
      <c r="N638" s="34">
        <f t="array" ref="N638">MEDIAN(_xlfn._xlws.FILTER(Table4[Original Price],Table4[Brand-Renamed] = Table4[[#This Row],[Brand]]))</f>
        <v>87400</v>
      </c>
      <c r="O638" s="35">
        <f t="array" ref="O638">MEDIAN(_xlfn._xlws.FILTER(Table4[Selling Price],Table4[Brand-Renamed] =Table4[[#This Row],[Brand-Renamed]]))</f>
        <v>64294.5</v>
      </c>
    </row>
    <row r="639" spans="1:15" ht="13.8" x14ac:dyDescent="0.25">
      <c r="A639" s="6" t="s">
        <v>122</v>
      </c>
      <c r="B639" s="4" t="str">
        <f t="shared" si="54"/>
        <v xml:space="preserve">Lg </v>
      </c>
      <c r="C639" s="6" t="s">
        <v>8</v>
      </c>
      <c r="D639" s="6">
        <v>43</v>
      </c>
      <c r="E639" s="6">
        <v>25999</v>
      </c>
      <c r="F639" s="6">
        <v>35990</v>
      </c>
      <c r="G639" s="6" t="s">
        <v>58</v>
      </c>
      <c r="H639" s="6">
        <v>4.3</v>
      </c>
      <c r="I639" s="6">
        <f t="shared" si="55"/>
        <v>9991</v>
      </c>
      <c r="J639">
        <f t="shared" si="56"/>
        <v>0.2776048902472909</v>
      </c>
      <c r="K639" s="6">
        <f t="shared" si="57"/>
        <v>-9991</v>
      </c>
      <c r="L639" s="7">
        <f t="shared" si="58"/>
        <v>-0.38428401092349707</v>
      </c>
      <c r="M639" s="6" t="str">
        <f t="shared" si="59"/>
        <v>Medium Ratings</v>
      </c>
      <c r="N639" s="34">
        <f t="array" ref="N639">MEDIAN(_xlfn._xlws.FILTER(Table4[Original Price],Table4[Brand-Renamed] = Table4[[#This Row],[Brand]]))</f>
        <v>98990</v>
      </c>
      <c r="O639" s="35">
        <f t="array" ref="O639">MEDIAN(_xlfn._xlws.FILTER(Table4[Selling Price],Table4[Brand-Renamed] =Table4[[#This Row],[Brand-Renamed]]))</f>
        <v>76737</v>
      </c>
    </row>
    <row r="640" spans="1:15" ht="13.8" x14ac:dyDescent="0.25">
      <c r="A640" s="4" t="s">
        <v>41</v>
      </c>
      <c r="B640" s="4" t="str">
        <f t="shared" si="54"/>
        <v xml:space="preserve">Candes </v>
      </c>
      <c r="C640" s="4" t="s">
        <v>19</v>
      </c>
      <c r="D640" s="4">
        <v>24</v>
      </c>
      <c r="E640" s="4">
        <v>9999</v>
      </c>
      <c r="F640" s="4">
        <v>17990</v>
      </c>
      <c r="G640" s="4" t="s">
        <v>54</v>
      </c>
      <c r="H640" s="4">
        <v>4.0999999999999996</v>
      </c>
      <c r="I640" s="4">
        <f t="shared" si="55"/>
        <v>7991</v>
      </c>
      <c r="J640">
        <f t="shared" si="56"/>
        <v>0.44419121734296829</v>
      </c>
      <c r="K640" s="4">
        <f t="shared" si="57"/>
        <v>-7991</v>
      </c>
      <c r="L640" s="5">
        <f t="shared" si="58"/>
        <v>-0.79917991799179922</v>
      </c>
      <c r="M640" s="4" t="str">
        <f t="shared" si="59"/>
        <v>Medium Ratings</v>
      </c>
      <c r="N640" s="34">
        <f t="array" ref="N640">MEDIAN(_xlfn._xlws.FILTER(Table4[Original Price],Table4[Brand-Renamed] = Table4[[#This Row],[Brand]]))</f>
        <v>26340</v>
      </c>
      <c r="O640" s="35">
        <f t="array" ref="O640">MEDIAN(_xlfn._xlws.FILTER(Table4[Selling Price],Table4[Brand-Renamed] =Table4[[#This Row],[Brand-Renamed]]))</f>
        <v>13649</v>
      </c>
    </row>
    <row r="641" spans="1:15" ht="13.8" x14ac:dyDescent="0.25">
      <c r="A641" s="6" t="s">
        <v>75</v>
      </c>
      <c r="B641" s="4" t="str">
        <f t="shared" si="54"/>
        <v>Onida</v>
      </c>
      <c r="C641" s="6" t="s">
        <v>32</v>
      </c>
      <c r="D641" s="6">
        <v>43</v>
      </c>
      <c r="E641" s="6">
        <v>29800</v>
      </c>
      <c r="F641" s="6">
        <v>49990</v>
      </c>
      <c r="G641" s="6" t="s">
        <v>54</v>
      </c>
      <c r="H641" s="6">
        <v>4.0999999999999996</v>
      </c>
      <c r="I641" s="6">
        <f t="shared" si="55"/>
        <v>20190</v>
      </c>
      <c r="J641">
        <f t="shared" si="56"/>
        <v>0.40388077615523105</v>
      </c>
      <c r="K641" s="6">
        <f t="shared" si="57"/>
        <v>-20190</v>
      </c>
      <c r="L641" s="7">
        <f t="shared" si="58"/>
        <v>-0.6775167785234899</v>
      </c>
      <c r="M641" s="6" t="str">
        <f t="shared" si="59"/>
        <v>Medium Ratings</v>
      </c>
      <c r="N641" s="34">
        <f t="array" ref="N641">MEDIAN(_xlfn._xlws.FILTER(Table4[Original Price],Table4[Brand-Renamed] = Table4[[#This Row],[Brand]]))</f>
        <v>34990</v>
      </c>
      <c r="O641" s="35">
        <f t="array" ref="O641">MEDIAN(_xlfn._xlws.FILTER(Table4[Selling Price],Table4[Brand-Renamed] =Table4[[#This Row],[Brand-Renamed]]))</f>
        <v>29399.5</v>
      </c>
    </row>
    <row r="642" spans="1:15" ht="13.8" x14ac:dyDescent="0.25">
      <c r="A642" s="4" t="s">
        <v>128</v>
      </c>
      <c r="B642" s="4" t="str">
        <f t="shared" ref="B642:B705" si="60">PROPER(A642)</f>
        <v>Motorola</v>
      </c>
      <c r="C642" s="4" t="s">
        <v>32</v>
      </c>
      <c r="D642" s="4">
        <v>55</v>
      </c>
      <c r="E642" s="4">
        <v>39999</v>
      </c>
      <c r="F642" s="4">
        <v>61600</v>
      </c>
      <c r="G642" s="4" t="s">
        <v>54</v>
      </c>
      <c r="H642" s="4">
        <v>4.3</v>
      </c>
      <c r="I642" s="4">
        <f t="shared" ref="I642:I705" si="61">F642-E642</f>
        <v>21601</v>
      </c>
      <c r="J642">
        <f t="shared" ref="J642:J705" si="62">IF((F642-E642)/F642 = 0, "Discount Not Applied", (F642-E642)/F642)</f>
        <v>0.35066558441558443</v>
      </c>
      <c r="K642" s="4">
        <f t="shared" ref="K642:K705" si="63">E642-F642</f>
        <v>-21601</v>
      </c>
      <c r="L642" s="5">
        <f t="shared" ref="L642:L705" si="64">(E642-F642)/E642</f>
        <v>-0.54003850096252404</v>
      </c>
      <c r="M642" s="4" t="str">
        <f t="shared" ref="M642:M705" si="65">IF(ISBLANK(H642),"Ratings Not Given",IF(H642&gt;=4.5,"Good Ratings",IF(H642&lt;=3.7,"Bad Ratings","Medium Ratings")))</f>
        <v>Medium Ratings</v>
      </c>
      <c r="N642" s="34">
        <f t="array" ref="N642">MEDIAN(_xlfn._xlws.FILTER(Table4[Original Price],Table4[Brand-Renamed] = Table4[[#This Row],[Brand]]))</f>
        <v>54050</v>
      </c>
      <c r="O642" s="35">
        <f t="array" ref="O642">MEDIAN(_xlfn._xlws.FILTER(Table4[Selling Price],Table4[Brand-Renamed] =Table4[[#This Row],[Brand-Renamed]]))</f>
        <v>35999</v>
      </c>
    </row>
    <row r="643" spans="1:15" ht="13.8" x14ac:dyDescent="0.25">
      <c r="A643" s="6" t="s">
        <v>15</v>
      </c>
      <c r="B643" s="4" t="str">
        <f t="shared" si="60"/>
        <v>Vu</v>
      </c>
      <c r="C643" s="6" t="s">
        <v>32</v>
      </c>
      <c r="D643" s="6">
        <v>43</v>
      </c>
      <c r="E643" s="6">
        <v>23999</v>
      </c>
      <c r="F643" s="6">
        <v>46165</v>
      </c>
      <c r="G643" s="6" t="s">
        <v>54</v>
      </c>
      <c r="H643" s="6">
        <v>4.3</v>
      </c>
      <c r="I643" s="6">
        <f t="shared" si="61"/>
        <v>22166</v>
      </c>
      <c r="J643">
        <f t="shared" si="62"/>
        <v>0.48014729773638037</v>
      </c>
      <c r="K643" s="6">
        <f t="shared" si="63"/>
        <v>-22166</v>
      </c>
      <c r="L643" s="7">
        <f t="shared" si="64"/>
        <v>-0.92362181757573236</v>
      </c>
      <c r="M643" s="6" t="str">
        <f t="shared" si="65"/>
        <v>Medium Ratings</v>
      </c>
      <c r="N643" s="34">
        <f t="array" ref="N643">MEDIAN(_xlfn._xlws.FILTER(Table4[Original Price],Table4[Brand-Renamed] = Table4[[#This Row],[Brand]]))</f>
        <v>49990</v>
      </c>
      <c r="O643" s="35">
        <f t="array" ref="O643">MEDIAN(_xlfn._xlws.FILTER(Table4[Selling Price],Table4[Brand-Renamed] =Table4[[#This Row],[Brand-Renamed]]))</f>
        <v>30999</v>
      </c>
    </row>
    <row r="644" spans="1:15" ht="13.8" x14ac:dyDescent="0.25">
      <c r="A644" s="4" t="s">
        <v>134</v>
      </c>
      <c r="B644" s="4" t="str">
        <f t="shared" si="60"/>
        <v>Cloudwalker</v>
      </c>
      <c r="C644" s="4" t="s">
        <v>8</v>
      </c>
      <c r="D644" s="4">
        <v>39</v>
      </c>
      <c r="E644" s="4">
        <v>14999</v>
      </c>
      <c r="F644" s="4">
        <v>26990</v>
      </c>
      <c r="G644" s="4" t="s">
        <v>54</v>
      </c>
      <c r="H644" s="4">
        <v>4.2</v>
      </c>
      <c r="I644" s="4">
        <f t="shared" si="61"/>
        <v>11991</v>
      </c>
      <c r="J644">
        <f t="shared" si="62"/>
        <v>0.44427565765098187</v>
      </c>
      <c r="K644" s="4">
        <f t="shared" si="63"/>
        <v>-11991</v>
      </c>
      <c r="L644" s="5">
        <f t="shared" si="64"/>
        <v>-0.79945329688645905</v>
      </c>
      <c r="M644" s="4" t="str">
        <f t="shared" si="65"/>
        <v>Medium Ratings</v>
      </c>
      <c r="N644" s="34">
        <f t="array" ref="N644">MEDIAN(_xlfn._xlws.FILTER(Table4[Original Price],Table4[Brand-Renamed] = Table4[[#This Row],[Brand]]))</f>
        <v>32990</v>
      </c>
      <c r="O644" s="35">
        <f t="array" ref="O644">MEDIAN(_xlfn._xlws.FILTER(Table4[Selling Price],Table4[Brand-Renamed] =Table4[[#This Row],[Brand-Renamed]]))</f>
        <v>21999</v>
      </c>
    </row>
    <row r="645" spans="1:15" ht="13.8" x14ac:dyDescent="0.25">
      <c r="A645" s="6" t="s">
        <v>122</v>
      </c>
      <c r="B645" s="4" t="str">
        <f t="shared" si="60"/>
        <v xml:space="preserve">Lg </v>
      </c>
      <c r="C645" s="6" t="s">
        <v>19</v>
      </c>
      <c r="D645" s="6">
        <v>32</v>
      </c>
      <c r="E645" s="6">
        <v>20776</v>
      </c>
      <c r="F645" s="6">
        <v>28990</v>
      </c>
      <c r="G645" s="6" t="s">
        <v>58</v>
      </c>
      <c r="H645" s="6">
        <v>4.5</v>
      </c>
      <c r="I645" s="6">
        <f t="shared" si="61"/>
        <v>8214</v>
      </c>
      <c r="J645">
        <f t="shared" si="62"/>
        <v>0.28333908244222145</v>
      </c>
      <c r="K645" s="6">
        <f t="shared" si="63"/>
        <v>-8214</v>
      </c>
      <c r="L645" s="7">
        <f t="shared" si="64"/>
        <v>-0.39536003080477472</v>
      </c>
      <c r="M645" s="6" t="str">
        <f t="shared" si="65"/>
        <v>Good Ratings</v>
      </c>
      <c r="N645" s="34">
        <f t="array" ref="N645">MEDIAN(_xlfn._xlws.FILTER(Table4[Original Price],Table4[Brand-Renamed] = Table4[[#This Row],[Brand]]))</f>
        <v>98990</v>
      </c>
      <c r="O645" s="35">
        <f t="array" ref="O645">MEDIAN(_xlfn._xlws.FILTER(Table4[Selling Price],Table4[Brand-Renamed] =Table4[[#This Row],[Brand-Renamed]]))</f>
        <v>76737</v>
      </c>
    </row>
    <row r="646" spans="1:15" ht="13.8" x14ac:dyDescent="0.25">
      <c r="A646" s="4" t="s">
        <v>134</v>
      </c>
      <c r="B646" s="4" t="str">
        <f t="shared" si="60"/>
        <v>Cloudwalker</v>
      </c>
      <c r="C646" s="4" t="s">
        <v>19</v>
      </c>
      <c r="D646" s="4">
        <v>32</v>
      </c>
      <c r="E646" s="4">
        <v>17989</v>
      </c>
      <c r="F646" s="4">
        <v>17990</v>
      </c>
      <c r="G646" s="4" t="s">
        <v>54</v>
      </c>
      <c r="H646" s="4">
        <v>4.3</v>
      </c>
      <c r="I646" s="4">
        <f t="shared" si="61"/>
        <v>1</v>
      </c>
      <c r="J646">
        <f t="shared" si="62"/>
        <v>5.5586436909394107E-5</v>
      </c>
      <c r="K646" s="4">
        <f t="shared" si="63"/>
        <v>-1</v>
      </c>
      <c r="L646" s="5">
        <f t="shared" si="64"/>
        <v>-5.5589526933125801E-5</v>
      </c>
      <c r="M646" s="4" t="str">
        <f t="shared" si="65"/>
        <v>Medium Ratings</v>
      </c>
      <c r="N646" s="34">
        <f t="array" ref="N646">MEDIAN(_xlfn._xlws.FILTER(Table4[Original Price],Table4[Brand-Renamed] = Table4[[#This Row],[Brand]]))</f>
        <v>32990</v>
      </c>
      <c r="O646" s="35">
        <f t="array" ref="O646">MEDIAN(_xlfn._xlws.FILTER(Table4[Selling Price],Table4[Brand-Renamed] =Table4[[#This Row],[Brand-Renamed]]))</f>
        <v>21999</v>
      </c>
    </row>
    <row r="647" spans="1:15" ht="13.8" x14ac:dyDescent="0.25">
      <c r="A647" s="6" t="s">
        <v>134</v>
      </c>
      <c r="B647" s="4" t="str">
        <f t="shared" si="60"/>
        <v>Cloudwalker</v>
      </c>
      <c r="C647" s="6" t="s">
        <v>8</v>
      </c>
      <c r="D647" s="6">
        <v>43</v>
      </c>
      <c r="E647" s="6">
        <v>21999</v>
      </c>
      <c r="F647" s="6">
        <v>31990</v>
      </c>
      <c r="G647" s="6" t="s">
        <v>54</v>
      </c>
      <c r="H647" s="6">
        <v>4</v>
      </c>
      <c r="I647" s="6">
        <f t="shared" si="61"/>
        <v>9991</v>
      </c>
      <c r="J647">
        <f t="shared" si="62"/>
        <v>0.31231634885901843</v>
      </c>
      <c r="K647" s="6">
        <f t="shared" si="63"/>
        <v>-9991</v>
      </c>
      <c r="L647" s="7">
        <f t="shared" si="64"/>
        <v>-0.45415700713668805</v>
      </c>
      <c r="M647" s="6" t="str">
        <f t="shared" si="65"/>
        <v>Medium Ratings</v>
      </c>
      <c r="N647" s="34">
        <f t="array" ref="N647">MEDIAN(_xlfn._xlws.FILTER(Table4[Original Price],Table4[Brand-Renamed] = Table4[[#This Row],[Brand]]))</f>
        <v>32990</v>
      </c>
      <c r="O647" s="35">
        <f t="array" ref="O647">MEDIAN(_xlfn._xlws.FILTER(Table4[Selling Price],Table4[Brand-Renamed] =Table4[[#This Row],[Brand-Renamed]]))</f>
        <v>21999</v>
      </c>
    </row>
    <row r="648" spans="1:15" ht="13.8" x14ac:dyDescent="0.25">
      <c r="A648" s="4" t="s">
        <v>122</v>
      </c>
      <c r="B648" s="4" t="str">
        <f t="shared" si="60"/>
        <v xml:space="preserve">Lg </v>
      </c>
      <c r="C648" s="4" t="s">
        <v>19</v>
      </c>
      <c r="D648" s="4">
        <v>24</v>
      </c>
      <c r="E648" s="4">
        <v>6765</v>
      </c>
      <c r="F648" s="4">
        <v>13490</v>
      </c>
      <c r="G648" s="4" t="s">
        <v>60</v>
      </c>
      <c r="H648" s="4">
        <v>4.3</v>
      </c>
      <c r="I648" s="4">
        <f t="shared" si="61"/>
        <v>6725</v>
      </c>
      <c r="J648">
        <f t="shared" si="62"/>
        <v>0.49851742031134172</v>
      </c>
      <c r="K648" s="4">
        <f t="shared" si="63"/>
        <v>-6725</v>
      </c>
      <c r="L648" s="5">
        <f t="shared" si="64"/>
        <v>-0.99408721359940877</v>
      </c>
      <c r="M648" s="4" t="str">
        <f t="shared" si="65"/>
        <v>Medium Ratings</v>
      </c>
      <c r="N648" s="34">
        <f t="array" ref="N648">MEDIAN(_xlfn._xlws.FILTER(Table4[Original Price],Table4[Brand-Renamed] = Table4[[#This Row],[Brand]]))</f>
        <v>98990</v>
      </c>
      <c r="O648" s="35">
        <f t="array" ref="O648">MEDIAN(_xlfn._xlws.FILTER(Table4[Selling Price],Table4[Brand-Renamed] =Table4[[#This Row],[Brand-Renamed]]))</f>
        <v>76737</v>
      </c>
    </row>
    <row r="649" spans="1:15" ht="13.8" x14ac:dyDescent="0.25">
      <c r="A649" s="6" t="s">
        <v>137</v>
      </c>
      <c r="B649" s="4" t="str">
        <f t="shared" si="60"/>
        <v xml:space="preserve">Detel </v>
      </c>
      <c r="C649" s="6" t="s">
        <v>19</v>
      </c>
      <c r="D649" s="6">
        <v>32</v>
      </c>
      <c r="E649" s="6">
        <v>7833</v>
      </c>
      <c r="F649" s="6">
        <v>21999</v>
      </c>
      <c r="G649" s="6" t="s">
        <v>54</v>
      </c>
      <c r="H649" s="6">
        <v>4.2</v>
      </c>
      <c r="I649" s="6">
        <f t="shared" si="61"/>
        <v>14166</v>
      </c>
      <c r="J649">
        <f t="shared" si="62"/>
        <v>0.64393836083458345</v>
      </c>
      <c r="K649" s="6">
        <f t="shared" si="63"/>
        <v>-14166</v>
      </c>
      <c r="L649" s="7">
        <f t="shared" si="64"/>
        <v>-1.8085024894676369</v>
      </c>
      <c r="M649" s="6" t="str">
        <f t="shared" si="65"/>
        <v>Medium Ratings</v>
      </c>
      <c r="N649" s="34">
        <f t="array" ref="N649">MEDIAN(_xlfn._xlws.FILTER(Table4[Original Price],Table4[Brand-Renamed] = Table4[[#This Row],[Brand]]))</f>
        <v>23999</v>
      </c>
      <c r="O649" s="35">
        <f t="array" ref="O649">MEDIAN(_xlfn._xlws.FILTER(Table4[Selling Price],Table4[Brand-Renamed] =Table4[[#This Row],[Brand-Renamed]]))</f>
        <v>11300</v>
      </c>
    </row>
    <row r="650" spans="1:15" ht="13.8" x14ac:dyDescent="0.25">
      <c r="A650" s="4" t="s">
        <v>15</v>
      </c>
      <c r="B650" s="4" t="str">
        <f t="shared" si="60"/>
        <v>Vu</v>
      </c>
      <c r="C650" s="4" t="s">
        <v>19</v>
      </c>
      <c r="D650" s="4">
        <v>32</v>
      </c>
      <c r="E650" s="4">
        <v>10999</v>
      </c>
      <c r="F650" s="4">
        <v>18000</v>
      </c>
      <c r="G650" s="4" t="s">
        <v>54</v>
      </c>
      <c r="H650" s="4">
        <v>4.4000000000000004</v>
      </c>
      <c r="I650" s="4">
        <f t="shared" si="61"/>
        <v>7001</v>
      </c>
      <c r="J650">
        <f t="shared" si="62"/>
        <v>0.38894444444444443</v>
      </c>
      <c r="K650" s="4">
        <f t="shared" si="63"/>
        <v>-7001</v>
      </c>
      <c r="L650" s="5">
        <f t="shared" si="64"/>
        <v>-0.63651241021911087</v>
      </c>
      <c r="M650" s="4" t="str">
        <f t="shared" si="65"/>
        <v>Medium Ratings</v>
      </c>
      <c r="N650" s="34">
        <f t="array" ref="N650">MEDIAN(_xlfn._xlws.FILTER(Table4[Original Price],Table4[Brand-Renamed] = Table4[[#This Row],[Brand]]))</f>
        <v>49990</v>
      </c>
      <c r="O650" s="35">
        <f t="array" ref="O650">MEDIAN(_xlfn._xlws.FILTER(Table4[Selling Price],Table4[Brand-Renamed] =Table4[[#This Row],[Brand-Renamed]]))</f>
        <v>30999</v>
      </c>
    </row>
    <row r="651" spans="1:15" ht="13.8" x14ac:dyDescent="0.25">
      <c r="A651" s="6" t="s">
        <v>134</v>
      </c>
      <c r="B651" s="4" t="str">
        <f t="shared" si="60"/>
        <v>Cloudwalker</v>
      </c>
      <c r="C651" s="6" t="s">
        <v>32</v>
      </c>
      <c r="D651" s="6">
        <v>43</v>
      </c>
      <c r="E651" s="6">
        <v>24999</v>
      </c>
      <c r="F651" s="6">
        <v>37990</v>
      </c>
      <c r="G651" s="6" t="s">
        <v>54</v>
      </c>
      <c r="H651" s="6">
        <v>3.9</v>
      </c>
      <c r="I651" s="6">
        <f t="shared" si="61"/>
        <v>12991</v>
      </c>
      <c r="J651">
        <f t="shared" si="62"/>
        <v>0.34195841010792316</v>
      </c>
      <c r="K651" s="6">
        <f t="shared" si="63"/>
        <v>-12991</v>
      </c>
      <c r="L651" s="7">
        <f t="shared" si="64"/>
        <v>-0.5196607864314573</v>
      </c>
      <c r="M651" s="6" t="str">
        <f t="shared" si="65"/>
        <v>Medium Ratings</v>
      </c>
      <c r="N651" s="34">
        <f t="array" ref="N651">MEDIAN(_xlfn._xlws.FILTER(Table4[Original Price],Table4[Brand-Renamed] = Table4[[#This Row],[Brand]]))</f>
        <v>32990</v>
      </c>
      <c r="O651" s="35">
        <f t="array" ref="O651">MEDIAN(_xlfn._xlws.FILTER(Table4[Selling Price],Table4[Brand-Renamed] =Table4[[#This Row],[Brand-Renamed]]))</f>
        <v>21999</v>
      </c>
    </row>
    <row r="652" spans="1:15" ht="13.8" x14ac:dyDescent="0.25">
      <c r="A652" s="4" t="s">
        <v>13</v>
      </c>
      <c r="B652" s="4" t="str">
        <f t="shared" si="60"/>
        <v>Panasonic</v>
      </c>
      <c r="C652" s="4" t="s">
        <v>19</v>
      </c>
      <c r="D652" s="4">
        <v>32</v>
      </c>
      <c r="E652" s="4">
        <v>27399</v>
      </c>
      <c r="F652" s="4">
        <v>27400</v>
      </c>
      <c r="G652" s="4" t="s">
        <v>54</v>
      </c>
      <c r="H652" s="4">
        <v>4.4000000000000004</v>
      </c>
      <c r="I652" s="4">
        <f t="shared" si="61"/>
        <v>1</v>
      </c>
      <c r="J652">
        <f t="shared" si="62"/>
        <v>3.6496350364963507E-5</v>
      </c>
      <c r="K652" s="4">
        <f t="shared" si="63"/>
        <v>-1</v>
      </c>
      <c r="L652" s="5">
        <f t="shared" si="64"/>
        <v>-3.6497682397167778E-5</v>
      </c>
      <c r="M652" s="4" t="str">
        <f t="shared" si="65"/>
        <v>Medium Ratings</v>
      </c>
      <c r="N652" s="34">
        <f t="array" ref="N652">MEDIAN(_xlfn._xlws.FILTER(Table4[Original Price],Table4[Brand-Renamed] = Table4[[#This Row],[Brand]]))</f>
        <v>64195</v>
      </c>
      <c r="O652" s="35">
        <f t="array" ref="O652">MEDIAN(_xlfn._xlws.FILTER(Table4[Selling Price],Table4[Brand-Renamed] =Table4[[#This Row],[Brand-Renamed]]))</f>
        <v>43129</v>
      </c>
    </row>
    <row r="653" spans="1:15" ht="13.8" x14ac:dyDescent="0.25">
      <c r="A653" s="6" t="s">
        <v>13</v>
      </c>
      <c r="B653" s="4" t="str">
        <f t="shared" si="60"/>
        <v>Panasonic</v>
      </c>
      <c r="C653" s="6" t="s">
        <v>32</v>
      </c>
      <c r="D653" s="6">
        <v>49</v>
      </c>
      <c r="E653" s="6">
        <v>62999</v>
      </c>
      <c r="F653" s="6">
        <v>111900</v>
      </c>
      <c r="G653" s="6" t="s">
        <v>54</v>
      </c>
      <c r="H653" s="6">
        <v>2.8</v>
      </c>
      <c r="I653" s="6">
        <f t="shared" si="61"/>
        <v>48901</v>
      </c>
      <c r="J653">
        <f t="shared" si="62"/>
        <v>0.43700625558534406</v>
      </c>
      <c r="K653" s="6">
        <f t="shared" si="63"/>
        <v>-48901</v>
      </c>
      <c r="L653" s="7">
        <f t="shared" si="64"/>
        <v>-0.77621867013762125</v>
      </c>
      <c r="M653" s="6" t="str">
        <f t="shared" si="65"/>
        <v>Bad Ratings</v>
      </c>
      <c r="N653" s="34">
        <f t="array" ref="N653">MEDIAN(_xlfn._xlws.FILTER(Table4[Original Price],Table4[Brand-Renamed] = Table4[[#This Row],[Brand]]))</f>
        <v>64195</v>
      </c>
      <c r="O653" s="35">
        <f t="array" ref="O653">MEDIAN(_xlfn._xlws.FILTER(Table4[Selling Price],Table4[Brand-Renamed] =Table4[[#This Row],[Brand-Renamed]]))</f>
        <v>43129</v>
      </c>
    </row>
    <row r="654" spans="1:15" ht="13.8" x14ac:dyDescent="0.25">
      <c r="A654" s="4" t="s">
        <v>13</v>
      </c>
      <c r="B654" s="4" t="str">
        <f t="shared" si="60"/>
        <v>Panasonic</v>
      </c>
      <c r="C654" s="4" t="s">
        <v>32</v>
      </c>
      <c r="D654" s="4">
        <v>55</v>
      </c>
      <c r="E654" s="4">
        <v>90104</v>
      </c>
      <c r="F654" s="4">
        <v>178900</v>
      </c>
      <c r="G654" s="4" t="s">
        <v>60</v>
      </c>
      <c r="H654" s="4"/>
      <c r="I654" s="4">
        <f t="shared" si="61"/>
        <v>88796</v>
      </c>
      <c r="J654">
        <f t="shared" si="62"/>
        <v>0.49634432643935161</v>
      </c>
      <c r="K654" s="4">
        <f t="shared" si="63"/>
        <v>-88796</v>
      </c>
      <c r="L654" s="5">
        <f t="shared" si="64"/>
        <v>-0.98548344135665455</v>
      </c>
      <c r="M654" s="4" t="str">
        <f t="shared" si="65"/>
        <v>Ratings Not Given</v>
      </c>
      <c r="N654" s="34">
        <f t="array" ref="N654">MEDIAN(_xlfn._xlws.FILTER(Table4[Original Price],Table4[Brand-Renamed] = Table4[[#This Row],[Brand]]))</f>
        <v>64195</v>
      </c>
      <c r="O654" s="35">
        <f t="array" ref="O654">MEDIAN(_xlfn._xlws.FILTER(Table4[Selling Price],Table4[Brand-Renamed] =Table4[[#This Row],[Brand-Renamed]]))</f>
        <v>43129</v>
      </c>
    </row>
    <row r="655" spans="1:15" ht="13.8" x14ac:dyDescent="0.25">
      <c r="A655" s="6" t="s">
        <v>122</v>
      </c>
      <c r="B655" s="4" t="str">
        <f t="shared" si="60"/>
        <v xml:space="preserve">Lg </v>
      </c>
      <c r="C655" s="6" t="s">
        <v>8</v>
      </c>
      <c r="D655" s="6">
        <v>43</v>
      </c>
      <c r="E655" s="6">
        <v>24930</v>
      </c>
      <c r="F655" s="6">
        <v>45674</v>
      </c>
      <c r="G655" s="6" t="s">
        <v>60</v>
      </c>
      <c r="H655" s="6">
        <v>4</v>
      </c>
      <c r="I655" s="6">
        <f t="shared" si="61"/>
        <v>20744</v>
      </c>
      <c r="J655">
        <f t="shared" si="62"/>
        <v>0.45417524193195252</v>
      </c>
      <c r="K655" s="6">
        <f t="shared" si="63"/>
        <v>-20744</v>
      </c>
      <c r="L655" s="7">
        <f t="shared" si="64"/>
        <v>-0.83208985158443638</v>
      </c>
      <c r="M655" s="6" t="str">
        <f t="shared" si="65"/>
        <v>Medium Ratings</v>
      </c>
      <c r="N655" s="34">
        <f t="array" ref="N655">MEDIAN(_xlfn._xlws.FILTER(Table4[Original Price],Table4[Brand-Renamed] = Table4[[#This Row],[Brand]]))</f>
        <v>98990</v>
      </c>
      <c r="O655" s="35">
        <f t="array" ref="O655">MEDIAN(_xlfn._xlws.FILTER(Table4[Selling Price],Table4[Brand-Renamed] =Table4[[#This Row],[Brand-Renamed]]))</f>
        <v>76737</v>
      </c>
    </row>
    <row r="656" spans="1:15" ht="13.8" x14ac:dyDescent="0.25">
      <c r="A656" s="4" t="s">
        <v>21</v>
      </c>
      <c r="B656" s="4" t="str">
        <f t="shared" si="60"/>
        <v>Micromax</v>
      </c>
      <c r="C656" s="4" t="s">
        <v>19</v>
      </c>
      <c r="D656" s="4">
        <v>32</v>
      </c>
      <c r="E656" s="4">
        <v>16825</v>
      </c>
      <c r="F656" s="4">
        <v>23990</v>
      </c>
      <c r="G656" s="4" t="s">
        <v>54</v>
      </c>
      <c r="H656" s="4">
        <v>4.3</v>
      </c>
      <c r="I656" s="4">
        <f t="shared" si="61"/>
        <v>7165</v>
      </c>
      <c r="J656">
        <f t="shared" si="62"/>
        <v>0.29866611087953315</v>
      </c>
      <c r="K656" s="4">
        <f t="shared" si="63"/>
        <v>-7165</v>
      </c>
      <c r="L656" s="5">
        <f t="shared" si="64"/>
        <v>-0.42585438335809805</v>
      </c>
      <c r="M656" s="4" t="str">
        <f t="shared" si="65"/>
        <v>Medium Ratings</v>
      </c>
      <c r="N656" s="34">
        <f t="array" ref="N656">MEDIAN(_xlfn._xlws.FILTER(Table4[Original Price],Table4[Brand-Renamed] = Table4[[#This Row],[Brand]]))</f>
        <v>24990</v>
      </c>
      <c r="O656" s="35">
        <f t="array" ref="O656">MEDIAN(_xlfn._xlws.FILTER(Table4[Selling Price],Table4[Brand-Renamed] =Table4[[#This Row],[Brand-Renamed]]))</f>
        <v>16825</v>
      </c>
    </row>
    <row r="657" spans="1:15" ht="13.8" x14ac:dyDescent="0.25">
      <c r="A657" s="6" t="s">
        <v>13</v>
      </c>
      <c r="B657" s="4" t="str">
        <f t="shared" si="60"/>
        <v>Panasonic</v>
      </c>
      <c r="C657" s="6" t="s">
        <v>8</v>
      </c>
      <c r="D657" s="6">
        <v>32</v>
      </c>
      <c r="E657" s="6">
        <v>62900</v>
      </c>
      <c r="F657" s="6">
        <v>62900</v>
      </c>
      <c r="G657" s="6" t="s">
        <v>54</v>
      </c>
      <c r="H657" s="6"/>
      <c r="I657" s="6">
        <f t="shared" si="61"/>
        <v>0</v>
      </c>
      <c r="J657" t="str">
        <f t="shared" si="62"/>
        <v>Discount Not Applied</v>
      </c>
      <c r="K657" s="6">
        <f t="shared" si="63"/>
        <v>0</v>
      </c>
      <c r="L657" s="7">
        <f t="shared" si="64"/>
        <v>0</v>
      </c>
      <c r="M657" s="6" t="str">
        <f t="shared" si="65"/>
        <v>Ratings Not Given</v>
      </c>
      <c r="N657" s="34">
        <f t="array" ref="N657">MEDIAN(_xlfn._xlws.FILTER(Table4[Original Price],Table4[Brand-Renamed] = Table4[[#This Row],[Brand]]))</f>
        <v>64195</v>
      </c>
      <c r="O657" s="35">
        <f t="array" ref="O657">MEDIAN(_xlfn._xlws.FILTER(Table4[Selling Price],Table4[Brand-Renamed] =Table4[[#This Row],[Brand-Renamed]]))</f>
        <v>43129</v>
      </c>
    </row>
    <row r="658" spans="1:15" ht="13.8" x14ac:dyDescent="0.25">
      <c r="A658" s="4" t="s">
        <v>141</v>
      </c>
      <c r="B658" s="4" t="str">
        <f t="shared" si="60"/>
        <v>Krisons</v>
      </c>
      <c r="C658" s="4" t="s">
        <v>19</v>
      </c>
      <c r="D658" s="4">
        <v>20</v>
      </c>
      <c r="E658" s="4">
        <v>6599</v>
      </c>
      <c r="F658" s="4">
        <v>7999</v>
      </c>
      <c r="G658" s="4" t="s">
        <v>54</v>
      </c>
      <c r="H658" s="4"/>
      <c r="I658" s="4">
        <f t="shared" si="61"/>
        <v>1400</v>
      </c>
      <c r="J658">
        <f t="shared" si="62"/>
        <v>0.17502187773471684</v>
      </c>
      <c r="K658" s="4">
        <f t="shared" si="63"/>
        <v>-1400</v>
      </c>
      <c r="L658" s="5">
        <f t="shared" si="64"/>
        <v>-0.21215335656917714</v>
      </c>
      <c r="M658" s="4" t="str">
        <f t="shared" si="65"/>
        <v>Ratings Not Given</v>
      </c>
      <c r="N658" s="34">
        <f t="array" ref="N658">MEDIAN(_xlfn._xlws.FILTER(Table4[Original Price],Table4[Brand-Renamed] = Table4[[#This Row],[Brand]]))</f>
        <v>7999</v>
      </c>
      <c r="O658" s="35">
        <f t="array" ref="O658">MEDIAN(_xlfn._xlws.FILTER(Table4[Selling Price],Table4[Brand-Renamed] =Table4[[#This Row],[Brand-Renamed]]))</f>
        <v>5499</v>
      </c>
    </row>
    <row r="659" spans="1:15" ht="13.8" x14ac:dyDescent="0.25">
      <c r="A659" s="6" t="s">
        <v>13</v>
      </c>
      <c r="B659" s="4" t="str">
        <f t="shared" si="60"/>
        <v>Panasonic</v>
      </c>
      <c r="C659" s="6" t="s">
        <v>8</v>
      </c>
      <c r="D659" s="6">
        <v>40</v>
      </c>
      <c r="E659" s="6">
        <v>34639</v>
      </c>
      <c r="F659" s="6">
        <v>39900</v>
      </c>
      <c r="G659" s="6" t="s">
        <v>54</v>
      </c>
      <c r="H659" s="6">
        <v>4.0999999999999996</v>
      </c>
      <c r="I659" s="6">
        <f t="shared" si="61"/>
        <v>5261</v>
      </c>
      <c r="J659">
        <f t="shared" si="62"/>
        <v>0.1318546365914787</v>
      </c>
      <c r="K659" s="6">
        <f t="shared" si="63"/>
        <v>-5261</v>
      </c>
      <c r="L659" s="7">
        <f t="shared" si="64"/>
        <v>-0.15188082796847485</v>
      </c>
      <c r="M659" s="6" t="str">
        <f t="shared" si="65"/>
        <v>Medium Ratings</v>
      </c>
      <c r="N659" s="34">
        <f t="array" ref="N659">MEDIAN(_xlfn._xlws.FILTER(Table4[Original Price],Table4[Brand-Renamed] = Table4[[#This Row],[Brand]]))</f>
        <v>64195</v>
      </c>
      <c r="O659" s="35">
        <f t="array" ref="O659">MEDIAN(_xlfn._xlws.FILTER(Table4[Selling Price],Table4[Brand-Renamed] =Table4[[#This Row],[Brand-Renamed]]))</f>
        <v>43129</v>
      </c>
    </row>
    <row r="660" spans="1:15" ht="13.8" x14ac:dyDescent="0.25">
      <c r="A660" s="4" t="s">
        <v>88</v>
      </c>
      <c r="B660" s="4" t="str">
        <f t="shared" si="60"/>
        <v>Thomson</v>
      </c>
      <c r="C660" s="4" t="s">
        <v>32</v>
      </c>
      <c r="D660" s="4">
        <v>43</v>
      </c>
      <c r="E660" s="4">
        <v>24999</v>
      </c>
      <c r="F660" s="4">
        <v>39999</v>
      </c>
      <c r="G660" s="4" t="s">
        <v>54</v>
      </c>
      <c r="H660" s="4">
        <v>4.4000000000000004</v>
      </c>
      <c r="I660" s="4">
        <f t="shared" si="61"/>
        <v>15000</v>
      </c>
      <c r="J660">
        <f t="shared" si="62"/>
        <v>0.37500937523438088</v>
      </c>
      <c r="K660" s="4">
        <f t="shared" si="63"/>
        <v>-15000</v>
      </c>
      <c r="L660" s="5">
        <f t="shared" si="64"/>
        <v>-0.60002400096003838</v>
      </c>
      <c r="M660" s="4" t="str">
        <f t="shared" si="65"/>
        <v>Medium Ratings</v>
      </c>
      <c r="N660" s="34">
        <f t="array" ref="N660">MEDIAN(_xlfn._xlws.FILTER(Table4[Original Price],Table4[Brand-Renamed] = Table4[[#This Row],[Brand]]))</f>
        <v>28999</v>
      </c>
      <c r="O660" s="35">
        <f t="array" ref="O660">MEDIAN(_xlfn._xlws.FILTER(Table4[Selling Price],Table4[Brand-Renamed] =Table4[[#This Row],[Brand-Renamed]]))</f>
        <v>21749</v>
      </c>
    </row>
    <row r="661" spans="1:15" ht="13.8" x14ac:dyDescent="0.25">
      <c r="A661" s="6" t="s">
        <v>92</v>
      </c>
      <c r="B661" s="4" t="str">
        <f t="shared" si="60"/>
        <v xml:space="preserve">Weston </v>
      </c>
      <c r="C661" s="6" t="s">
        <v>32</v>
      </c>
      <c r="D661" s="6">
        <v>55</v>
      </c>
      <c r="E661" s="6">
        <v>59990</v>
      </c>
      <c r="F661" s="6">
        <v>59990</v>
      </c>
      <c r="G661" s="6" t="s">
        <v>54</v>
      </c>
      <c r="H661" s="6">
        <v>4.2</v>
      </c>
      <c r="I661" s="6">
        <f t="shared" si="61"/>
        <v>0</v>
      </c>
      <c r="J661" t="str">
        <f t="shared" si="62"/>
        <v>Discount Not Applied</v>
      </c>
      <c r="K661" s="6">
        <f t="shared" si="63"/>
        <v>0</v>
      </c>
      <c r="L661" s="7">
        <f t="shared" si="64"/>
        <v>0</v>
      </c>
      <c r="M661" s="6" t="str">
        <f t="shared" si="65"/>
        <v>Medium Ratings</v>
      </c>
      <c r="N661" s="34">
        <f t="array" ref="N661">MEDIAN(_xlfn._xlws.FILTER(Table4[Original Price],Table4[Brand-Renamed] = Table4[[#This Row],[Brand]]))</f>
        <v>40990</v>
      </c>
      <c r="O661" s="35">
        <f t="array" ref="O661">MEDIAN(_xlfn._xlws.FILTER(Table4[Selling Price],Table4[Brand-Renamed] =Table4[[#This Row],[Brand-Renamed]]))</f>
        <v>40990</v>
      </c>
    </row>
    <row r="662" spans="1:15" ht="13.8" x14ac:dyDescent="0.25">
      <c r="A662" s="4" t="s">
        <v>125</v>
      </c>
      <c r="B662" s="4" t="str">
        <f t="shared" si="60"/>
        <v>Samsung</v>
      </c>
      <c r="C662" s="4" t="s">
        <v>19</v>
      </c>
      <c r="D662" s="4">
        <v>32</v>
      </c>
      <c r="E662" s="4">
        <v>13990</v>
      </c>
      <c r="F662" s="4">
        <v>28900</v>
      </c>
      <c r="G662" s="4" t="s">
        <v>56</v>
      </c>
      <c r="H662" s="4">
        <v>4.5</v>
      </c>
      <c r="I662" s="4">
        <f t="shared" si="61"/>
        <v>14910</v>
      </c>
      <c r="J662">
        <f t="shared" si="62"/>
        <v>0.51591695501730106</v>
      </c>
      <c r="K662" s="4">
        <f t="shared" si="63"/>
        <v>-14910</v>
      </c>
      <c r="L662" s="5">
        <f t="shared" si="64"/>
        <v>-1.0657612580414582</v>
      </c>
      <c r="M662" s="4" t="str">
        <f t="shared" si="65"/>
        <v>Good Ratings</v>
      </c>
      <c r="N662" s="34">
        <f t="array" ref="N662">MEDIAN(_xlfn._xlws.FILTER(Table4[Original Price],Table4[Brand-Renamed] = Table4[[#This Row],[Brand]]))</f>
        <v>100945</v>
      </c>
      <c r="O662" s="35">
        <f t="array" ref="O662">MEDIAN(_xlfn._xlws.FILTER(Table4[Selling Price],Table4[Brand-Renamed] =Table4[[#This Row],[Brand-Renamed]]))</f>
        <v>74490</v>
      </c>
    </row>
    <row r="663" spans="1:15" ht="13.8" x14ac:dyDescent="0.25">
      <c r="A663" s="6" t="s">
        <v>119</v>
      </c>
      <c r="B663" s="4" t="str">
        <f t="shared" si="60"/>
        <v xml:space="preserve">Tcl </v>
      </c>
      <c r="C663" s="6" t="s">
        <v>32</v>
      </c>
      <c r="D663" s="6">
        <v>65</v>
      </c>
      <c r="E663" s="6">
        <v>159990</v>
      </c>
      <c r="F663" s="6">
        <v>159990</v>
      </c>
      <c r="G663" s="6" t="s">
        <v>54</v>
      </c>
      <c r="H663" s="6"/>
      <c r="I663" s="6">
        <f t="shared" si="61"/>
        <v>0</v>
      </c>
      <c r="J663" t="str">
        <f t="shared" si="62"/>
        <v>Discount Not Applied</v>
      </c>
      <c r="K663" s="6">
        <f t="shared" si="63"/>
        <v>0</v>
      </c>
      <c r="L663" s="7">
        <f t="shared" si="64"/>
        <v>0</v>
      </c>
      <c r="M663" s="6" t="str">
        <f t="shared" si="65"/>
        <v>Ratings Not Given</v>
      </c>
      <c r="N663" s="34">
        <f t="array" ref="N663">MEDIAN(_xlfn._xlws.FILTER(Table4[Original Price],Table4[Brand-Renamed] = Table4[[#This Row],[Brand]]))</f>
        <v>77990</v>
      </c>
      <c r="O663" s="35">
        <f t="array" ref="O663">MEDIAN(_xlfn._xlws.FILTER(Table4[Selling Price],Table4[Brand-Renamed] =Table4[[#This Row],[Brand-Renamed]]))</f>
        <v>40999</v>
      </c>
    </row>
    <row r="664" spans="1:15" ht="13.8" x14ac:dyDescent="0.25">
      <c r="A664" s="4" t="s">
        <v>13</v>
      </c>
      <c r="B664" s="4" t="str">
        <f t="shared" si="60"/>
        <v>Panasonic</v>
      </c>
      <c r="C664" s="4" t="s">
        <v>19</v>
      </c>
      <c r="D664" s="4">
        <v>32</v>
      </c>
      <c r="E664" s="4">
        <v>26999</v>
      </c>
      <c r="F664" s="4">
        <v>29900</v>
      </c>
      <c r="G664" s="4" t="s">
        <v>54</v>
      </c>
      <c r="H664" s="4">
        <v>4.2</v>
      </c>
      <c r="I664" s="4">
        <f t="shared" si="61"/>
        <v>2901</v>
      </c>
      <c r="J664">
        <f t="shared" si="62"/>
        <v>9.7023411371237461E-2</v>
      </c>
      <c r="K664" s="4">
        <f t="shared" si="63"/>
        <v>-2901</v>
      </c>
      <c r="L664" s="5">
        <f t="shared" si="64"/>
        <v>-0.10744842401570429</v>
      </c>
      <c r="M664" s="4" t="str">
        <f t="shared" si="65"/>
        <v>Medium Ratings</v>
      </c>
      <c r="N664" s="34">
        <f t="array" ref="N664">MEDIAN(_xlfn._xlws.FILTER(Table4[Original Price],Table4[Brand-Renamed] = Table4[[#This Row],[Brand]]))</f>
        <v>64195</v>
      </c>
      <c r="O664" s="35">
        <f t="array" ref="O664">MEDIAN(_xlfn._xlws.FILTER(Table4[Selling Price],Table4[Brand-Renamed] =Table4[[#This Row],[Brand-Renamed]]))</f>
        <v>43129</v>
      </c>
    </row>
    <row r="665" spans="1:15" ht="13.8" x14ac:dyDescent="0.25">
      <c r="A665" s="6" t="s">
        <v>45</v>
      </c>
      <c r="B665" s="4" t="str">
        <f t="shared" si="60"/>
        <v xml:space="preserve">Croma </v>
      </c>
      <c r="C665" s="6" t="s">
        <v>19</v>
      </c>
      <c r="D665" s="6">
        <v>32</v>
      </c>
      <c r="E665" s="6">
        <v>13994</v>
      </c>
      <c r="F665" s="6">
        <v>20000</v>
      </c>
      <c r="G665" s="6" t="s">
        <v>54</v>
      </c>
      <c r="H665" s="6">
        <v>3.6</v>
      </c>
      <c r="I665" s="6">
        <f t="shared" si="61"/>
        <v>6006</v>
      </c>
      <c r="J665">
        <f t="shared" si="62"/>
        <v>0.30030000000000001</v>
      </c>
      <c r="K665" s="6">
        <f t="shared" si="63"/>
        <v>-6006</v>
      </c>
      <c r="L665" s="7">
        <f t="shared" si="64"/>
        <v>-0.42918393597255966</v>
      </c>
      <c r="M665" s="6" t="str">
        <f t="shared" si="65"/>
        <v>Bad Ratings</v>
      </c>
      <c r="N665" s="34">
        <f t="array" ref="N665">MEDIAN(_xlfn._xlws.FILTER(Table4[Original Price],Table4[Brand-Renamed] = Table4[[#This Row],[Brand]]))</f>
        <v>25000</v>
      </c>
      <c r="O665" s="35">
        <f t="array" ref="O665">MEDIAN(_xlfn._xlws.FILTER(Table4[Selling Price],Table4[Brand-Renamed] =Table4[[#This Row],[Brand-Renamed]]))</f>
        <v>17740</v>
      </c>
    </row>
    <row r="666" spans="1:15" ht="13.8" x14ac:dyDescent="0.25">
      <c r="A666" s="4" t="s">
        <v>119</v>
      </c>
      <c r="B666" s="4" t="str">
        <f t="shared" si="60"/>
        <v xml:space="preserve">Tcl </v>
      </c>
      <c r="C666" s="4" t="s">
        <v>32</v>
      </c>
      <c r="D666" s="4">
        <v>55</v>
      </c>
      <c r="E666" s="4">
        <v>116990</v>
      </c>
      <c r="F666" s="4">
        <v>116990</v>
      </c>
      <c r="G666" s="4" t="s">
        <v>54</v>
      </c>
      <c r="H666" s="4"/>
      <c r="I666" s="4">
        <f t="shared" si="61"/>
        <v>0</v>
      </c>
      <c r="J666" t="str">
        <f t="shared" si="62"/>
        <v>Discount Not Applied</v>
      </c>
      <c r="K666" s="4">
        <f t="shared" si="63"/>
        <v>0</v>
      </c>
      <c r="L666" s="5">
        <f t="shared" si="64"/>
        <v>0</v>
      </c>
      <c r="M666" s="4" t="str">
        <f t="shared" si="65"/>
        <v>Ratings Not Given</v>
      </c>
      <c r="N666" s="34">
        <f t="array" ref="N666">MEDIAN(_xlfn._xlws.FILTER(Table4[Original Price],Table4[Brand-Renamed] = Table4[[#This Row],[Brand]]))</f>
        <v>77990</v>
      </c>
      <c r="O666" s="35">
        <f t="array" ref="O666">MEDIAN(_xlfn._xlws.FILTER(Table4[Selling Price],Table4[Brand-Renamed] =Table4[[#This Row],[Brand-Renamed]]))</f>
        <v>40999</v>
      </c>
    </row>
    <row r="667" spans="1:15" ht="13.8" x14ac:dyDescent="0.25">
      <c r="A667" s="6" t="s">
        <v>39</v>
      </c>
      <c r="B667" s="4" t="str">
        <f t="shared" si="60"/>
        <v>Blaupunkt</v>
      </c>
      <c r="C667" s="6" t="s">
        <v>32</v>
      </c>
      <c r="D667" s="6">
        <v>55</v>
      </c>
      <c r="E667" s="6">
        <v>29199</v>
      </c>
      <c r="F667" s="6">
        <v>60000</v>
      </c>
      <c r="G667" s="6" t="s">
        <v>54</v>
      </c>
      <c r="H667" s="6">
        <v>3.8</v>
      </c>
      <c r="I667" s="6">
        <f t="shared" si="61"/>
        <v>30801</v>
      </c>
      <c r="J667">
        <f t="shared" si="62"/>
        <v>0.51334999999999997</v>
      </c>
      <c r="K667" s="6">
        <f t="shared" si="63"/>
        <v>-30801</v>
      </c>
      <c r="L667" s="7">
        <f t="shared" si="64"/>
        <v>-1.0548648926333093</v>
      </c>
      <c r="M667" s="6" t="str">
        <f t="shared" si="65"/>
        <v>Medium Ratings</v>
      </c>
      <c r="N667" s="34">
        <f t="array" ref="N667">MEDIAN(_xlfn._xlws.FILTER(Table4[Original Price],Table4[Brand-Renamed] = Table4[[#This Row],[Brand]]))</f>
        <v>40000</v>
      </c>
      <c r="O667" s="35">
        <f t="array" ref="O667">MEDIAN(_xlfn._xlws.FILTER(Table4[Selling Price],Table4[Brand-Renamed] =Table4[[#This Row],[Brand-Renamed]]))</f>
        <v>21999</v>
      </c>
    </row>
    <row r="668" spans="1:15" ht="13.8" x14ac:dyDescent="0.25">
      <c r="A668" s="4" t="s">
        <v>119</v>
      </c>
      <c r="B668" s="4" t="str">
        <f t="shared" si="60"/>
        <v xml:space="preserve">Tcl </v>
      </c>
      <c r="C668" s="4" t="s">
        <v>32</v>
      </c>
      <c r="D668" s="4">
        <v>65</v>
      </c>
      <c r="E668" s="4">
        <v>159990</v>
      </c>
      <c r="F668" s="4">
        <v>159990</v>
      </c>
      <c r="G668" s="4" t="s">
        <v>54</v>
      </c>
      <c r="H668" s="4"/>
      <c r="I668" s="4">
        <f t="shared" si="61"/>
        <v>0</v>
      </c>
      <c r="J668" t="str">
        <f t="shared" si="62"/>
        <v>Discount Not Applied</v>
      </c>
      <c r="K668" s="4">
        <f t="shared" si="63"/>
        <v>0</v>
      </c>
      <c r="L668" s="5">
        <f t="shared" si="64"/>
        <v>0</v>
      </c>
      <c r="M668" s="4" t="str">
        <f t="shared" si="65"/>
        <v>Ratings Not Given</v>
      </c>
      <c r="N668" s="34">
        <f t="array" ref="N668">MEDIAN(_xlfn._xlws.FILTER(Table4[Original Price],Table4[Brand-Renamed] = Table4[[#This Row],[Brand]]))</f>
        <v>77990</v>
      </c>
      <c r="O668" s="35">
        <f t="array" ref="O668">MEDIAN(_xlfn._xlws.FILTER(Table4[Selling Price],Table4[Brand-Renamed] =Table4[[#This Row],[Brand-Renamed]]))</f>
        <v>40999</v>
      </c>
    </row>
    <row r="669" spans="1:15" ht="13.8" x14ac:dyDescent="0.25">
      <c r="A669" s="6" t="s">
        <v>13</v>
      </c>
      <c r="B669" s="4" t="str">
        <f t="shared" si="60"/>
        <v>Panasonic</v>
      </c>
      <c r="C669" s="6" t="s">
        <v>19</v>
      </c>
      <c r="D669" s="6">
        <v>32</v>
      </c>
      <c r="E669" s="6">
        <v>26999</v>
      </c>
      <c r="F669" s="6">
        <v>29900</v>
      </c>
      <c r="G669" s="6" t="s">
        <v>54</v>
      </c>
      <c r="H669" s="6">
        <v>4.2</v>
      </c>
      <c r="I669" s="6">
        <f t="shared" si="61"/>
        <v>2901</v>
      </c>
      <c r="J669">
        <f t="shared" si="62"/>
        <v>9.7023411371237461E-2</v>
      </c>
      <c r="K669" s="6">
        <f t="shared" si="63"/>
        <v>-2901</v>
      </c>
      <c r="L669" s="7">
        <f t="shared" si="64"/>
        <v>-0.10744842401570429</v>
      </c>
      <c r="M669" s="6" t="str">
        <f t="shared" si="65"/>
        <v>Medium Ratings</v>
      </c>
      <c r="N669" s="34">
        <f t="array" ref="N669">MEDIAN(_xlfn._xlws.FILTER(Table4[Original Price],Table4[Brand-Renamed] = Table4[[#This Row],[Brand]]))</f>
        <v>64195</v>
      </c>
      <c r="O669" s="35">
        <f t="array" ref="O669">MEDIAN(_xlfn._xlws.FILTER(Table4[Selling Price],Table4[Brand-Renamed] =Table4[[#This Row],[Brand-Renamed]]))</f>
        <v>43129</v>
      </c>
    </row>
    <row r="670" spans="1:15" ht="13.8" x14ac:dyDescent="0.25">
      <c r="A670" s="4" t="s">
        <v>45</v>
      </c>
      <c r="B670" s="4" t="str">
        <f t="shared" si="60"/>
        <v xml:space="preserve">Croma </v>
      </c>
      <c r="C670" s="4" t="s">
        <v>19</v>
      </c>
      <c r="D670" s="4">
        <v>32</v>
      </c>
      <c r="E670" s="4">
        <v>13994</v>
      </c>
      <c r="F670" s="4">
        <v>20000</v>
      </c>
      <c r="G670" s="4" t="s">
        <v>54</v>
      </c>
      <c r="H670" s="4">
        <v>3.6</v>
      </c>
      <c r="I670" s="4">
        <f t="shared" si="61"/>
        <v>6006</v>
      </c>
      <c r="J670">
        <f t="shared" si="62"/>
        <v>0.30030000000000001</v>
      </c>
      <c r="K670" s="4">
        <f t="shared" si="63"/>
        <v>-6006</v>
      </c>
      <c r="L670" s="5">
        <f t="shared" si="64"/>
        <v>-0.42918393597255966</v>
      </c>
      <c r="M670" s="4" t="str">
        <f t="shared" si="65"/>
        <v>Bad Ratings</v>
      </c>
      <c r="N670" s="34">
        <f t="array" ref="N670">MEDIAN(_xlfn._xlws.FILTER(Table4[Original Price],Table4[Brand-Renamed] = Table4[[#This Row],[Brand]]))</f>
        <v>25000</v>
      </c>
      <c r="O670" s="35">
        <f t="array" ref="O670">MEDIAN(_xlfn._xlws.FILTER(Table4[Selling Price],Table4[Brand-Renamed] =Table4[[#This Row],[Brand-Renamed]]))</f>
        <v>17740</v>
      </c>
    </row>
    <row r="671" spans="1:15" ht="13.8" x14ac:dyDescent="0.25">
      <c r="A671" s="6" t="s">
        <v>119</v>
      </c>
      <c r="B671" s="4" t="str">
        <f t="shared" si="60"/>
        <v xml:space="preserve">Tcl </v>
      </c>
      <c r="C671" s="6" t="s">
        <v>32</v>
      </c>
      <c r="D671" s="6">
        <v>55</v>
      </c>
      <c r="E671" s="6">
        <v>116990</v>
      </c>
      <c r="F671" s="6">
        <v>116990</v>
      </c>
      <c r="G671" s="6" t="s">
        <v>54</v>
      </c>
      <c r="H671" s="6"/>
      <c r="I671" s="6">
        <f t="shared" si="61"/>
        <v>0</v>
      </c>
      <c r="J671" t="str">
        <f t="shared" si="62"/>
        <v>Discount Not Applied</v>
      </c>
      <c r="K671" s="6">
        <f t="shared" si="63"/>
        <v>0</v>
      </c>
      <c r="L671" s="7">
        <f t="shared" si="64"/>
        <v>0</v>
      </c>
      <c r="M671" s="6" t="str">
        <f t="shared" si="65"/>
        <v>Ratings Not Given</v>
      </c>
      <c r="N671" s="34">
        <f t="array" ref="N671">MEDIAN(_xlfn._xlws.FILTER(Table4[Original Price],Table4[Brand-Renamed] = Table4[[#This Row],[Brand]]))</f>
        <v>77990</v>
      </c>
      <c r="O671" s="35">
        <f t="array" ref="O671">MEDIAN(_xlfn._xlws.FILTER(Table4[Selling Price],Table4[Brand-Renamed] =Table4[[#This Row],[Brand-Renamed]]))</f>
        <v>40999</v>
      </c>
    </row>
    <row r="672" spans="1:15" ht="13.8" x14ac:dyDescent="0.25">
      <c r="A672" s="4" t="s">
        <v>130</v>
      </c>
      <c r="B672" s="4" t="str">
        <f t="shared" si="60"/>
        <v xml:space="preserve">Rgl </v>
      </c>
      <c r="C672" s="4" t="s">
        <v>8</v>
      </c>
      <c r="D672" s="4">
        <v>50</v>
      </c>
      <c r="E672" s="4">
        <v>35990</v>
      </c>
      <c r="F672" s="4">
        <v>39990</v>
      </c>
      <c r="G672" s="4" t="s">
        <v>62</v>
      </c>
      <c r="H672" s="4">
        <v>3.9</v>
      </c>
      <c r="I672" s="4">
        <f t="shared" si="61"/>
        <v>4000</v>
      </c>
      <c r="J672">
        <f t="shared" si="62"/>
        <v>0.1000250062515629</v>
      </c>
      <c r="K672" s="4">
        <f t="shared" si="63"/>
        <v>-4000</v>
      </c>
      <c r="L672" s="5">
        <f t="shared" si="64"/>
        <v>-0.11114198388441233</v>
      </c>
      <c r="M672" s="4" t="str">
        <f t="shared" si="65"/>
        <v>Medium Ratings</v>
      </c>
      <c r="N672" s="34">
        <f t="array" ref="N672">MEDIAN(_xlfn._xlws.FILTER(Table4[Original Price],Table4[Brand-Renamed] = Table4[[#This Row],[Brand]]))</f>
        <v>12000</v>
      </c>
      <c r="O672" s="35">
        <f t="array" ref="O672">MEDIAN(_xlfn._xlws.FILTER(Table4[Selling Price],Table4[Brand-Renamed] =Table4[[#This Row],[Brand-Renamed]]))</f>
        <v>5490</v>
      </c>
    </row>
    <row r="673" spans="1:15" ht="13.8" x14ac:dyDescent="0.25">
      <c r="A673" s="6" t="s">
        <v>125</v>
      </c>
      <c r="B673" s="4" t="str">
        <f t="shared" si="60"/>
        <v>Samsung</v>
      </c>
      <c r="C673" s="6" t="s">
        <v>8</v>
      </c>
      <c r="D673" s="6">
        <v>46</v>
      </c>
      <c r="E673" s="6">
        <v>87500</v>
      </c>
      <c r="F673" s="6">
        <v>87500</v>
      </c>
      <c r="G673" s="6" t="s">
        <v>56</v>
      </c>
      <c r="H673" s="6">
        <v>3.7</v>
      </c>
      <c r="I673" s="6">
        <f t="shared" si="61"/>
        <v>0</v>
      </c>
      <c r="J673" t="str">
        <f t="shared" si="62"/>
        <v>Discount Not Applied</v>
      </c>
      <c r="K673" s="6">
        <f t="shared" si="63"/>
        <v>0</v>
      </c>
      <c r="L673" s="7">
        <f t="shared" si="64"/>
        <v>0</v>
      </c>
      <c r="M673" s="6" t="str">
        <f t="shared" si="65"/>
        <v>Bad Ratings</v>
      </c>
      <c r="N673" s="34">
        <f t="array" ref="N673">MEDIAN(_xlfn._xlws.FILTER(Table4[Original Price],Table4[Brand-Renamed] = Table4[[#This Row],[Brand]]))</f>
        <v>100945</v>
      </c>
      <c r="O673" s="35">
        <f t="array" ref="O673">MEDIAN(_xlfn._xlws.FILTER(Table4[Selling Price],Table4[Brand-Renamed] =Table4[[#This Row],[Brand-Renamed]]))</f>
        <v>74490</v>
      </c>
    </row>
    <row r="674" spans="1:15" ht="13.8" x14ac:dyDescent="0.25">
      <c r="A674" s="4" t="s">
        <v>142</v>
      </c>
      <c r="B674" s="4" t="str">
        <f t="shared" si="60"/>
        <v xml:space="preserve">Aisen  </v>
      </c>
      <c r="C674" s="4" t="s">
        <v>32</v>
      </c>
      <c r="D674" s="4">
        <v>55</v>
      </c>
      <c r="E674" s="4">
        <v>63900</v>
      </c>
      <c r="F674" s="4">
        <v>64900</v>
      </c>
      <c r="G674" s="4" t="s">
        <v>54</v>
      </c>
      <c r="H674" s="4"/>
      <c r="I674" s="4">
        <f t="shared" si="61"/>
        <v>1000</v>
      </c>
      <c r="J674">
        <f t="shared" si="62"/>
        <v>1.5408320493066256E-2</v>
      </c>
      <c r="K674" s="4">
        <f t="shared" si="63"/>
        <v>-1000</v>
      </c>
      <c r="L674" s="5">
        <f t="shared" si="64"/>
        <v>-1.5649452269170579E-2</v>
      </c>
      <c r="M674" s="4" t="str">
        <f t="shared" si="65"/>
        <v>Ratings Not Given</v>
      </c>
      <c r="N674" s="34">
        <f t="array" ref="N674">MEDIAN(_xlfn._xlws.FILTER(Table4[Original Price],Table4[Brand-Renamed] = Table4[[#This Row],[Brand]]))</f>
        <v>33425</v>
      </c>
      <c r="O674" s="35">
        <f t="array" ref="O674">MEDIAN(_xlfn._xlws.FILTER(Table4[Selling Price],Table4[Brand-Renamed] =Table4[[#This Row],[Brand-Renamed]]))</f>
        <v>25970</v>
      </c>
    </row>
    <row r="675" spans="1:15" ht="13.8" x14ac:dyDescent="0.25">
      <c r="A675" s="6" t="s">
        <v>13</v>
      </c>
      <c r="B675" s="4" t="str">
        <f t="shared" si="60"/>
        <v>Panasonic</v>
      </c>
      <c r="C675" s="6" t="s">
        <v>32</v>
      </c>
      <c r="D675" s="6">
        <v>55</v>
      </c>
      <c r="E675" s="6">
        <v>168900</v>
      </c>
      <c r="F675" s="6">
        <v>168900</v>
      </c>
      <c r="G675" s="6" t="s">
        <v>54</v>
      </c>
      <c r="H675" s="6">
        <v>3.8</v>
      </c>
      <c r="I675" s="6">
        <f t="shared" si="61"/>
        <v>0</v>
      </c>
      <c r="J675" t="str">
        <f t="shared" si="62"/>
        <v>Discount Not Applied</v>
      </c>
      <c r="K675" s="6">
        <f t="shared" si="63"/>
        <v>0</v>
      </c>
      <c r="L675" s="7">
        <f t="shared" si="64"/>
        <v>0</v>
      </c>
      <c r="M675" s="6" t="str">
        <f t="shared" si="65"/>
        <v>Medium Ratings</v>
      </c>
      <c r="N675" s="34">
        <f t="array" ref="N675">MEDIAN(_xlfn._xlws.FILTER(Table4[Original Price],Table4[Brand-Renamed] = Table4[[#This Row],[Brand]]))</f>
        <v>64195</v>
      </c>
      <c r="O675" s="35">
        <f t="array" ref="O675">MEDIAN(_xlfn._xlws.FILTER(Table4[Selling Price],Table4[Brand-Renamed] =Table4[[#This Row],[Brand-Renamed]]))</f>
        <v>43129</v>
      </c>
    </row>
    <row r="676" spans="1:15" ht="13.8" x14ac:dyDescent="0.25">
      <c r="A676" s="4" t="s">
        <v>142</v>
      </c>
      <c r="B676" s="4" t="str">
        <f t="shared" si="60"/>
        <v xml:space="preserve">Aisen  </v>
      </c>
      <c r="C676" s="4" t="s">
        <v>32</v>
      </c>
      <c r="D676" s="4">
        <v>49</v>
      </c>
      <c r="E676" s="4">
        <v>47900</v>
      </c>
      <c r="F676" s="4">
        <v>48900</v>
      </c>
      <c r="G676" s="4" t="s">
        <v>54</v>
      </c>
      <c r="H676" s="4"/>
      <c r="I676" s="4">
        <f t="shared" si="61"/>
        <v>1000</v>
      </c>
      <c r="J676">
        <f t="shared" si="62"/>
        <v>2.0449897750511249E-2</v>
      </c>
      <c r="K676" s="4">
        <f t="shared" si="63"/>
        <v>-1000</v>
      </c>
      <c r="L676" s="5">
        <f t="shared" si="64"/>
        <v>-2.0876826722338204E-2</v>
      </c>
      <c r="M676" s="4" t="str">
        <f t="shared" si="65"/>
        <v>Ratings Not Given</v>
      </c>
      <c r="N676" s="34">
        <f t="array" ref="N676">MEDIAN(_xlfn._xlws.FILTER(Table4[Original Price],Table4[Brand-Renamed] = Table4[[#This Row],[Brand]]))</f>
        <v>33425</v>
      </c>
      <c r="O676" s="35">
        <f t="array" ref="O676">MEDIAN(_xlfn._xlws.FILTER(Table4[Selling Price],Table4[Brand-Renamed] =Table4[[#This Row],[Brand-Renamed]]))</f>
        <v>25970</v>
      </c>
    </row>
    <row r="677" spans="1:15" ht="13.8" x14ac:dyDescent="0.25">
      <c r="A677" s="6" t="s">
        <v>125</v>
      </c>
      <c r="B677" s="4" t="str">
        <f t="shared" si="60"/>
        <v>Samsung</v>
      </c>
      <c r="C677" s="6" t="s">
        <v>32</v>
      </c>
      <c r="D677" s="6">
        <v>55</v>
      </c>
      <c r="E677" s="6">
        <v>178900</v>
      </c>
      <c r="F677" s="6">
        <v>178900</v>
      </c>
      <c r="G677" s="6" t="s">
        <v>56</v>
      </c>
      <c r="H677" s="6">
        <v>3.9</v>
      </c>
      <c r="I677" s="6">
        <f t="shared" si="61"/>
        <v>0</v>
      </c>
      <c r="J677" t="str">
        <f t="shared" si="62"/>
        <v>Discount Not Applied</v>
      </c>
      <c r="K677" s="6">
        <f t="shared" si="63"/>
        <v>0</v>
      </c>
      <c r="L677" s="7">
        <f t="shared" si="64"/>
        <v>0</v>
      </c>
      <c r="M677" s="6" t="str">
        <f t="shared" si="65"/>
        <v>Medium Ratings</v>
      </c>
      <c r="N677" s="34">
        <f t="array" ref="N677">MEDIAN(_xlfn._xlws.FILTER(Table4[Original Price],Table4[Brand-Renamed] = Table4[[#This Row],[Brand]]))</f>
        <v>100945</v>
      </c>
      <c r="O677" s="35">
        <f t="array" ref="O677">MEDIAN(_xlfn._xlws.FILTER(Table4[Selling Price],Table4[Brand-Renamed] =Table4[[#This Row],[Brand-Renamed]]))</f>
        <v>74490</v>
      </c>
    </row>
    <row r="678" spans="1:15" ht="13.8" x14ac:dyDescent="0.25">
      <c r="A678" s="4" t="s">
        <v>125</v>
      </c>
      <c r="B678" s="4" t="str">
        <f t="shared" si="60"/>
        <v>Samsung</v>
      </c>
      <c r="C678" s="4" t="s">
        <v>8</v>
      </c>
      <c r="D678" s="4">
        <v>46</v>
      </c>
      <c r="E678" s="4">
        <v>145500</v>
      </c>
      <c r="F678" s="4">
        <v>145500</v>
      </c>
      <c r="G678" s="4" t="s">
        <v>56</v>
      </c>
      <c r="H678" s="4"/>
      <c r="I678" s="4">
        <f t="shared" si="61"/>
        <v>0</v>
      </c>
      <c r="J678" t="str">
        <f t="shared" si="62"/>
        <v>Discount Not Applied</v>
      </c>
      <c r="K678" s="4">
        <f t="shared" si="63"/>
        <v>0</v>
      </c>
      <c r="L678" s="5">
        <f t="shared" si="64"/>
        <v>0</v>
      </c>
      <c r="M678" s="4" t="str">
        <f t="shared" si="65"/>
        <v>Ratings Not Given</v>
      </c>
      <c r="N678" s="34">
        <f t="array" ref="N678">MEDIAN(_xlfn._xlws.FILTER(Table4[Original Price],Table4[Brand-Renamed] = Table4[[#This Row],[Brand]]))</f>
        <v>100945</v>
      </c>
      <c r="O678" s="35">
        <f t="array" ref="O678">MEDIAN(_xlfn._xlws.FILTER(Table4[Selling Price],Table4[Brand-Renamed] =Table4[[#This Row],[Brand-Renamed]]))</f>
        <v>74490</v>
      </c>
    </row>
    <row r="679" spans="1:15" ht="13.8" x14ac:dyDescent="0.25">
      <c r="A679" s="6" t="s">
        <v>125</v>
      </c>
      <c r="B679" s="4" t="str">
        <f t="shared" si="60"/>
        <v>Samsung</v>
      </c>
      <c r="C679" s="6" t="s">
        <v>8</v>
      </c>
      <c r="D679" s="6">
        <v>60</v>
      </c>
      <c r="E679" s="6">
        <v>210900</v>
      </c>
      <c r="F679" s="6">
        <v>210900</v>
      </c>
      <c r="G679" s="6" t="s">
        <v>56</v>
      </c>
      <c r="H679" s="6"/>
      <c r="I679" s="6">
        <f t="shared" si="61"/>
        <v>0</v>
      </c>
      <c r="J679" t="str">
        <f t="shared" si="62"/>
        <v>Discount Not Applied</v>
      </c>
      <c r="K679" s="6">
        <f t="shared" si="63"/>
        <v>0</v>
      </c>
      <c r="L679" s="7">
        <f t="shared" si="64"/>
        <v>0</v>
      </c>
      <c r="M679" s="6" t="str">
        <f t="shared" si="65"/>
        <v>Ratings Not Given</v>
      </c>
      <c r="N679" s="34">
        <f t="array" ref="N679">MEDIAN(_xlfn._xlws.FILTER(Table4[Original Price],Table4[Brand-Renamed] = Table4[[#This Row],[Brand]]))</f>
        <v>100945</v>
      </c>
      <c r="O679" s="35">
        <f t="array" ref="O679">MEDIAN(_xlfn._xlws.FILTER(Table4[Selling Price],Table4[Brand-Renamed] =Table4[[#This Row],[Brand-Renamed]]))</f>
        <v>74490</v>
      </c>
    </row>
    <row r="680" spans="1:15" ht="13.8" x14ac:dyDescent="0.25">
      <c r="A680" s="4" t="s">
        <v>125</v>
      </c>
      <c r="B680" s="4" t="str">
        <f t="shared" si="60"/>
        <v>Samsung</v>
      </c>
      <c r="C680" s="4" t="s">
        <v>8</v>
      </c>
      <c r="D680" s="4">
        <v>55</v>
      </c>
      <c r="E680" s="4">
        <v>160500</v>
      </c>
      <c r="F680" s="4">
        <v>160500</v>
      </c>
      <c r="G680" s="4" t="s">
        <v>56</v>
      </c>
      <c r="H680" s="4"/>
      <c r="I680" s="4">
        <f t="shared" si="61"/>
        <v>0</v>
      </c>
      <c r="J680" t="str">
        <f t="shared" si="62"/>
        <v>Discount Not Applied</v>
      </c>
      <c r="K680" s="4">
        <f t="shared" si="63"/>
        <v>0</v>
      </c>
      <c r="L680" s="5">
        <f t="shared" si="64"/>
        <v>0</v>
      </c>
      <c r="M680" s="4" t="str">
        <f t="shared" si="65"/>
        <v>Ratings Not Given</v>
      </c>
      <c r="N680" s="34">
        <f t="array" ref="N680">MEDIAN(_xlfn._xlws.FILTER(Table4[Original Price],Table4[Brand-Renamed] = Table4[[#This Row],[Brand]]))</f>
        <v>100945</v>
      </c>
      <c r="O680" s="35">
        <f t="array" ref="O680">MEDIAN(_xlfn._xlws.FILTER(Table4[Selling Price],Table4[Brand-Renamed] =Table4[[#This Row],[Brand-Renamed]]))</f>
        <v>74490</v>
      </c>
    </row>
    <row r="681" spans="1:15" ht="13.8" x14ac:dyDescent="0.25">
      <c r="A681" s="6" t="s">
        <v>9</v>
      </c>
      <c r="B681" s="4" t="str">
        <f t="shared" si="60"/>
        <v>Samsung</v>
      </c>
      <c r="C681" s="6" t="s">
        <v>8</v>
      </c>
      <c r="D681" s="6">
        <v>46</v>
      </c>
      <c r="E681" s="6">
        <v>139990</v>
      </c>
      <c r="F681" s="6">
        <v>139990</v>
      </c>
      <c r="G681" s="6" t="s">
        <v>56</v>
      </c>
      <c r="H681" s="6">
        <v>4.5</v>
      </c>
      <c r="I681" s="6">
        <f t="shared" si="61"/>
        <v>0</v>
      </c>
      <c r="J681" t="str">
        <f t="shared" si="62"/>
        <v>Discount Not Applied</v>
      </c>
      <c r="K681" s="6">
        <f t="shared" si="63"/>
        <v>0</v>
      </c>
      <c r="L681" s="7">
        <f t="shared" si="64"/>
        <v>0</v>
      </c>
      <c r="M681" s="6" t="str">
        <f t="shared" si="65"/>
        <v>Good Ratings</v>
      </c>
      <c r="N681" s="34">
        <f t="array" ref="N681">MEDIAN(_xlfn._xlws.FILTER(Table4[Original Price],Table4[Brand-Renamed] = Table4[[#This Row],[Brand]]))</f>
        <v>100945</v>
      </c>
      <c r="O681" s="35">
        <f t="array" ref="O681">MEDIAN(_xlfn._xlws.FILTER(Table4[Selling Price],Table4[Brand-Renamed] =Table4[[#This Row],[Brand-Renamed]]))</f>
        <v>74490</v>
      </c>
    </row>
    <row r="682" spans="1:15" ht="13.8" x14ac:dyDescent="0.25">
      <c r="A682" s="4" t="s">
        <v>9</v>
      </c>
      <c r="B682" s="4" t="str">
        <f t="shared" si="60"/>
        <v>Samsung</v>
      </c>
      <c r="C682" s="4" t="s">
        <v>8</v>
      </c>
      <c r="D682" s="4">
        <v>55</v>
      </c>
      <c r="E682" s="4">
        <v>189900</v>
      </c>
      <c r="F682" s="4">
        <v>189900</v>
      </c>
      <c r="G682" s="4" t="s">
        <v>56</v>
      </c>
      <c r="H682" s="4">
        <v>4.5999999999999996</v>
      </c>
      <c r="I682" s="4">
        <f t="shared" si="61"/>
        <v>0</v>
      </c>
      <c r="J682" t="str">
        <f t="shared" si="62"/>
        <v>Discount Not Applied</v>
      </c>
      <c r="K682" s="4">
        <f t="shared" si="63"/>
        <v>0</v>
      </c>
      <c r="L682" s="5">
        <f t="shared" si="64"/>
        <v>0</v>
      </c>
      <c r="M682" s="4" t="str">
        <f t="shared" si="65"/>
        <v>Good Ratings</v>
      </c>
      <c r="N682" s="34">
        <f t="array" ref="N682">MEDIAN(_xlfn._xlws.FILTER(Table4[Original Price],Table4[Brand-Renamed] = Table4[[#This Row],[Brand]]))</f>
        <v>100945</v>
      </c>
      <c r="O682" s="35">
        <f t="array" ref="O682">MEDIAN(_xlfn._xlws.FILTER(Table4[Selling Price],Table4[Brand-Renamed] =Table4[[#This Row],[Brand-Renamed]]))</f>
        <v>74490</v>
      </c>
    </row>
    <row r="683" spans="1:15" ht="13.8" x14ac:dyDescent="0.25">
      <c r="A683" s="6" t="s">
        <v>125</v>
      </c>
      <c r="B683" s="4" t="str">
        <f t="shared" si="60"/>
        <v>Samsung</v>
      </c>
      <c r="C683" s="6" t="s">
        <v>8</v>
      </c>
      <c r="D683" s="6">
        <v>55</v>
      </c>
      <c r="E683" s="6">
        <v>267000</v>
      </c>
      <c r="F683" s="6">
        <v>267000</v>
      </c>
      <c r="G683" s="6" t="s">
        <v>56</v>
      </c>
      <c r="H683" s="6">
        <v>4.2</v>
      </c>
      <c r="I683" s="6">
        <f t="shared" si="61"/>
        <v>0</v>
      </c>
      <c r="J683" t="str">
        <f t="shared" si="62"/>
        <v>Discount Not Applied</v>
      </c>
      <c r="K683" s="6">
        <f t="shared" si="63"/>
        <v>0</v>
      </c>
      <c r="L683" s="7">
        <f t="shared" si="64"/>
        <v>0</v>
      </c>
      <c r="M683" s="6" t="str">
        <f t="shared" si="65"/>
        <v>Medium Ratings</v>
      </c>
      <c r="N683" s="34">
        <f t="array" ref="N683">MEDIAN(_xlfn._xlws.FILTER(Table4[Original Price],Table4[Brand-Renamed] = Table4[[#This Row],[Brand]]))</f>
        <v>100945</v>
      </c>
      <c r="O683" s="35">
        <f t="array" ref="O683">MEDIAN(_xlfn._xlws.FILTER(Table4[Selling Price],Table4[Brand-Renamed] =Table4[[#This Row],[Brand-Renamed]]))</f>
        <v>74490</v>
      </c>
    </row>
    <row r="684" spans="1:15" ht="13.8" x14ac:dyDescent="0.25">
      <c r="A684" s="4" t="s">
        <v>139</v>
      </c>
      <c r="B684" s="4" t="str">
        <f t="shared" si="60"/>
        <v xml:space="preserve">G-Ten </v>
      </c>
      <c r="C684" s="4" t="s">
        <v>8</v>
      </c>
      <c r="D684" s="4">
        <v>43</v>
      </c>
      <c r="E684" s="4">
        <v>14990</v>
      </c>
      <c r="F684" s="4">
        <v>38990</v>
      </c>
      <c r="G684" s="4" t="s">
        <v>54</v>
      </c>
      <c r="H684" s="4">
        <v>3.5</v>
      </c>
      <c r="I684" s="4">
        <f t="shared" si="61"/>
        <v>24000</v>
      </c>
      <c r="J684">
        <f t="shared" si="62"/>
        <v>0.61554244678122594</v>
      </c>
      <c r="K684" s="4">
        <f t="shared" si="63"/>
        <v>-24000</v>
      </c>
      <c r="L684" s="5">
        <f t="shared" si="64"/>
        <v>-1.601067378252168</v>
      </c>
      <c r="M684" s="4" t="str">
        <f t="shared" si="65"/>
        <v>Bad Ratings</v>
      </c>
      <c r="N684" s="34">
        <f t="array" ref="N684">MEDIAN(_xlfn._xlws.FILTER(Table4[Original Price],Table4[Brand-Renamed] = Table4[[#This Row],[Brand]]))</f>
        <v>37440</v>
      </c>
      <c r="O684" s="35">
        <f t="array" ref="O684">MEDIAN(_xlfn._xlws.FILTER(Table4[Selling Price],Table4[Brand-Renamed] =Table4[[#This Row],[Brand-Renamed]]))</f>
        <v>15490</v>
      </c>
    </row>
    <row r="685" spans="1:15" ht="13.8" x14ac:dyDescent="0.25">
      <c r="A685" s="6" t="s">
        <v>75</v>
      </c>
      <c r="B685" s="4" t="str">
        <f t="shared" si="60"/>
        <v>Onida</v>
      </c>
      <c r="C685" s="6" t="s">
        <v>8</v>
      </c>
      <c r="D685" s="6">
        <v>43</v>
      </c>
      <c r="E685" s="6">
        <v>28999</v>
      </c>
      <c r="F685" s="6">
        <v>33990</v>
      </c>
      <c r="G685" s="6" t="s">
        <v>54</v>
      </c>
      <c r="H685" s="6">
        <v>4.0999999999999996</v>
      </c>
      <c r="I685" s="6">
        <f t="shared" si="61"/>
        <v>4991</v>
      </c>
      <c r="J685">
        <f t="shared" si="62"/>
        <v>0.14683730508973228</v>
      </c>
      <c r="K685" s="6">
        <f t="shared" si="63"/>
        <v>-4991</v>
      </c>
      <c r="L685" s="7">
        <f t="shared" si="64"/>
        <v>-0.17210938308217524</v>
      </c>
      <c r="M685" s="6" t="str">
        <f t="shared" si="65"/>
        <v>Medium Ratings</v>
      </c>
      <c r="N685" s="34">
        <f t="array" ref="N685">MEDIAN(_xlfn._xlws.FILTER(Table4[Original Price],Table4[Brand-Renamed] = Table4[[#This Row],[Brand]]))</f>
        <v>34990</v>
      </c>
      <c r="O685" s="35">
        <f t="array" ref="O685">MEDIAN(_xlfn._xlws.FILTER(Table4[Selling Price],Table4[Brand-Renamed] =Table4[[#This Row],[Brand-Renamed]]))</f>
        <v>29399.5</v>
      </c>
    </row>
    <row r="686" spans="1:15" ht="13.8" x14ac:dyDescent="0.25">
      <c r="A686" s="4" t="s">
        <v>125</v>
      </c>
      <c r="B686" s="4" t="str">
        <f t="shared" si="60"/>
        <v>Samsung</v>
      </c>
      <c r="C686" s="4" t="s">
        <v>8</v>
      </c>
      <c r="D686" s="4">
        <v>55</v>
      </c>
      <c r="E686" s="4">
        <v>218900</v>
      </c>
      <c r="F686" s="4">
        <v>218900</v>
      </c>
      <c r="G686" s="4" t="s">
        <v>56</v>
      </c>
      <c r="H686" s="4"/>
      <c r="I686" s="4">
        <f t="shared" si="61"/>
        <v>0</v>
      </c>
      <c r="J686" t="str">
        <f t="shared" si="62"/>
        <v>Discount Not Applied</v>
      </c>
      <c r="K686" s="4">
        <f t="shared" si="63"/>
        <v>0</v>
      </c>
      <c r="L686" s="5">
        <f t="shared" si="64"/>
        <v>0</v>
      </c>
      <c r="M686" s="4" t="str">
        <f t="shared" si="65"/>
        <v>Ratings Not Given</v>
      </c>
      <c r="N686" s="34">
        <f t="array" ref="N686">MEDIAN(_xlfn._xlws.FILTER(Table4[Original Price],Table4[Brand-Renamed] = Table4[[#This Row],[Brand]]))</f>
        <v>100945</v>
      </c>
      <c r="O686" s="35">
        <f t="array" ref="O686">MEDIAN(_xlfn._xlws.FILTER(Table4[Selling Price],Table4[Brand-Renamed] =Table4[[#This Row],[Brand-Renamed]]))</f>
        <v>74490</v>
      </c>
    </row>
    <row r="687" spans="1:15" ht="13.8" x14ac:dyDescent="0.25">
      <c r="A687" s="6" t="s">
        <v>9</v>
      </c>
      <c r="B687" s="4" t="str">
        <f t="shared" si="60"/>
        <v>Samsung</v>
      </c>
      <c r="C687" s="6" t="s">
        <v>8</v>
      </c>
      <c r="D687" s="6">
        <v>55</v>
      </c>
      <c r="E687" s="6">
        <v>249990</v>
      </c>
      <c r="F687" s="6">
        <v>249990</v>
      </c>
      <c r="G687" s="6" t="s">
        <v>56</v>
      </c>
      <c r="H687" s="6">
        <v>4.3</v>
      </c>
      <c r="I687" s="6">
        <f t="shared" si="61"/>
        <v>0</v>
      </c>
      <c r="J687" t="str">
        <f t="shared" si="62"/>
        <v>Discount Not Applied</v>
      </c>
      <c r="K687" s="6">
        <f t="shared" si="63"/>
        <v>0</v>
      </c>
      <c r="L687" s="7">
        <f t="shared" si="64"/>
        <v>0</v>
      </c>
      <c r="M687" s="6" t="str">
        <f t="shared" si="65"/>
        <v>Medium Ratings</v>
      </c>
      <c r="N687" s="34">
        <f t="array" ref="N687">MEDIAN(_xlfn._xlws.FILTER(Table4[Original Price],Table4[Brand-Renamed] = Table4[[#This Row],[Brand]]))</f>
        <v>100945</v>
      </c>
      <c r="O687" s="35">
        <f t="array" ref="O687">MEDIAN(_xlfn._xlws.FILTER(Table4[Selling Price],Table4[Brand-Renamed] =Table4[[#This Row],[Brand-Renamed]]))</f>
        <v>74490</v>
      </c>
    </row>
    <row r="688" spans="1:15" ht="13.8" x14ac:dyDescent="0.25">
      <c r="A688" s="4" t="s">
        <v>122</v>
      </c>
      <c r="B688" s="4" t="str">
        <f t="shared" si="60"/>
        <v xml:space="preserve">Lg </v>
      </c>
      <c r="C688" s="4" t="s">
        <v>8</v>
      </c>
      <c r="D688" s="4">
        <v>47</v>
      </c>
      <c r="E688" s="4">
        <v>112000</v>
      </c>
      <c r="F688" s="4">
        <v>112000</v>
      </c>
      <c r="G688" s="4" t="s">
        <v>58</v>
      </c>
      <c r="H688" s="4">
        <v>5</v>
      </c>
      <c r="I688" s="4">
        <f t="shared" si="61"/>
        <v>0</v>
      </c>
      <c r="J688" t="str">
        <f t="shared" si="62"/>
        <v>Discount Not Applied</v>
      </c>
      <c r="K688" s="4">
        <f t="shared" si="63"/>
        <v>0</v>
      </c>
      <c r="L688" s="5">
        <f t="shared" si="64"/>
        <v>0</v>
      </c>
      <c r="M688" s="4" t="str">
        <f t="shared" si="65"/>
        <v>Good Ratings</v>
      </c>
      <c r="N688" s="34">
        <f t="array" ref="N688">MEDIAN(_xlfn._xlws.FILTER(Table4[Original Price],Table4[Brand-Renamed] = Table4[[#This Row],[Brand]]))</f>
        <v>98990</v>
      </c>
      <c r="O688" s="35">
        <f t="array" ref="O688">MEDIAN(_xlfn._xlws.FILTER(Table4[Selling Price],Table4[Brand-Renamed] =Table4[[#This Row],[Brand-Renamed]]))</f>
        <v>76737</v>
      </c>
    </row>
    <row r="689" spans="1:15" ht="13.8" x14ac:dyDescent="0.25">
      <c r="A689" s="6" t="s">
        <v>9</v>
      </c>
      <c r="B689" s="4" t="str">
        <f t="shared" si="60"/>
        <v>Samsung</v>
      </c>
      <c r="C689" s="6" t="s">
        <v>25</v>
      </c>
      <c r="D689" s="6">
        <v>43</v>
      </c>
      <c r="E689" s="6">
        <v>45000</v>
      </c>
      <c r="F689" s="6">
        <v>45000</v>
      </c>
      <c r="G689" s="6" t="s">
        <v>56</v>
      </c>
      <c r="H689" s="6">
        <v>4</v>
      </c>
      <c r="I689" s="6">
        <f t="shared" si="61"/>
        <v>0</v>
      </c>
      <c r="J689" t="str">
        <f t="shared" si="62"/>
        <v>Discount Not Applied</v>
      </c>
      <c r="K689" s="6">
        <f t="shared" si="63"/>
        <v>0</v>
      </c>
      <c r="L689" s="7">
        <f t="shared" si="64"/>
        <v>0</v>
      </c>
      <c r="M689" s="6" t="str">
        <f t="shared" si="65"/>
        <v>Medium Ratings</v>
      </c>
      <c r="N689" s="34">
        <f t="array" ref="N689">MEDIAN(_xlfn._xlws.FILTER(Table4[Original Price],Table4[Brand-Renamed] = Table4[[#This Row],[Brand]]))</f>
        <v>100945</v>
      </c>
      <c r="O689" s="35">
        <f t="array" ref="O689">MEDIAN(_xlfn._xlws.FILTER(Table4[Selling Price],Table4[Brand-Renamed] =Table4[[#This Row],[Brand-Renamed]]))</f>
        <v>74490</v>
      </c>
    </row>
    <row r="690" spans="1:15" ht="13.8" x14ac:dyDescent="0.25">
      <c r="A690" s="4" t="s">
        <v>125</v>
      </c>
      <c r="B690" s="4" t="str">
        <f t="shared" si="60"/>
        <v>Samsung</v>
      </c>
      <c r="C690" s="4" t="s">
        <v>8</v>
      </c>
      <c r="D690" s="4">
        <v>55</v>
      </c>
      <c r="E690" s="4">
        <v>246900</v>
      </c>
      <c r="F690" s="4">
        <v>246900</v>
      </c>
      <c r="G690" s="4" t="s">
        <v>56</v>
      </c>
      <c r="H690" s="4"/>
      <c r="I690" s="4">
        <f t="shared" si="61"/>
        <v>0</v>
      </c>
      <c r="J690" t="str">
        <f t="shared" si="62"/>
        <v>Discount Not Applied</v>
      </c>
      <c r="K690" s="4">
        <f t="shared" si="63"/>
        <v>0</v>
      </c>
      <c r="L690" s="5">
        <f t="shared" si="64"/>
        <v>0</v>
      </c>
      <c r="M690" s="4" t="str">
        <f t="shared" si="65"/>
        <v>Ratings Not Given</v>
      </c>
      <c r="N690" s="34">
        <f t="array" ref="N690">MEDIAN(_xlfn._xlws.FILTER(Table4[Original Price],Table4[Brand-Renamed] = Table4[[#This Row],[Brand]]))</f>
        <v>100945</v>
      </c>
      <c r="O690" s="35">
        <f t="array" ref="O690">MEDIAN(_xlfn._xlws.FILTER(Table4[Selling Price],Table4[Brand-Renamed] =Table4[[#This Row],[Brand-Renamed]]))</f>
        <v>74490</v>
      </c>
    </row>
    <row r="691" spans="1:15" ht="13.8" x14ac:dyDescent="0.25">
      <c r="A691" s="6" t="s">
        <v>122</v>
      </c>
      <c r="B691" s="4" t="str">
        <f t="shared" si="60"/>
        <v xml:space="preserve">Lg </v>
      </c>
      <c r="C691" s="6" t="s">
        <v>32</v>
      </c>
      <c r="D691" s="6">
        <v>49</v>
      </c>
      <c r="E691" s="6">
        <v>70556</v>
      </c>
      <c r="F691" s="6">
        <v>84900</v>
      </c>
      <c r="G691" s="6" t="s">
        <v>58</v>
      </c>
      <c r="H691" s="6"/>
      <c r="I691" s="6">
        <f t="shared" si="61"/>
        <v>14344</v>
      </c>
      <c r="J691">
        <f t="shared" si="62"/>
        <v>0.16895170789163722</v>
      </c>
      <c r="K691" s="6">
        <f t="shared" si="63"/>
        <v>-14344</v>
      </c>
      <c r="L691" s="7">
        <f t="shared" si="64"/>
        <v>-0.20329950677476047</v>
      </c>
      <c r="M691" s="6" t="str">
        <f t="shared" si="65"/>
        <v>Ratings Not Given</v>
      </c>
      <c r="N691" s="34">
        <f t="array" ref="N691">MEDIAN(_xlfn._xlws.FILTER(Table4[Original Price],Table4[Brand-Renamed] = Table4[[#This Row],[Brand]]))</f>
        <v>98990</v>
      </c>
      <c r="O691" s="35">
        <f t="array" ref="O691">MEDIAN(_xlfn._xlws.FILTER(Table4[Selling Price],Table4[Brand-Renamed] =Table4[[#This Row],[Brand-Renamed]]))</f>
        <v>76737</v>
      </c>
    </row>
    <row r="692" spans="1:15" ht="13.8" x14ac:dyDescent="0.25">
      <c r="A692" s="4" t="s">
        <v>75</v>
      </c>
      <c r="B692" s="4" t="str">
        <f t="shared" si="60"/>
        <v>Onida</v>
      </c>
      <c r="C692" s="4" t="s">
        <v>19</v>
      </c>
      <c r="D692" s="4">
        <v>32</v>
      </c>
      <c r="E692" s="4">
        <v>14990</v>
      </c>
      <c r="F692" s="4">
        <v>25000</v>
      </c>
      <c r="G692" s="4" t="s">
        <v>54</v>
      </c>
      <c r="H692" s="4">
        <v>4.0999999999999996</v>
      </c>
      <c r="I692" s="4">
        <f t="shared" si="61"/>
        <v>10010</v>
      </c>
      <c r="J692">
        <f t="shared" si="62"/>
        <v>0.40039999999999998</v>
      </c>
      <c r="K692" s="4">
        <f t="shared" si="63"/>
        <v>-10010</v>
      </c>
      <c r="L692" s="5">
        <f t="shared" si="64"/>
        <v>-0.66777851901267515</v>
      </c>
      <c r="M692" s="4" t="str">
        <f t="shared" si="65"/>
        <v>Medium Ratings</v>
      </c>
      <c r="N692" s="34">
        <f t="array" ref="N692">MEDIAN(_xlfn._xlws.FILTER(Table4[Original Price],Table4[Brand-Renamed] = Table4[[#This Row],[Brand]]))</f>
        <v>34990</v>
      </c>
      <c r="O692" s="35">
        <f t="array" ref="O692">MEDIAN(_xlfn._xlws.FILTER(Table4[Selling Price],Table4[Brand-Renamed] =Table4[[#This Row],[Brand-Renamed]]))</f>
        <v>29399.5</v>
      </c>
    </row>
    <row r="693" spans="1:15" ht="13.8" x14ac:dyDescent="0.25">
      <c r="A693" s="6" t="s">
        <v>122</v>
      </c>
      <c r="B693" s="4" t="str">
        <f t="shared" si="60"/>
        <v xml:space="preserve">Lg </v>
      </c>
      <c r="C693" s="6" t="s">
        <v>8</v>
      </c>
      <c r="D693" s="6">
        <v>49</v>
      </c>
      <c r="E693" s="6">
        <v>62743</v>
      </c>
      <c r="F693" s="6">
        <v>71900</v>
      </c>
      <c r="G693" s="6" t="s">
        <v>58</v>
      </c>
      <c r="H693" s="6"/>
      <c r="I693" s="6">
        <f t="shared" si="61"/>
        <v>9157</v>
      </c>
      <c r="J693">
        <f t="shared" si="62"/>
        <v>0.12735744089012518</v>
      </c>
      <c r="K693" s="6">
        <f t="shared" si="63"/>
        <v>-9157</v>
      </c>
      <c r="L693" s="7">
        <f t="shared" si="64"/>
        <v>-0.1459445675214765</v>
      </c>
      <c r="M693" s="6" t="str">
        <f t="shared" si="65"/>
        <v>Ratings Not Given</v>
      </c>
      <c r="N693" s="34">
        <f t="array" ref="N693">MEDIAN(_xlfn._xlws.FILTER(Table4[Original Price],Table4[Brand-Renamed] = Table4[[#This Row],[Brand]]))</f>
        <v>98990</v>
      </c>
      <c r="O693" s="35">
        <f t="array" ref="O693">MEDIAN(_xlfn._xlws.FILTER(Table4[Selling Price],Table4[Brand-Renamed] =Table4[[#This Row],[Brand-Renamed]]))</f>
        <v>76737</v>
      </c>
    </row>
    <row r="694" spans="1:15" ht="13.8" x14ac:dyDescent="0.25">
      <c r="A694" s="4" t="s">
        <v>122</v>
      </c>
      <c r="B694" s="4" t="str">
        <f t="shared" si="60"/>
        <v xml:space="preserve">Lg </v>
      </c>
      <c r="C694" s="4" t="s">
        <v>32</v>
      </c>
      <c r="D694" s="4">
        <v>55</v>
      </c>
      <c r="E694" s="4">
        <v>131825</v>
      </c>
      <c r="F694" s="4">
        <v>154900</v>
      </c>
      <c r="G694" s="4" t="s">
        <v>58</v>
      </c>
      <c r="H694" s="4">
        <v>3.8</v>
      </c>
      <c r="I694" s="4">
        <f t="shared" si="61"/>
        <v>23075</v>
      </c>
      <c r="J694">
        <f t="shared" si="62"/>
        <v>0.14896707553260169</v>
      </c>
      <c r="K694" s="4">
        <f t="shared" si="63"/>
        <v>-23075</v>
      </c>
      <c r="L694" s="5">
        <f t="shared" si="64"/>
        <v>-0.17504267020671344</v>
      </c>
      <c r="M694" s="4" t="str">
        <f t="shared" si="65"/>
        <v>Medium Ratings</v>
      </c>
      <c r="N694" s="34">
        <f t="array" ref="N694">MEDIAN(_xlfn._xlws.FILTER(Table4[Original Price],Table4[Brand-Renamed] = Table4[[#This Row],[Brand]]))</f>
        <v>98990</v>
      </c>
      <c r="O694" s="35">
        <f t="array" ref="O694">MEDIAN(_xlfn._xlws.FILTER(Table4[Selling Price],Table4[Brand-Renamed] =Table4[[#This Row],[Brand-Renamed]]))</f>
        <v>76737</v>
      </c>
    </row>
    <row r="695" spans="1:15" ht="13.8" x14ac:dyDescent="0.25">
      <c r="A695" s="6" t="s">
        <v>122</v>
      </c>
      <c r="B695" s="4" t="str">
        <f t="shared" si="60"/>
        <v xml:space="preserve">Lg </v>
      </c>
      <c r="C695" s="6" t="s">
        <v>8</v>
      </c>
      <c r="D695" s="6">
        <v>49</v>
      </c>
      <c r="E695" s="6">
        <v>58988</v>
      </c>
      <c r="F695" s="6">
        <v>66900</v>
      </c>
      <c r="G695" s="6" t="s">
        <v>58</v>
      </c>
      <c r="H695" s="6">
        <v>4</v>
      </c>
      <c r="I695" s="6">
        <f t="shared" si="61"/>
        <v>7912</v>
      </c>
      <c r="J695">
        <f t="shared" si="62"/>
        <v>0.1182660687593423</v>
      </c>
      <c r="K695" s="6">
        <f t="shared" si="63"/>
        <v>-7912</v>
      </c>
      <c r="L695" s="7">
        <f t="shared" si="64"/>
        <v>-0.13412897538482405</v>
      </c>
      <c r="M695" s="6" t="str">
        <f t="shared" si="65"/>
        <v>Medium Ratings</v>
      </c>
      <c r="N695" s="34">
        <f t="array" ref="N695">MEDIAN(_xlfn._xlws.FILTER(Table4[Original Price],Table4[Brand-Renamed] = Table4[[#This Row],[Brand]]))</f>
        <v>98990</v>
      </c>
      <c r="O695" s="35">
        <f t="array" ref="O695">MEDIAN(_xlfn._xlws.FILTER(Table4[Selling Price],Table4[Brand-Renamed] =Table4[[#This Row],[Brand-Renamed]]))</f>
        <v>76737</v>
      </c>
    </row>
    <row r="696" spans="1:15" ht="13.8" x14ac:dyDescent="0.25">
      <c r="A696" s="4" t="s">
        <v>122</v>
      </c>
      <c r="B696" s="4" t="str">
        <f t="shared" si="60"/>
        <v xml:space="preserve">Lg </v>
      </c>
      <c r="C696" s="4" t="s">
        <v>8</v>
      </c>
      <c r="D696" s="4">
        <v>47</v>
      </c>
      <c r="E696" s="4">
        <v>105000</v>
      </c>
      <c r="F696" s="4">
        <v>105000</v>
      </c>
      <c r="G696" s="4" t="s">
        <v>58</v>
      </c>
      <c r="H696" s="4"/>
      <c r="I696" s="4">
        <f t="shared" si="61"/>
        <v>0</v>
      </c>
      <c r="J696" t="str">
        <f t="shared" si="62"/>
        <v>Discount Not Applied</v>
      </c>
      <c r="K696" s="4">
        <f t="shared" si="63"/>
        <v>0</v>
      </c>
      <c r="L696" s="5">
        <f t="shared" si="64"/>
        <v>0</v>
      </c>
      <c r="M696" s="4" t="str">
        <f t="shared" si="65"/>
        <v>Ratings Not Given</v>
      </c>
      <c r="N696" s="34">
        <f t="array" ref="N696">MEDIAN(_xlfn._xlws.FILTER(Table4[Original Price],Table4[Brand-Renamed] = Table4[[#This Row],[Brand]]))</f>
        <v>98990</v>
      </c>
      <c r="O696" s="35">
        <f t="array" ref="O696">MEDIAN(_xlfn._xlws.FILTER(Table4[Selling Price],Table4[Brand-Renamed] =Table4[[#This Row],[Brand-Renamed]]))</f>
        <v>76737</v>
      </c>
    </row>
    <row r="697" spans="1:15" ht="13.8" x14ac:dyDescent="0.25">
      <c r="A697" s="6" t="s">
        <v>125</v>
      </c>
      <c r="B697" s="4" t="str">
        <f t="shared" si="60"/>
        <v>Samsung</v>
      </c>
      <c r="C697" s="6" t="s">
        <v>32</v>
      </c>
      <c r="D697" s="6">
        <v>55</v>
      </c>
      <c r="E697" s="6">
        <v>178500</v>
      </c>
      <c r="F697" s="6">
        <v>178500</v>
      </c>
      <c r="G697" s="6" t="s">
        <v>56</v>
      </c>
      <c r="H697" s="6">
        <v>3.8</v>
      </c>
      <c r="I697" s="6">
        <f t="shared" si="61"/>
        <v>0</v>
      </c>
      <c r="J697" t="str">
        <f t="shared" si="62"/>
        <v>Discount Not Applied</v>
      </c>
      <c r="K697" s="6">
        <f t="shared" si="63"/>
        <v>0</v>
      </c>
      <c r="L697" s="7">
        <f t="shared" si="64"/>
        <v>0</v>
      </c>
      <c r="M697" s="6" t="str">
        <f t="shared" si="65"/>
        <v>Medium Ratings</v>
      </c>
      <c r="N697" s="34">
        <f t="array" ref="N697">MEDIAN(_xlfn._xlws.FILTER(Table4[Original Price],Table4[Brand-Renamed] = Table4[[#This Row],[Brand]]))</f>
        <v>100945</v>
      </c>
      <c r="O697" s="35">
        <f t="array" ref="O697">MEDIAN(_xlfn._xlws.FILTER(Table4[Selling Price],Table4[Brand-Renamed] =Table4[[#This Row],[Brand-Renamed]]))</f>
        <v>74490</v>
      </c>
    </row>
    <row r="698" spans="1:15" ht="13.8" x14ac:dyDescent="0.25">
      <c r="A698" s="4" t="s">
        <v>9</v>
      </c>
      <c r="B698" s="4" t="str">
        <f t="shared" si="60"/>
        <v>Samsung</v>
      </c>
      <c r="C698" s="4" t="s">
        <v>25</v>
      </c>
      <c r="D698" s="4">
        <v>49</v>
      </c>
      <c r="E698" s="4">
        <v>68000</v>
      </c>
      <c r="F698" s="4">
        <v>68000</v>
      </c>
      <c r="G698" s="4" t="s">
        <v>56</v>
      </c>
      <c r="H698" s="4">
        <v>3.3</v>
      </c>
      <c r="I698" s="4">
        <f t="shared" si="61"/>
        <v>0</v>
      </c>
      <c r="J698" t="str">
        <f t="shared" si="62"/>
        <v>Discount Not Applied</v>
      </c>
      <c r="K698" s="4">
        <f t="shared" si="63"/>
        <v>0</v>
      </c>
      <c r="L698" s="5">
        <f t="shared" si="64"/>
        <v>0</v>
      </c>
      <c r="M698" s="4" t="str">
        <f t="shared" si="65"/>
        <v>Bad Ratings</v>
      </c>
      <c r="N698" s="34">
        <f t="array" ref="N698">MEDIAN(_xlfn._xlws.FILTER(Table4[Original Price],Table4[Brand-Renamed] = Table4[[#This Row],[Brand]]))</f>
        <v>100945</v>
      </c>
      <c r="O698" s="35">
        <f t="array" ref="O698">MEDIAN(_xlfn._xlws.FILTER(Table4[Selling Price],Table4[Brand-Renamed] =Table4[[#This Row],[Brand-Renamed]]))</f>
        <v>74490</v>
      </c>
    </row>
    <row r="699" spans="1:15" ht="13.8" x14ac:dyDescent="0.25">
      <c r="A699" s="6" t="s">
        <v>122</v>
      </c>
      <c r="B699" s="4" t="str">
        <f t="shared" si="60"/>
        <v xml:space="preserve">Lg </v>
      </c>
      <c r="C699" s="6" t="s">
        <v>32</v>
      </c>
      <c r="D699" s="6">
        <v>49</v>
      </c>
      <c r="E699" s="6">
        <v>95007</v>
      </c>
      <c r="F699" s="6">
        <v>117900</v>
      </c>
      <c r="G699" s="6" t="s">
        <v>58</v>
      </c>
      <c r="H699" s="6">
        <v>3.4</v>
      </c>
      <c r="I699" s="6">
        <f t="shared" si="61"/>
        <v>22893</v>
      </c>
      <c r="J699">
        <f t="shared" si="62"/>
        <v>0.19417302798982189</v>
      </c>
      <c r="K699" s="6">
        <f t="shared" si="63"/>
        <v>-22893</v>
      </c>
      <c r="L699" s="7">
        <f t="shared" si="64"/>
        <v>-0.24096119233319649</v>
      </c>
      <c r="M699" s="6" t="str">
        <f t="shared" si="65"/>
        <v>Bad Ratings</v>
      </c>
      <c r="N699" s="34">
        <f t="array" ref="N699">MEDIAN(_xlfn._xlws.FILTER(Table4[Original Price],Table4[Brand-Renamed] = Table4[[#This Row],[Brand]]))</f>
        <v>98990</v>
      </c>
      <c r="O699" s="35">
        <f t="array" ref="O699">MEDIAN(_xlfn._xlws.FILTER(Table4[Selling Price],Table4[Brand-Renamed] =Table4[[#This Row],[Brand-Renamed]]))</f>
        <v>76737</v>
      </c>
    </row>
    <row r="700" spans="1:15" ht="13.8" x14ac:dyDescent="0.25">
      <c r="A700" s="4" t="s">
        <v>13</v>
      </c>
      <c r="B700" s="4" t="str">
        <f t="shared" si="60"/>
        <v>Panasonic</v>
      </c>
      <c r="C700" s="4" t="s">
        <v>8</v>
      </c>
      <c r="D700" s="4">
        <v>40</v>
      </c>
      <c r="E700" s="4">
        <v>49000</v>
      </c>
      <c r="F700" s="4">
        <v>50000</v>
      </c>
      <c r="G700" s="4" t="s">
        <v>54</v>
      </c>
      <c r="H700" s="4"/>
      <c r="I700" s="4">
        <f t="shared" si="61"/>
        <v>1000</v>
      </c>
      <c r="J700">
        <f t="shared" si="62"/>
        <v>0.02</v>
      </c>
      <c r="K700" s="4">
        <f t="shared" si="63"/>
        <v>-1000</v>
      </c>
      <c r="L700" s="5">
        <f t="shared" si="64"/>
        <v>-2.0408163265306121E-2</v>
      </c>
      <c r="M700" s="4" t="str">
        <f t="shared" si="65"/>
        <v>Ratings Not Given</v>
      </c>
      <c r="N700" s="34">
        <f t="array" ref="N700">MEDIAN(_xlfn._xlws.FILTER(Table4[Original Price],Table4[Brand-Renamed] = Table4[[#This Row],[Brand]]))</f>
        <v>64195</v>
      </c>
      <c r="O700" s="35">
        <f t="array" ref="O700">MEDIAN(_xlfn._xlws.FILTER(Table4[Selling Price],Table4[Brand-Renamed] =Table4[[#This Row],[Brand-Renamed]]))</f>
        <v>43129</v>
      </c>
    </row>
    <row r="701" spans="1:15" ht="13.8" x14ac:dyDescent="0.25">
      <c r="A701" s="6" t="s">
        <v>122</v>
      </c>
      <c r="B701" s="4" t="str">
        <f t="shared" si="60"/>
        <v xml:space="preserve">Lg </v>
      </c>
      <c r="C701" s="6" t="s">
        <v>32</v>
      </c>
      <c r="D701" s="6">
        <v>49</v>
      </c>
      <c r="E701" s="6">
        <v>77277</v>
      </c>
      <c r="F701" s="6">
        <v>103900</v>
      </c>
      <c r="G701" s="6" t="s">
        <v>58</v>
      </c>
      <c r="H701" s="6">
        <v>4.3</v>
      </c>
      <c r="I701" s="6">
        <f t="shared" si="61"/>
        <v>26623</v>
      </c>
      <c r="J701">
        <f t="shared" si="62"/>
        <v>0.25623676612127044</v>
      </c>
      <c r="K701" s="6">
        <f t="shared" si="63"/>
        <v>-26623</v>
      </c>
      <c r="L701" s="7">
        <f t="shared" si="64"/>
        <v>-0.34451389158481827</v>
      </c>
      <c r="M701" s="6" t="str">
        <f t="shared" si="65"/>
        <v>Medium Ratings</v>
      </c>
      <c r="N701" s="34">
        <f t="array" ref="N701">MEDIAN(_xlfn._xlws.FILTER(Table4[Original Price],Table4[Brand-Renamed] = Table4[[#This Row],[Brand]]))</f>
        <v>98990</v>
      </c>
      <c r="O701" s="35">
        <f t="array" ref="O701">MEDIAN(_xlfn._xlws.FILTER(Table4[Selling Price],Table4[Brand-Renamed] =Table4[[#This Row],[Brand-Renamed]]))</f>
        <v>76737</v>
      </c>
    </row>
    <row r="702" spans="1:15" ht="13.8" x14ac:dyDescent="0.25">
      <c r="A702" s="4" t="s">
        <v>130</v>
      </c>
      <c r="B702" s="4" t="str">
        <f t="shared" si="60"/>
        <v xml:space="preserve">Rgl </v>
      </c>
      <c r="C702" s="4" t="s">
        <v>8</v>
      </c>
      <c r="D702" s="4">
        <v>39</v>
      </c>
      <c r="E702" s="4">
        <v>16490</v>
      </c>
      <c r="F702" s="4">
        <v>29990</v>
      </c>
      <c r="G702" s="4" t="s">
        <v>62</v>
      </c>
      <c r="H702" s="4">
        <v>3.9</v>
      </c>
      <c r="I702" s="4">
        <f t="shared" si="61"/>
        <v>13500</v>
      </c>
      <c r="J702">
        <f t="shared" si="62"/>
        <v>0.45015005001667224</v>
      </c>
      <c r="K702" s="4">
        <f t="shared" si="63"/>
        <v>-13500</v>
      </c>
      <c r="L702" s="5">
        <f t="shared" si="64"/>
        <v>-0.81867798665858094</v>
      </c>
      <c r="M702" s="4" t="str">
        <f t="shared" si="65"/>
        <v>Medium Ratings</v>
      </c>
      <c r="N702" s="34">
        <f t="array" ref="N702">MEDIAN(_xlfn._xlws.FILTER(Table4[Original Price],Table4[Brand-Renamed] = Table4[[#This Row],[Brand]]))</f>
        <v>12000</v>
      </c>
      <c r="O702" s="35">
        <f t="array" ref="O702">MEDIAN(_xlfn._xlws.FILTER(Table4[Selling Price],Table4[Brand-Renamed] =Table4[[#This Row],[Brand-Renamed]]))</f>
        <v>5490</v>
      </c>
    </row>
    <row r="703" spans="1:15" ht="13.8" x14ac:dyDescent="0.25">
      <c r="A703" s="6" t="s">
        <v>122</v>
      </c>
      <c r="B703" s="4" t="str">
        <f t="shared" si="60"/>
        <v xml:space="preserve">Lg </v>
      </c>
      <c r="C703" s="6" t="s">
        <v>8</v>
      </c>
      <c r="D703" s="6">
        <v>55</v>
      </c>
      <c r="E703" s="6">
        <v>250000</v>
      </c>
      <c r="F703" s="6">
        <v>250000</v>
      </c>
      <c r="G703" s="6" t="s">
        <v>58</v>
      </c>
      <c r="H703" s="6"/>
      <c r="I703" s="6">
        <f t="shared" si="61"/>
        <v>0</v>
      </c>
      <c r="J703" t="str">
        <f t="shared" si="62"/>
        <v>Discount Not Applied</v>
      </c>
      <c r="K703" s="6">
        <f t="shared" si="63"/>
        <v>0</v>
      </c>
      <c r="L703" s="7">
        <f t="shared" si="64"/>
        <v>0</v>
      </c>
      <c r="M703" s="6" t="str">
        <f t="shared" si="65"/>
        <v>Ratings Not Given</v>
      </c>
      <c r="N703" s="34">
        <f t="array" ref="N703">MEDIAN(_xlfn._xlws.FILTER(Table4[Original Price],Table4[Brand-Renamed] = Table4[[#This Row],[Brand]]))</f>
        <v>98990</v>
      </c>
      <c r="O703" s="35">
        <f t="array" ref="O703">MEDIAN(_xlfn._xlws.FILTER(Table4[Selling Price],Table4[Brand-Renamed] =Table4[[#This Row],[Brand-Renamed]]))</f>
        <v>76737</v>
      </c>
    </row>
    <row r="704" spans="1:15" ht="13.8" x14ac:dyDescent="0.25">
      <c r="A704" s="4" t="s">
        <v>122</v>
      </c>
      <c r="B704" s="4" t="str">
        <f t="shared" si="60"/>
        <v xml:space="preserve">Lg </v>
      </c>
      <c r="C704" s="4" t="s">
        <v>32</v>
      </c>
      <c r="D704" s="4">
        <v>49</v>
      </c>
      <c r="E704" s="4">
        <v>102325</v>
      </c>
      <c r="F704" s="4">
        <v>119900</v>
      </c>
      <c r="G704" s="4" t="s">
        <v>58</v>
      </c>
      <c r="H704" s="4"/>
      <c r="I704" s="4">
        <f t="shared" si="61"/>
        <v>17575</v>
      </c>
      <c r="J704">
        <f t="shared" si="62"/>
        <v>0.14658048373644703</v>
      </c>
      <c r="K704" s="4">
        <f t="shared" si="63"/>
        <v>-17575</v>
      </c>
      <c r="L704" s="5">
        <f t="shared" si="64"/>
        <v>-0.17175665770828244</v>
      </c>
      <c r="M704" s="4" t="str">
        <f t="shared" si="65"/>
        <v>Ratings Not Given</v>
      </c>
      <c r="N704" s="34">
        <f t="array" ref="N704">MEDIAN(_xlfn._xlws.FILTER(Table4[Original Price],Table4[Brand-Renamed] = Table4[[#This Row],[Brand]]))</f>
        <v>98990</v>
      </c>
      <c r="O704" s="35">
        <f t="array" ref="O704">MEDIAN(_xlfn._xlws.FILTER(Table4[Selling Price],Table4[Brand-Renamed] =Table4[[#This Row],[Brand-Renamed]]))</f>
        <v>76737</v>
      </c>
    </row>
    <row r="705" spans="1:15" ht="13.8" x14ac:dyDescent="0.25">
      <c r="A705" s="6" t="s">
        <v>122</v>
      </c>
      <c r="B705" s="4" t="str">
        <f t="shared" si="60"/>
        <v xml:space="preserve">Lg </v>
      </c>
      <c r="C705" s="6" t="s">
        <v>8</v>
      </c>
      <c r="D705" s="6">
        <v>49</v>
      </c>
      <c r="E705" s="6">
        <v>67260</v>
      </c>
      <c r="F705" s="6">
        <v>74900</v>
      </c>
      <c r="G705" s="6" t="s">
        <v>58</v>
      </c>
      <c r="H705" s="6">
        <v>3.6</v>
      </c>
      <c r="I705" s="6">
        <f t="shared" si="61"/>
        <v>7640</v>
      </c>
      <c r="J705">
        <f t="shared" si="62"/>
        <v>0.10200267022696929</v>
      </c>
      <c r="K705" s="6">
        <f t="shared" si="63"/>
        <v>-7640</v>
      </c>
      <c r="L705" s="7">
        <f t="shared" si="64"/>
        <v>-0.1135890573892358</v>
      </c>
      <c r="M705" s="6" t="str">
        <f t="shared" si="65"/>
        <v>Bad Ratings</v>
      </c>
      <c r="N705" s="34">
        <f t="array" ref="N705">MEDIAN(_xlfn._xlws.FILTER(Table4[Original Price],Table4[Brand-Renamed] = Table4[[#This Row],[Brand]]))</f>
        <v>98990</v>
      </c>
      <c r="O705" s="35">
        <f t="array" ref="O705">MEDIAN(_xlfn._xlws.FILTER(Table4[Selling Price],Table4[Brand-Renamed] =Table4[[#This Row],[Brand-Renamed]]))</f>
        <v>76737</v>
      </c>
    </row>
    <row r="706" spans="1:15" ht="13.8" x14ac:dyDescent="0.25">
      <c r="A706" s="4" t="s">
        <v>122</v>
      </c>
      <c r="B706" s="4" t="str">
        <f t="shared" ref="B706:B769" si="66">PROPER(A706)</f>
        <v xml:space="preserve">Lg </v>
      </c>
      <c r="C706" s="4" t="s">
        <v>32</v>
      </c>
      <c r="D706" s="4">
        <v>55</v>
      </c>
      <c r="E706" s="4">
        <v>159589</v>
      </c>
      <c r="F706" s="4">
        <v>189900</v>
      </c>
      <c r="G706" s="4" t="s">
        <v>58</v>
      </c>
      <c r="H706" s="4">
        <v>3.9</v>
      </c>
      <c r="I706" s="4">
        <f t="shared" ref="I706:I769" si="67">F706-E706</f>
        <v>30311</v>
      </c>
      <c r="J706">
        <f t="shared" ref="J706:J769" si="68">IF((F706-E706)/F706 = 0, "Discount Not Applied", (F706-E706)/F706)</f>
        <v>0.15961558715113217</v>
      </c>
      <c r="K706" s="4">
        <f t="shared" ref="K706:K769" si="69">E706-F706</f>
        <v>-30311</v>
      </c>
      <c r="L706" s="5">
        <f t="shared" ref="L706:L769" si="70">(E706-F706)/E706</f>
        <v>-0.189931636892267</v>
      </c>
      <c r="M706" s="4" t="str">
        <f t="shared" ref="M706:M769" si="71">IF(ISBLANK(H706),"Ratings Not Given",IF(H706&gt;=4.5,"Good Ratings",IF(H706&lt;=3.7,"Bad Ratings","Medium Ratings")))</f>
        <v>Medium Ratings</v>
      </c>
      <c r="N706" s="34">
        <f t="array" ref="N706">MEDIAN(_xlfn._xlws.FILTER(Table4[Original Price],Table4[Brand-Renamed] = Table4[[#This Row],[Brand]]))</f>
        <v>98990</v>
      </c>
      <c r="O706" s="35">
        <f t="array" ref="O706">MEDIAN(_xlfn._xlws.FILTER(Table4[Selling Price],Table4[Brand-Renamed] =Table4[[#This Row],[Brand-Renamed]]))</f>
        <v>76737</v>
      </c>
    </row>
    <row r="707" spans="1:15" ht="13.8" x14ac:dyDescent="0.25">
      <c r="A707" s="6" t="s">
        <v>119</v>
      </c>
      <c r="B707" s="4" t="str">
        <f t="shared" si="66"/>
        <v xml:space="preserve">Tcl </v>
      </c>
      <c r="C707" s="6" t="s">
        <v>32</v>
      </c>
      <c r="D707" s="6">
        <v>43</v>
      </c>
      <c r="E707" s="6">
        <v>47990</v>
      </c>
      <c r="F707" s="6">
        <v>47990</v>
      </c>
      <c r="G707" s="6" t="s">
        <v>54</v>
      </c>
      <c r="H707" s="6">
        <v>3.7</v>
      </c>
      <c r="I707" s="6">
        <f t="shared" si="67"/>
        <v>0</v>
      </c>
      <c r="J707" t="str">
        <f t="shared" si="68"/>
        <v>Discount Not Applied</v>
      </c>
      <c r="K707" s="6">
        <f t="shared" si="69"/>
        <v>0</v>
      </c>
      <c r="L707" s="7">
        <f t="shared" si="70"/>
        <v>0</v>
      </c>
      <c r="M707" s="6" t="str">
        <f t="shared" si="71"/>
        <v>Bad Ratings</v>
      </c>
      <c r="N707" s="34">
        <f t="array" ref="N707">MEDIAN(_xlfn._xlws.FILTER(Table4[Original Price],Table4[Brand-Renamed] = Table4[[#This Row],[Brand]]))</f>
        <v>77990</v>
      </c>
      <c r="O707" s="35">
        <f t="array" ref="O707">MEDIAN(_xlfn._xlws.FILTER(Table4[Selling Price],Table4[Brand-Renamed] =Table4[[#This Row],[Brand-Renamed]]))</f>
        <v>40999</v>
      </c>
    </row>
    <row r="708" spans="1:15" ht="13.8" x14ac:dyDescent="0.25">
      <c r="A708" s="4" t="s">
        <v>122</v>
      </c>
      <c r="B708" s="4" t="str">
        <f t="shared" si="66"/>
        <v xml:space="preserve">Lg </v>
      </c>
      <c r="C708" s="4" t="s">
        <v>25</v>
      </c>
      <c r="D708" s="4">
        <v>50</v>
      </c>
      <c r="E708" s="4">
        <v>57990</v>
      </c>
      <c r="F708" s="4">
        <v>57990</v>
      </c>
      <c r="G708" s="4" t="s">
        <v>58</v>
      </c>
      <c r="H708" s="4"/>
      <c r="I708" s="4">
        <f t="shared" si="67"/>
        <v>0</v>
      </c>
      <c r="J708" t="str">
        <f t="shared" si="68"/>
        <v>Discount Not Applied</v>
      </c>
      <c r="K708" s="4">
        <f t="shared" si="69"/>
        <v>0</v>
      </c>
      <c r="L708" s="5">
        <f t="shared" si="70"/>
        <v>0</v>
      </c>
      <c r="M708" s="4" t="str">
        <f t="shared" si="71"/>
        <v>Ratings Not Given</v>
      </c>
      <c r="N708" s="34">
        <f t="array" ref="N708">MEDIAN(_xlfn._xlws.FILTER(Table4[Original Price],Table4[Brand-Renamed] = Table4[[#This Row],[Brand]]))</f>
        <v>98990</v>
      </c>
      <c r="O708" s="35">
        <f t="array" ref="O708">MEDIAN(_xlfn._xlws.FILTER(Table4[Selling Price],Table4[Brand-Renamed] =Table4[[#This Row],[Brand-Renamed]]))</f>
        <v>76737</v>
      </c>
    </row>
    <row r="709" spans="1:15" ht="13.8" x14ac:dyDescent="0.25">
      <c r="A709" s="6" t="s">
        <v>13</v>
      </c>
      <c r="B709" s="4" t="str">
        <f t="shared" si="66"/>
        <v>Panasonic</v>
      </c>
      <c r="C709" s="6" t="s">
        <v>8</v>
      </c>
      <c r="D709" s="6">
        <v>43</v>
      </c>
      <c r="E709" s="6">
        <v>30743</v>
      </c>
      <c r="F709" s="6">
        <v>50900</v>
      </c>
      <c r="G709" s="6" t="s">
        <v>54</v>
      </c>
      <c r="H709" s="6">
        <v>4.3</v>
      </c>
      <c r="I709" s="6">
        <f t="shared" si="67"/>
        <v>20157</v>
      </c>
      <c r="J709">
        <f t="shared" si="68"/>
        <v>0.39601178781925345</v>
      </c>
      <c r="K709" s="6">
        <f t="shared" si="69"/>
        <v>-20157</v>
      </c>
      <c r="L709" s="7">
        <f t="shared" si="70"/>
        <v>-0.65566145138730769</v>
      </c>
      <c r="M709" s="6" t="str">
        <f t="shared" si="71"/>
        <v>Medium Ratings</v>
      </c>
      <c r="N709" s="34">
        <f t="array" ref="N709">MEDIAN(_xlfn._xlws.FILTER(Table4[Original Price],Table4[Brand-Renamed] = Table4[[#This Row],[Brand]]))</f>
        <v>64195</v>
      </c>
      <c r="O709" s="35">
        <f t="array" ref="O709">MEDIAN(_xlfn._xlws.FILTER(Table4[Selling Price],Table4[Brand-Renamed] =Table4[[#This Row],[Brand-Renamed]]))</f>
        <v>43129</v>
      </c>
    </row>
    <row r="710" spans="1:15" ht="13.8" x14ac:dyDescent="0.25">
      <c r="A710" s="4" t="s">
        <v>122</v>
      </c>
      <c r="B710" s="4" t="str">
        <f t="shared" si="66"/>
        <v xml:space="preserve">Lg </v>
      </c>
      <c r="C710" s="4" t="s">
        <v>8</v>
      </c>
      <c r="D710" s="4">
        <v>60</v>
      </c>
      <c r="E710" s="4">
        <v>210000</v>
      </c>
      <c r="F710" s="4">
        <v>210000</v>
      </c>
      <c r="G710" s="4" t="s">
        <v>58</v>
      </c>
      <c r="H710" s="4">
        <v>4.4000000000000004</v>
      </c>
      <c r="I710" s="4">
        <f t="shared" si="67"/>
        <v>0</v>
      </c>
      <c r="J710" t="str">
        <f t="shared" si="68"/>
        <v>Discount Not Applied</v>
      </c>
      <c r="K710" s="4">
        <f t="shared" si="69"/>
        <v>0</v>
      </c>
      <c r="L710" s="5">
        <f t="shared" si="70"/>
        <v>0</v>
      </c>
      <c r="M710" s="4" t="str">
        <f t="shared" si="71"/>
        <v>Medium Ratings</v>
      </c>
      <c r="N710" s="34">
        <f t="array" ref="N710">MEDIAN(_xlfn._xlws.FILTER(Table4[Original Price],Table4[Brand-Renamed] = Table4[[#This Row],[Brand]]))</f>
        <v>98990</v>
      </c>
      <c r="O710" s="35">
        <f t="array" ref="O710">MEDIAN(_xlfn._xlws.FILTER(Table4[Selling Price],Table4[Brand-Renamed] =Table4[[#This Row],[Brand-Renamed]]))</f>
        <v>76737</v>
      </c>
    </row>
    <row r="711" spans="1:15" ht="13.8" x14ac:dyDescent="0.25">
      <c r="A711" s="6" t="s">
        <v>125</v>
      </c>
      <c r="B711" s="4" t="str">
        <f t="shared" si="66"/>
        <v>Samsung</v>
      </c>
      <c r="C711" s="6" t="s">
        <v>19</v>
      </c>
      <c r="D711" s="6">
        <v>32</v>
      </c>
      <c r="E711" s="6">
        <v>35700</v>
      </c>
      <c r="F711" s="6">
        <v>35700</v>
      </c>
      <c r="G711" s="6" t="s">
        <v>56</v>
      </c>
      <c r="H711" s="6">
        <v>3.3</v>
      </c>
      <c r="I711" s="6">
        <f t="shared" si="67"/>
        <v>0</v>
      </c>
      <c r="J711" t="str">
        <f t="shared" si="68"/>
        <v>Discount Not Applied</v>
      </c>
      <c r="K711" s="6">
        <f t="shared" si="69"/>
        <v>0</v>
      </c>
      <c r="L711" s="7">
        <f t="shared" si="70"/>
        <v>0</v>
      </c>
      <c r="M711" s="6" t="str">
        <f t="shared" si="71"/>
        <v>Bad Ratings</v>
      </c>
      <c r="N711" s="34">
        <f t="array" ref="N711">MEDIAN(_xlfn._xlws.FILTER(Table4[Original Price],Table4[Brand-Renamed] = Table4[[#This Row],[Brand]]))</f>
        <v>100945</v>
      </c>
      <c r="O711" s="35">
        <f t="array" ref="O711">MEDIAN(_xlfn._xlws.FILTER(Table4[Selling Price],Table4[Brand-Renamed] =Table4[[#This Row],[Brand-Renamed]]))</f>
        <v>74490</v>
      </c>
    </row>
    <row r="712" spans="1:15" ht="13.8" x14ac:dyDescent="0.25">
      <c r="A712" s="4" t="s">
        <v>122</v>
      </c>
      <c r="B712" s="4" t="str">
        <f t="shared" si="66"/>
        <v xml:space="preserve">Lg </v>
      </c>
      <c r="C712" s="4" t="s">
        <v>32</v>
      </c>
      <c r="D712" s="4">
        <v>49</v>
      </c>
      <c r="E712" s="4">
        <v>102325</v>
      </c>
      <c r="F712" s="4">
        <v>119900</v>
      </c>
      <c r="G712" s="4" t="s">
        <v>58</v>
      </c>
      <c r="H712" s="4"/>
      <c r="I712" s="4">
        <f t="shared" si="67"/>
        <v>17575</v>
      </c>
      <c r="J712">
        <f t="shared" si="68"/>
        <v>0.14658048373644703</v>
      </c>
      <c r="K712" s="4">
        <f t="shared" si="69"/>
        <v>-17575</v>
      </c>
      <c r="L712" s="5">
        <f t="shared" si="70"/>
        <v>-0.17175665770828244</v>
      </c>
      <c r="M712" s="4" t="str">
        <f t="shared" si="71"/>
        <v>Ratings Not Given</v>
      </c>
      <c r="N712" s="34">
        <f t="array" ref="N712">MEDIAN(_xlfn._xlws.FILTER(Table4[Original Price],Table4[Brand-Renamed] = Table4[[#This Row],[Brand]]))</f>
        <v>98990</v>
      </c>
      <c r="O712" s="35">
        <f t="array" ref="O712">MEDIAN(_xlfn._xlws.FILTER(Table4[Selling Price],Table4[Brand-Renamed] =Table4[[#This Row],[Brand-Renamed]]))</f>
        <v>76737</v>
      </c>
    </row>
    <row r="713" spans="1:15" ht="13.8" x14ac:dyDescent="0.25">
      <c r="A713" s="6" t="s">
        <v>122</v>
      </c>
      <c r="B713" s="4" t="str">
        <f t="shared" si="66"/>
        <v xml:space="preserve">Lg </v>
      </c>
      <c r="C713" s="6" t="s">
        <v>8</v>
      </c>
      <c r="D713" s="6">
        <v>49</v>
      </c>
      <c r="E713" s="6">
        <v>67260</v>
      </c>
      <c r="F713" s="6">
        <v>74900</v>
      </c>
      <c r="G713" s="6" t="s">
        <v>58</v>
      </c>
      <c r="H713" s="6">
        <v>3.6</v>
      </c>
      <c r="I713" s="6">
        <f t="shared" si="67"/>
        <v>7640</v>
      </c>
      <c r="J713">
        <f t="shared" si="68"/>
        <v>0.10200267022696929</v>
      </c>
      <c r="K713" s="6">
        <f t="shared" si="69"/>
        <v>-7640</v>
      </c>
      <c r="L713" s="7">
        <f t="shared" si="70"/>
        <v>-0.1135890573892358</v>
      </c>
      <c r="M713" s="6" t="str">
        <f t="shared" si="71"/>
        <v>Bad Ratings</v>
      </c>
      <c r="N713" s="34">
        <f t="array" ref="N713">MEDIAN(_xlfn._xlws.FILTER(Table4[Original Price],Table4[Brand-Renamed] = Table4[[#This Row],[Brand]]))</f>
        <v>98990</v>
      </c>
      <c r="O713" s="35">
        <f t="array" ref="O713">MEDIAN(_xlfn._xlws.FILTER(Table4[Selling Price],Table4[Brand-Renamed] =Table4[[#This Row],[Brand-Renamed]]))</f>
        <v>76737</v>
      </c>
    </row>
    <row r="714" spans="1:15" ht="13.8" x14ac:dyDescent="0.25">
      <c r="A714" s="4" t="s">
        <v>122</v>
      </c>
      <c r="B714" s="4" t="str">
        <f t="shared" si="66"/>
        <v xml:space="preserve">Lg </v>
      </c>
      <c r="C714" s="4" t="s">
        <v>32</v>
      </c>
      <c r="D714" s="4">
        <v>55</v>
      </c>
      <c r="E714" s="4">
        <v>159589</v>
      </c>
      <c r="F714" s="4">
        <v>189900</v>
      </c>
      <c r="G714" s="4" t="s">
        <v>58</v>
      </c>
      <c r="H714" s="4">
        <v>3.9</v>
      </c>
      <c r="I714" s="4">
        <f t="shared" si="67"/>
        <v>30311</v>
      </c>
      <c r="J714">
        <f t="shared" si="68"/>
        <v>0.15961558715113217</v>
      </c>
      <c r="K714" s="4">
        <f t="shared" si="69"/>
        <v>-30311</v>
      </c>
      <c r="L714" s="5">
        <f t="shared" si="70"/>
        <v>-0.189931636892267</v>
      </c>
      <c r="M714" s="4" t="str">
        <f t="shared" si="71"/>
        <v>Medium Ratings</v>
      </c>
      <c r="N714" s="34">
        <f t="array" ref="N714">MEDIAN(_xlfn._xlws.FILTER(Table4[Original Price],Table4[Brand-Renamed] = Table4[[#This Row],[Brand]]))</f>
        <v>98990</v>
      </c>
      <c r="O714" s="35">
        <f t="array" ref="O714">MEDIAN(_xlfn._xlws.FILTER(Table4[Selling Price],Table4[Brand-Renamed] =Table4[[#This Row],[Brand-Renamed]]))</f>
        <v>76737</v>
      </c>
    </row>
    <row r="715" spans="1:15" ht="13.8" x14ac:dyDescent="0.25">
      <c r="A715" s="6" t="s">
        <v>122</v>
      </c>
      <c r="B715" s="4" t="str">
        <f t="shared" si="66"/>
        <v xml:space="preserve">Lg </v>
      </c>
      <c r="C715" s="6" t="s">
        <v>25</v>
      </c>
      <c r="D715" s="6">
        <v>50</v>
      </c>
      <c r="E715" s="6">
        <v>57990</v>
      </c>
      <c r="F715" s="6">
        <v>57990</v>
      </c>
      <c r="G715" s="6" t="s">
        <v>58</v>
      </c>
      <c r="H715" s="6"/>
      <c r="I715" s="6">
        <f t="shared" si="67"/>
        <v>0</v>
      </c>
      <c r="J715" t="str">
        <f t="shared" si="68"/>
        <v>Discount Not Applied</v>
      </c>
      <c r="K715" s="6">
        <f t="shared" si="69"/>
        <v>0</v>
      </c>
      <c r="L715" s="7">
        <f t="shared" si="70"/>
        <v>0</v>
      </c>
      <c r="M715" s="6" t="str">
        <f t="shared" si="71"/>
        <v>Ratings Not Given</v>
      </c>
      <c r="N715" s="34">
        <f t="array" ref="N715">MEDIAN(_xlfn._xlws.FILTER(Table4[Original Price],Table4[Brand-Renamed] = Table4[[#This Row],[Brand]]))</f>
        <v>98990</v>
      </c>
      <c r="O715" s="35">
        <f t="array" ref="O715">MEDIAN(_xlfn._xlws.FILTER(Table4[Selling Price],Table4[Brand-Renamed] =Table4[[#This Row],[Brand-Renamed]]))</f>
        <v>76737</v>
      </c>
    </row>
    <row r="716" spans="1:15" ht="13.8" x14ac:dyDescent="0.25">
      <c r="A716" s="4" t="s">
        <v>122</v>
      </c>
      <c r="B716" s="4" t="str">
        <f t="shared" si="66"/>
        <v xml:space="preserve">Lg </v>
      </c>
      <c r="C716" s="4" t="s">
        <v>8</v>
      </c>
      <c r="D716" s="4">
        <v>60</v>
      </c>
      <c r="E716" s="4">
        <v>210000</v>
      </c>
      <c r="F716" s="4">
        <v>210000</v>
      </c>
      <c r="G716" s="4" t="s">
        <v>58</v>
      </c>
      <c r="H716" s="4">
        <v>4.4000000000000004</v>
      </c>
      <c r="I716" s="4">
        <f t="shared" si="67"/>
        <v>0</v>
      </c>
      <c r="J716" t="str">
        <f t="shared" si="68"/>
        <v>Discount Not Applied</v>
      </c>
      <c r="K716" s="4">
        <f t="shared" si="69"/>
        <v>0</v>
      </c>
      <c r="L716" s="5">
        <f t="shared" si="70"/>
        <v>0</v>
      </c>
      <c r="M716" s="4" t="str">
        <f t="shared" si="71"/>
        <v>Medium Ratings</v>
      </c>
      <c r="N716" s="34">
        <f t="array" ref="N716">MEDIAN(_xlfn._xlws.FILTER(Table4[Original Price],Table4[Brand-Renamed] = Table4[[#This Row],[Brand]]))</f>
        <v>98990</v>
      </c>
      <c r="O716" s="35">
        <f t="array" ref="O716">MEDIAN(_xlfn._xlws.FILTER(Table4[Selling Price],Table4[Brand-Renamed] =Table4[[#This Row],[Brand-Renamed]]))</f>
        <v>76737</v>
      </c>
    </row>
    <row r="717" spans="1:15" ht="13.8" x14ac:dyDescent="0.25">
      <c r="A717" s="6" t="s">
        <v>13</v>
      </c>
      <c r="B717" s="4" t="str">
        <f t="shared" si="66"/>
        <v>Panasonic</v>
      </c>
      <c r="C717" s="6" t="s">
        <v>8</v>
      </c>
      <c r="D717" s="6">
        <v>43</v>
      </c>
      <c r="E717" s="6">
        <v>30743</v>
      </c>
      <c r="F717" s="6">
        <v>50900</v>
      </c>
      <c r="G717" s="6" t="s">
        <v>54</v>
      </c>
      <c r="H717" s="6">
        <v>4.3</v>
      </c>
      <c r="I717" s="6">
        <f t="shared" si="67"/>
        <v>20157</v>
      </c>
      <c r="J717">
        <f t="shared" si="68"/>
        <v>0.39601178781925345</v>
      </c>
      <c r="K717" s="6">
        <f t="shared" si="69"/>
        <v>-20157</v>
      </c>
      <c r="L717" s="7">
        <f t="shared" si="70"/>
        <v>-0.65566145138730769</v>
      </c>
      <c r="M717" s="6" t="str">
        <f t="shared" si="71"/>
        <v>Medium Ratings</v>
      </c>
      <c r="N717" s="34">
        <f t="array" ref="N717">MEDIAN(_xlfn._xlws.FILTER(Table4[Original Price],Table4[Brand-Renamed] = Table4[[#This Row],[Brand]]))</f>
        <v>64195</v>
      </c>
      <c r="O717" s="35">
        <f t="array" ref="O717">MEDIAN(_xlfn._xlws.FILTER(Table4[Selling Price],Table4[Brand-Renamed] =Table4[[#This Row],[Brand-Renamed]]))</f>
        <v>43129</v>
      </c>
    </row>
    <row r="718" spans="1:15" ht="13.8" x14ac:dyDescent="0.25">
      <c r="A718" s="4" t="s">
        <v>132</v>
      </c>
      <c r="B718" s="4" t="str">
        <f t="shared" si="66"/>
        <v xml:space="preserve">Impex </v>
      </c>
      <c r="C718" s="4" t="s">
        <v>8</v>
      </c>
      <c r="D718" s="4">
        <v>43</v>
      </c>
      <c r="E718" s="4">
        <v>54990</v>
      </c>
      <c r="F718" s="4">
        <v>54990</v>
      </c>
      <c r="G718" s="4" t="s">
        <v>54</v>
      </c>
      <c r="H718" s="4"/>
      <c r="I718" s="4">
        <f t="shared" si="67"/>
        <v>0</v>
      </c>
      <c r="J718" t="str">
        <f t="shared" si="68"/>
        <v>Discount Not Applied</v>
      </c>
      <c r="K718" s="4">
        <f t="shared" si="69"/>
        <v>0</v>
      </c>
      <c r="L718" s="5">
        <f t="shared" si="70"/>
        <v>0</v>
      </c>
      <c r="M718" s="4" t="str">
        <f t="shared" si="71"/>
        <v>Ratings Not Given</v>
      </c>
      <c r="N718" s="34">
        <f t="array" ref="N718">MEDIAN(_xlfn._xlws.FILTER(Table4[Original Price],Table4[Brand-Renamed] = Table4[[#This Row],[Brand]]))</f>
        <v>32039</v>
      </c>
      <c r="O718" s="35">
        <f t="array" ref="O718">MEDIAN(_xlfn._xlws.FILTER(Table4[Selling Price],Table4[Brand-Renamed] =Table4[[#This Row],[Brand-Renamed]]))</f>
        <v>28690</v>
      </c>
    </row>
    <row r="719" spans="1:15" ht="13.8" x14ac:dyDescent="0.25">
      <c r="A719" s="6" t="s">
        <v>142</v>
      </c>
      <c r="B719" s="4" t="str">
        <f t="shared" si="66"/>
        <v xml:space="preserve">Aisen  </v>
      </c>
      <c r="C719" s="6" t="s">
        <v>32</v>
      </c>
      <c r="D719" s="6">
        <v>65</v>
      </c>
      <c r="E719" s="6">
        <v>79990</v>
      </c>
      <c r="F719" s="6">
        <v>99900</v>
      </c>
      <c r="G719" s="6" t="s">
        <v>54</v>
      </c>
      <c r="H719" s="6"/>
      <c r="I719" s="6">
        <f t="shared" si="67"/>
        <v>19910</v>
      </c>
      <c r="J719">
        <f t="shared" si="68"/>
        <v>0.19929929929929929</v>
      </c>
      <c r="K719" s="6">
        <f t="shared" si="69"/>
        <v>-19910</v>
      </c>
      <c r="L719" s="7">
        <f t="shared" si="70"/>
        <v>-0.24890611326415801</v>
      </c>
      <c r="M719" s="6" t="str">
        <f t="shared" si="71"/>
        <v>Ratings Not Given</v>
      </c>
      <c r="N719" s="34">
        <f t="array" ref="N719">MEDIAN(_xlfn._xlws.FILTER(Table4[Original Price],Table4[Brand-Renamed] = Table4[[#This Row],[Brand]]))</f>
        <v>33425</v>
      </c>
      <c r="O719" s="35">
        <f t="array" ref="O719">MEDIAN(_xlfn._xlws.FILTER(Table4[Selling Price],Table4[Brand-Renamed] =Table4[[#This Row],[Brand-Renamed]]))</f>
        <v>25970</v>
      </c>
    </row>
    <row r="720" spans="1:15" ht="13.8" x14ac:dyDescent="0.25">
      <c r="A720" s="4" t="s">
        <v>125</v>
      </c>
      <c r="B720" s="4" t="str">
        <f t="shared" si="66"/>
        <v>Samsung</v>
      </c>
      <c r="C720" s="4" t="s">
        <v>8</v>
      </c>
      <c r="D720" s="4">
        <v>65</v>
      </c>
      <c r="E720" s="4">
        <v>385500</v>
      </c>
      <c r="F720" s="4">
        <v>385500</v>
      </c>
      <c r="G720" s="4" t="s">
        <v>56</v>
      </c>
      <c r="H720" s="4"/>
      <c r="I720" s="4">
        <f t="shared" si="67"/>
        <v>0</v>
      </c>
      <c r="J720" t="str">
        <f t="shared" si="68"/>
        <v>Discount Not Applied</v>
      </c>
      <c r="K720" s="4">
        <f t="shared" si="69"/>
        <v>0</v>
      </c>
      <c r="L720" s="5">
        <f t="shared" si="70"/>
        <v>0</v>
      </c>
      <c r="M720" s="4" t="str">
        <f t="shared" si="71"/>
        <v>Ratings Not Given</v>
      </c>
      <c r="N720" s="34">
        <f t="array" ref="N720">MEDIAN(_xlfn._xlws.FILTER(Table4[Original Price],Table4[Brand-Renamed] = Table4[[#This Row],[Brand]]))</f>
        <v>100945</v>
      </c>
      <c r="O720" s="35">
        <f t="array" ref="O720">MEDIAN(_xlfn._xlws.FILTER(Table4[Selling Price],Table4[Brand-Renamed] =Table4[[#This Row],[Brand-Renamed]]))</f>
        <v>74490</v>
      </c>
    </row>
    <row r="721" spans="1:15" ht="13.8" x14ac:dyDescent="0.25">
      <c r="A721" s="6" t="s">
        <v>122</v>
      </c>
      <c r="B721" s="4" t="str">
        <f t="shared" si="66"/>
        <v xml:space="preserve">Lg </v>
      </c>
      <c r="C721" s="6" t="s">
        <v>32</v>
      </c>
      <c r="D721" s="6">
        <v>55</v>
      </c>
      <c r="E721" s="6">
        <v>142237</v>
      </c>
      <c r="F721" s="6">
        <v>169900</v>
      </c>
      <c r="G721" s="6" t="s">
        <v>58</v>
      </c>
      <c r="H721" s="6">
        <v>5</v>
      </c>
      <c r="I721" s="6">
        <f t="shared" si="67"/>
        <v>27663</v>
      </c>
      <c r="J721">
        <f t="shared" si="68"/>
        <v>0.16281930547380813</v>
      </c>
      <c r="K721" s="6">
        <f t="shared" si="69"/>
        <v>-27663</v>
      </c>
      <c r="L721" s="7">
        <f t="shared" si="70"/>
        <v>-0.19448526051589951</v>
      </c>
      <c r="M721" s="6" t="str">
        <f t="shared" si="71"/>
        <v>Good Ratings</v>
      </c>
      <c r="N721" s="34">
        <f t="array" ref="N721">MEDIAN(_xlfn._xlws.FILTER(Table4[Original Price],Table4[Brand-Renamed] = Table4[[#This Row],[Brand]]))</f>
        <v>98990</v>
      </c>
      <c r="O721" s="35">
        <f t="array" ref="O721">MEDIAN(_xlfn._xlws.FILTER(Table4[Selling Price],Table4[Brand-Renamed] =Table4[[#This Row],[Brand-Renamed]]))</f>
        <v>76737</v>
      </c>
    </row>
    <row r="722" spans="1:15" ht="13.8" x14ac:dyDescent="0.25">
      <c r="A722" s="4" t="s">
        <v>125</v>
      </c>
      <c r="B722" s="4" t="str">
        <f t="shared" si="66"/>
        <v>Samsung</v>
      </c>
      <c r="C722" s="4" t="s">
        <v>8</v>
      </c>
      <c r="D722" s="4">
        <v>75</v>
      </c>
      <c r="E722" s="4">
        <v>419900</v>
      </c>
      <c r="F722" s="4">
        <v>419900</v>
      </c>
      <c r="G722" s="4" t="s">
        <v>56</v>
      </c>
      <c r="H722" s="4"/>
      <c r="I722" s="4">
        <f t="shared" si="67"/>
        <v>0</v>
      </c>
      <c r="J722" t="str">
        <f t="shared" si="68"/>
        <v>Discount Not Applied</v>
      </c>
      <c r="K722" s="4">
        <f t="shared" si="69"/>
        <v>0</v>
      </c>
      <c r="L722" s="5">
        <f t="shared" si="70"/>
        <v>0</v>
      </c>
      <c r="M722" s="4" t="str">
        <f t="shared" si="71"/>
        <v>Ratings Not Given</v>
      </c>
      <c r="N722" s="34">
        <f t="array" ref="N722">MEDIAN(_xlfn._xlws.FILTER(Table4[Original Price],Table4[Brand-Renamed] = Table4[[#This Row],[Brand]]))</f>
        <v>100945</v>
      </c>
      <c r="O722" s="35">
        <f t="array" ref="O722">MEDIAN(_xlfn._xlws.FILTER(Table4[Selling Price],Table4[Brand-Renamed] =Table4[[#This Row],[Brand-Renamed]]))</f>
        <v>74490</v>
      </c>
    </row>
    <row r="723" spans="1:15" ht="13.8" x14ac:dyDescent="0.25">
      <c r="A723" s="6" t="s">
        <v>76</v>
      </c>
      <c r="B723" s="4" t="str">
        <f t="shared" si="66"/>
        <v xml:space="preserve">Onix </v>
      </c>
      <c r="C723" s="6" t="s">
        <v>32</v>
      </c>
      <c r="D723" s="6">
        <v>55</v>
      </c>
      <c r="E723" s="6">
        <v>67990</v>
      </c>
      <c r="F723" s="6">
        <v>67990</v>
      </c>
      <c r="G723" s="6" t="s">
        <v>54</v>
      </c>
      <c r="H723" s="6"/>
      <c r="I723" s="6">
        <f t="shared" si="67"/>
        <v>0</v>
      </c>
      <c r="J723" t="str">
        <f t="shared" si="68"/>
        <v>Discount Not Applied</v>
      </c>
      <c r="K723" s="6">
        <f t="shared" si="69"/>
        <v>0</v>
      </c>
      <c r="L723" s="7">
        <f t="shared" si="70"/>
        <v>0</v>
      </c>
      <c r="M723" s="6" t="str">
        <f t="shared" si="71"/>
        <v>Ratings Not Given</v>
      </c>
      <c r="N723" s="34">
        <f t="array" ref="N723">MEDIAN(_xlfn._xlws.FILTER(Table4[Original Price],Table4[Brand-Renamed] = Table4[[#This Row],[Brand]]))</f>
        <v>37390</v>
      </c>
      <c r="O723" s="35">
        <f t="array" ref="O723">MEDIAN(_xlfn._xlws.FILTER(Table4[Selling Price],Table4[Brand-Renamed] =Table4[[#This Row],[Brand-Renamed]]))</f>
        <v>32990</v>
      </c>
    </row>
    <row r="724" spans="1:15" ht="13.8" x14ac:dyDescent="0.25">
      <c r="A724" s="4" t="s">
        <v>139</v>
      </c>
      <c r="B724" s="4" t="str">
        <f t="shared" si="66"/>
        <v xml:space="preserve">G-Ten </v>
      </c>
      <c r="C724" s="4" t="s">
        <v>19</v>
      </c>
      <c r="D724" s="4">
        <v>40</v>
      </c>
      <c r="E724" s="4">
        <v>12999</v>
      </c>
      <c r="F724" s="4">
        <v>26350</v>
      </c>
      <c r="G724" s="4" t="s">
        <v>54</v>
      </c>
      <c r="H724" s="4">
        <v>3.9</v>
      </c>
      <c r="I724" s="4">
        <f t="shared" si="67"/>
        <v>13351</v>
      </c>
      <c r="J724">
        <f t="shared" si="68"/>
        <v>0.50667931688804557</v>
      </c>
      <c r="K724" s="4">
        <f t="shared" si="69"/>
        <v>-13351</v>
      </c>
      <c r="L724" s="5">
        <f t="shared" si="70"/>
        <v>-1.0270790060773907</v>
      </c>
      <c r="M724" s="4" t="str">
        <f t="shared" si="71"/>
        <v>Medium Ratings</v>
      </c>
      <c r="N724" s="34">
        <f t="array" ref="N724">MEDIAN(_xlfn._xlws.FILTER(Table4[Original Price],Table4[Brand-Renamed] = Table4[[#This Row],[Brand]]))</f>
        <v>37440</v>
      </c>
      <c r="O724" s="35">
        <f t="array" ref="O724">MEDIAN(_xlfn._xlws.FILTER(Table4[Selling Price],Table4[Brand-Renamed] =Table4[[#This Row],[Brand-Renamed]]))</f>
        <v>15490</v>
      </c>
    </row>
    <row r="725" spans="1:15" ht="13.8" x14ac:dyDescent="0.25">
      <c r="A725" s="6" t="s">
        <v>122</v>
      </c>
      <c r="B725" s="4" t="str">
        <f t="shared" si="66"/>
        <v xml:space="preserve">Lg </v>
      </c>
      <c r="C725" s="6" t="s">
        <v>8</v>
      </c>
      <c r="D725" s="6">
        <v>60</v>
      </c>
      <c r="E725" s="6">
        <v>190000</v>
      </c>
      <c r="F725" s="6">
        <v>190000</v>
      </c>
      <c r="G725" s="6" t="s">
        <v>58</v>
      </c>
      <c r="H725" s="6">
        <v>4.8</v>
      </c>
      <c r="I725" s="6">
        <f t="shared" si="67"/>
        <v>0</v>
      </c>
      <c r="J725" t="str">
        <f t="shared" si="68"/>
        <v>Discount Not Applied</v>
      </c>
      <c r="K725" s="6">
        <f t="shared" si="69"/>
        <v>0</v>
      </c>
      <c r="L725" s="7">
        <f t="shared" si="70"/>
        <v>0</v>
      </c>
      <c r="M725" s="6" t="str">
        <f t="shared" si="71"/>
        <v>Good Ratings</v>
      </c>
      <c r="N725" s="34">
        <f t="array" ref="N725">MEDIAN(_xlfn._xlws.FILTER(Table4[Original Price],Table4[Brand-Renamed] = Table4[[#This Row],[Brand]]))</f>
        <v>98990</v>
      </c>
      <c r="O725" s="35">
        <f t="array" ref="O725">MEDIAN(_xlfn._xlws.FILTER(Table4[Selling Price],Table4[Brand-Renamed] =Table4[[#This Row],[Brand-Renamed]]))</f>
        <v>76737</v>
      </c>
    </row>
    <row r="726" spans="1:15" ht="13.8" x14ac:dyDescent="0.25">
      <c r="A726" s="4" t="s">
        <v>125</v>
      </c>
      <c r="B726" s="4" t="str">
        <f t="shared" si="66"/>
        <v>Samsung</v>
      </c>
      <c r="C726" s="4" t="s">
        <v>19</v>
      </c>
      <c r="D726" s="4">
        <v>48</v>
      </c>
      <c r="E726" s="4">
        <v>70500</v>
      </c>
      <c r="F726" s="4">
        <v>70500</v>
      </c>
      <c r="G726" s="4" t="s">
        <v>56</v>
      </c>
      <c r="H726" s="4">
        <v>4</v>
      </c>
      <c r="I726" s="4">
        <f t="shared" si="67"/>
        <v>0</v>
      </c>
      <c r="J726" t="str">
        <f t="shared" si="68"/>
        <v>Discount Not Applied</v>
      </c>
      <c r="K726" s="4">
        <f t="shared" si="69"/>
        <v>0</v>
      </c>
      <c r="L726" s="5">
        <f t="shared" si="70"/>
        <v>0</v>
      </c>
      <c r="M726" s="4" t="str">
        <f t="shared" si="71"/>
        <v>Medium Ratings</v>
      </c>
      <c r="N726" s="34">
        <f t="array" ref="N726">MEDIAN(_xlfn._xlws.FILTER(Table4[Original Price],Table4[Brand-Renamed] = Table4[[#This Row],[Brand]]))</f>
        <v>100945</v>
      </c>
      <c r="O726" s="35">
        <f t="array" ref="O726">MEDIAN(_xlfn._xlws.FILTER(Table4[Selling Price],Table4[Brand-Renamed] =Table4[[#This Row],[Brand-Renamed]]))</f>
        <v>74490</v>
      </c>
    </row>
    <row r="727" spans="1:15" ht="13.8" x14ac:dyDescent="0.25">
      <c r="A727" s="6" t="s">
        <v>119</v>
      </c>
      <c r="B727" s="4" t="str">
        <f t="shared" si="66"/>
        <v xml:space="preserve">Tcl </v>
      </c>
      <c r="C727" s="6" t="s">
        <v>32</v>
      </c>
      <c r="D727" s="6">
        <v>55</v>
      </c>
      <c r="E727" s="6">
        <v>74990</v>
      </c>
      <c r="F727" s="6">
        <v>74990</v>
      </c>
      <c r="G727" s="6" t="s">
        <v>60</v>
      </c>
      <c r="H727" s="6">
        <v>4.3</v>
      </c>
      <c r="I727" s="6">
        <f t="shared" si="67"/>
        <v>0</v>
      </c>
      <c r="J727" t="str">
        <f t="shared" si="68"/>
        <v>Discount Not Applied</v>
      </c>
      <c r="K727" s="6">
        <f t="shared" si="69"/>
        <v>0</v>
      </c>
      <c r="L727" s="7">
        <f t="shared" si="70"/>
        <v>0</v>
      </c>
      <c r="M727" s="6" t="str">
        <f t="shared" si="71"/>
        <v>Medium Ratings</v>
      </c>
      <c r="N727" s="34">
        <f t="array" ref="N727">MEDIAN(_xlfn._xlws.FILTER(Table4[Original Price],Table4[Brand-Renamed] = Table4[[#This Row],[Brand]]))</f>
        <v>77990</v>
      </c>
      <c r="O727" s="35">
        <f t="array" ref="O727">MEDIAN(_xlfn._xlws.FILTER(Table4[Selling Price],Table4[Brand-Renamed] =Table4[[#This Row],[Brand-Renamed]]))</f>
        <v>40999</v>
      </c>
    </row>
    <row r="728" spans="1:15" ht="13.8" x14ac:dyDescent="0.25">
      <c r="A728" s="4" t="s">
        <v>43</v>
      </c>
      <c r="B728" s="4" t="str">
        <f t="shared" si="66"/>
        <v xml:space="preserve">Compaq </v>
      </c>
      <c r="C728" s="4" t="s">
        <v>8</v>
      </c>
      <c r="D728" s="4">
        <v>43</v>
      </c>
      <c r="E728" s="4">
        <v>22999</v>
      </c>
      <c r="F728" s="4">
        <v>29999</v>
      </c>
      <c r="G728" s="4" t="s">
        <v>54</v>
      </c>
      <c r="H728" s="4">
        <v>4.2</v>
      </c>
      <c r="I728" s="4">
        <f t="shared" si="67"/>
        <v>7000</v>
      </c>
      <c r="J728">
        <f t="shared" si="68"/>
        <v>0.23334111137037902</v>
      </c>
      <c r="K728" s="4">
        <f t="shared" si="69"/>
        <v>-7000</v>
      </c>
      <c r="L728" s="5">
        <f t="shared" si="70"/>
        <v>-0.30436105917648593</v>
      </c>
      <c r="M728" s="4" t="str">
        <f t="shared" si="71"/>
        <v>Medium Ratings</v>
      </c>
      <c r="N728" s="34">
        <f t="array" ref="N728">MEDIAN(_xlfn._xlws.FILTER(Table4[Original Price],Table4[Brand-Renamed] = Table4[[#This Row],[Brand]]))</f>
        <v>39999</v>
      </c>
      <c r="O728" s="35">
        <f t="array" ref="O728">MEDIAN(_xlfn._xlws.FILTER(Table4[Selling Price],Table4[Brand-Renamed] =Table4[[#This Row],[Brand-Renamed]]))</f>
        <v>32999</v>
      </c>
    </row>
    <row r="729" spans="1:15" ht="13.8" x14ac:dyDescent="0.25">
      <c r="A729" s="6" t="s">
        <v>43</v>
      </c>
      <c r="B729" s="4" t="str">
        <f t="shared" si="66"/>
        <v xml:space="preserve">Compaq </v>
      </c>
      <c r="C729" s="6" t="s">
        <v>32</v>
      </c>
      <c r="D729" s="6">
        <v>50</v>
      </c>
      <c r="E729" s="6">
        <v>32999</v>
      </c>
      <c r="F729" s="6">
        <v>39999</v>
      </c>
      <c r="G729" s="6" t="s">
        <v>54</v>
      </c>
      <c r="H729" s="6">
        <v>4.4000000000000004</v>
      </c>
      <c r="I729" s="6">
        <f t="shared" si="67"/>
        <v>7000</v>
      </c>
      <c r="J729">
        <f t="shared" si="68"/>
        <v>0.17500437510937775</v>
      </c>
      <c r="K729" s="6">
        <f t="shared" si="69"/>
        <v>-7000</v>
      </c>
      <c r="L729" s="7">
        <f t="shared" si="70"/>
        <v>-0.21212764023152217</v>
      </c>
      <c r="M729" s="6" t="str">
        <f t="shared" si="71"/>
        <v>Medium Ratings</v>
      </c>
      <c r="N729" s="34">
        <f t="array" ref="N729">MEDIAN(_xlfn._xlws.FILTER(Table4[Original Price],Table4[Brand-Renamed] = Table4[[#This Row],[Brand]]))</f>
        <v>39999</v>
      </c>
      <c r="O729" s="35">
        <f t="array" ref="O729">MEDIAN(_xlfn._xlws.FILTER(Table4[Selling Price],Table4[Brand-Renamed] =Table4[[#This Row],[Brand-Renamed]]))</f>
        <v>32999</v>
      </c>
    </row>
    <row r="730" spans="1:15" ht="13.8" x14ac:dyDescent="0.25">
      <c r="A730" s="4" t="s">
        <v>43</v>
      </c>
      <c r="B730" s="4" t="str">
        <f t="shared" si="66"/>
        <v xml:space="preserve">Compaq </v>
      </c>
      <c r="C730" s="4" t="s">
        <v>19</v>
      </c>
      <c r="D730" s="4">
        <v>32</v>
      </c>
      <c r="E730" s="4">
        <v>13999</v>
      </c>
      <c r="F730" s="4">
        <v>15999</v>
      </c>
      <c r="G730" s="4" t="s">
        <v>54</v>
      </c>
      <c r="H730" s="4">
        <v>4.2</v>
      </c>
      <c r="I730" s="4">
        <f t="shared" si="67"/>
        <v>2000</v>
      </c>
      <c r="J730">
        <f t="shared" si="68"/>
        <v>0.12500781298831176</v>
      </c>
      <c r="K730" s="4">
        <f t="shared" si="69"/>
        <v>-2000</v>
      </c>
      <c r="L730" s="5">
        <f t="shared" si="70"/>
        <v>-0.14286734766769055</v>
      </c>
      <c r="M730" s="4" t="str">
        <f t="shared" si="71"/>
        <v>Medium Ratings</v>
      </c>
      <c r="N730" s="34">
        <f t="array" ref="N730">MEDIAN(_xlfn._xlws.FILTER(Table4[Original Price],Table4[Brand-Renamed] = Table4[[#This Row],[Brand]]))</f>
        <v>39999</v>
      </c>
      <c r="O730" s="35">
        <f t="array" ref="O730">MEDIAN(_xlfn._xlws.FILTER(Table4[Selling Price],Table4[Brand-Renamed] =Table4[[#This Row],[Brand-Renamed]]))</f>
        <v>32999</v>
      </c>
    </row>
    <row r="731" spans="1:15" ht="13.8" x14ac:dyDescent="0.25">
      <c r="A731" s="6" t="s">
        <v>35</v>
      </c>
      <c r="B731" s="4" t="str">
        <f t="shared" si="66"/>
        <v>Acer</v>
      </c>
      <c r="C731" s="6" t="s">
        <v>32</v>
      </c>
      <c r="D731" s="6">
        <v>55</v>
      </c>
      <c r="E731" s="6">
        <v>39999</v>
      </c>
      <c r="F731" s="6">
        <v>54990</v>
      </c>
      <c r="G731" s="6" t="s">
        <v>54</v>
      </c>
      <c r="H731" s="6">
        <v>3.8</v>
      </c>
      <c r="I731" s="6">
        <f t="shared" si="67"/>
        <v>14991</v>
      </c>
      <c r="J731">
        <f t="shared" si="68"/>
        <v>0.27261320240043646</v>
      </c>
      <c r="K731" s="6">
        <f t="shared" si="69"/>
        <v>-14991</v>
      </c>
      <c r="L731" s="7">
        <f t="shared" si="70"/>
        <v>-0.37478436960924022</v>
      </c>
      <c r="M731" s="6" t="str">
        <f t="shared" si="71"/>
        <v>Medium Ratings</v>
      </c>
      <c r="N731" s="34">
        <f t="array" ref="N731">MEDIAN(_xlfn._xlws.FILTER(Table4[Original Price],Table4[Brand-Renamed] = Table4[[#This Row],[Brand]]))</f>
        <v>34990</v>
      </c>
      <c r="O731" s="35">
        <f t="array" ref="O731">MEDIAN(_xlfn._xlws.FILTER(Table4[Selling Price],Table4[Brand-Renamed] =Table4[[#This Row],[Brand-Renamed]]))</f>
        <v>34990</v>
      </c>
    </row>
    <row r="732" spans="1:15" ht="13.8" x14ac:dyDescent="0.25">
      <c r="A732" s="4" t="s">
        <v>35</v>
      </c>
      <c r="B732" s="4" t="str">
        <f t="shared" si="66"/>
        <v>Acer</v>
      </c>
      <c r="C732" s="4" t="s">
        <v>19</v>
      </c>
      <c r="D732" s="4">
        <v>32</v>
      </c>
      <c r="E732" s="4">
        <v>14999</v>
      </c>
      <c r="F732" s="4">
        <v>22990</v>
      </c>
      <c r="G732" s="4" t="s">
        <v>54</v>
      </c>
      <c r="H732" s="4">
        <v>3.9</v>
      </c>
      <c r="I732" s="4">
        <f t="shared" si="67"/>
        <v>7991</v>
      </c>
      <c r="J732">
        <f t="shared" si="68"/>
        <v>0.34758590691605046</v>
      </c>
      <c r="K732" s="4">
        <f t="shared" si="69"/>
        <v>-7991</v>
      </c>
      <c r="L732" s="5">
        <f t="shared" si="70"/>
        <v>-0.53276885125675044</v>
      </c>
      <c r="M732" s="4" t="str">
        <f t="shared" si="71"/>
        <v>Medium Ratings</v>
      </c>
      <c r="N732" s="34">
        <f t="array" ref="N732">MEDIAN(_xlfn._xlws.FILTER(Table4[Original Price],Table4[Brand-Renamed] = Table4[[#This Row],[Brand]]))</f>
        <v>34990</v>
      </c>
      <c r="O732" s="35">
        <f t="array" ref="O732">MEDIAN(_xlfn._xlws.FILTER(Table4[Selling Price],Table4[Brand-Renamed] =Table4[[#This Row],[Brand-Renamed]]))</f>
        <v>34990</v>
      </c>
    </row>
    <row r="733" spans="1:15" ht="13.8" x14ac:dyDescent="0.25">
      <c r="A733" s="6" t="s">
        <v>35</v>
      </c>
      <c r="B733" s="4" t="str">
        <f t="shared" si="66"/>
        <v>Acer</v>
      </c>
      <c r="C733" s="6" t="s">
        <v>32</v>
      </c>
      <c r="D733" s="6">
        <v>70</v>
      </c>
      <c r="E733" s="6">
        <v>69999</v>
      </c>
      <c r="F733" s="6">
        <v>99990</v>
      </c>
      <c r="G733" s="6" t="s">
        <v>54</v>
      </c>
      <c r="H733" s="6">
        <v>4.3</v>
      </c>
      <c r="I733" s="6">
        <f t="shared" si="67"/>
        <v>29991</v>
      </c>
      <c r="J733">
        <f t="shared" si="68"/>
        <v>0.29993999399939997</v>
      </c>
      <c r="K733" s="6">
        <f t="shared" si="69"/>
        <v>-29991</v>
      </c>
      <c r="L733" s="7">
        <f t="shared" si="70"/>
        <v>-0.4284489778425406</v>
      </c>
      <c r="M733" s="6" t="str">
        <f t="shared" si="71"/>
        <v>Medium Ratings</v>
      </c>
      <c r="N733" s="34">
        <f t="array" ref="N733">MEDIAN(_xlfn._xlws.FILTER(Table4[Original Price],Table4[Brand-Renamed] = Table4[[#This Row],[Brand]]))</f>
        <v>34990</v>
      </c>
      <c r="O733" s="35">
        <f t="array" ref="O733">MEDIAN(_xlfn._xlws.FILTER(Table4[Selling Price],Table4[Brand-Renamed] =Table4[[#This Row],[Brand-Renamed]]))</f>
        <v>34990</v>
      </c>
    </row>
    <row r="734" spans="1:15" ht="13.8" x14ac:dyDescent="0.25">
      <c r="A734" s="4" t="s">
        <v>35</v>
      </c>
      <c r="B734" s="4" t="str">
        <f t="shared" si="66"/>
        <v>Acer</v>
      </c>
      <c r="C734" s="4" t="s">
        <v>32</v>
      </c>
      <c r="D734" s="4">
        <v>43</v>
      </c>
      <c r="E734" s="4">
        <v>34990</v>
      </c>
      <c r="F734" s="4">
        <v>34990</v>
      </c>
      <c r="G734" s="4" t="s">
        <v>54</v>
      </c>
      <c r="H734" s="4">
        <v>3.8</v>
      </c>
      <c r="I734" s="4">
        <f t="shared" si="67"/>
        <v>0</v>
      </c>
      <c r="J734" t="str">
        <f t="shared" si="68"/>
        <v>Discount Not Applied</v>
      </c>
      <c r="K734" s="4">
        <f t="shared" si="69"/>
        <v>0</v>
      </c>
      <c r="L734" s="5">
        <f t="shared" si="70"/>
        <v>0</v>
      </c>
      <c r="M734" s="4" t="str">
        <f t="shared" si="71"/>
        <v>Medium Ratings</v>
      </c>
      <c r="N734" s="34">
        <f t="array" ref="N734">MEDIAN(_xlfn._xlws.FILTER(Table4[Original Price],Table4[Brand-Renamed] = Table4[[#This Row],[Brand]]))</f>
        <v>34990</v>
      </c>
      <c r="O734" s="35">
        <f t="array" ref="O734">MEDIAN(_xlfn._xlws.FILTER(Table4[Selling Price],Table4[Brand-Renamed] =Table4[[#This Row],[Brand-Renamed]]))</f>
        <v>34990</v>
      </c>
    </row>
    <row r="735" spans="1:15" ht="13.8" x14ac:dyDescent="0.25">
      <c r="A735" s="6" t="s">
        <v>36</v>
      </c>
      <c r="B735" s="4" t="str">
        <f t="shared" si="66"/>
        <v>Adsun</v>
      </c>
      <c r="C735" s="6" t="s">
        <v>19</v>
      </c>
      <c r="D735" s="6">
        <v>39</v>
      </c>
      <c r="E735" s="6">
        <v>13699</v>
      </c>
      <c r="F735" s="6">
        <v>22999</v>
      </c>
      <c r="G735" s="6" t="s">
        <v>54</v>
      </c>
      <c r="H735" s="6">
        <v>3.8</v>
      </c>
      <c r="I735" s="6">
        <f t="shared" si="67"/>
        <v>9300</v>
      </c>
      <c r="J735">
        <f t="shared" si="68"/>
        <v>0.40436540719161701</v>
      </c>
      <c r="K735" s="6">
        <f t="shared" si="69"/>
        <v>-9300</v>
      </c>
      <c r="L735" s="7">
        <f t="shared" si="70"/>
        <v>-0.67888167019490475</v>
      </c>
      <c r="M735" s="6" t="str">
        <f t="shared" si="71"/>
        <v>Medium Ratings</v>
      </c>
      <c r="N735" s="34">
        <f t="array" ref="N735">MEDIAN(_xlfn._xlws.FILTER(Table4[Original Price],Table4[Brand-Renamed] = Table4[[#This Row],[Brand]]))</f>
        <v>21999</v>
      </c>
      <c r="O735" s="35">
        <f t="array" ref="O735">MEDIAN(_xlfn._xlws.FILTER(Table4[Selling Price],Table4[Brand-Renamed] =Table4[[#This Row],[Brand-Renamed]]))</f>
        <v>13699</v>
      </c>
    </row>
    <row r="736" spans="1:15" ht="13.8" x14ac:dyDescent="0.25">
      <c r="A736" s="4" t="s">
        <v>36</v>
      </c>
      <c r="B736" s="4" t="str">
        <f t="shared" si="66"/>
        <v>Adsun</v>
      </c>
      <c r="C736" s="4" t="s">
        <v>32</v>
      </c>
      <c r="D736" s="4">
        <v>55</v>
      </c>
      <c r="E736" s="4">
        <v>28499</v>
      </c>
      <c r="F736" s="4">
        <v>54999</v>
      </c>
      <c r="G736" s="4" t="s">
        <v>54</v>
      </c>
      <c r="H736" s="4">
        <v>3.8</v>
      </c>
      <c r="I736" s="4">
        <f t="shared" si="67"/>
        <v>26500</v>
      </c>
      <c r="J736">
        <f t="shared" si="68"/>
        <v>0.48182694230804196</v>
      </c>
      <c r="K736" s="4">
        <f t="shared" si="69"/>
        <v>-26500</v>
      </c>
      <c r="L736" s="5">
        <f t="shared" si="70"/>
        <v>-0.92985718797150774</v>
      </c>
      <c r="M736" s="4" t="str">
        <f t="shared" si="71"/>
        <v>Medium Ratings</v>
      </c>
      <c r="N736" s="34">
        <f t="array" ref="N736">MEDIAN(_xlfn._xlws.FILTER(Table4[Original Price],Table4[Brand-Renamed] = Table4[[#This Row],[Brand]]))</f>
        <v>21999</v>
      </c>
      <c r="O736" s="35">
        <f t="array" ref="O736">MEDIAN(_xlfn._xlws.FILTER(Table4[Selling Price],Table4[Brand-Renamed] =Table4[[#This Row],[Brand-Renamed]]))</f>
        <v>13699</v>
      </c>
    </row>
    <row r="737" spans="1:15" ht="13.8" x14ac:dyDescent="0.25">
      <c r="A737" s="6" t="s">
        <v>36</v>
      </c>
      <c r="B737" s="4" t="str">
        <f t="shared" si="66"/>
        <v>Adsun</v>
      </c>
      <c r="C737" s="6" t="s">
        <v>32</v>
      </c>
      <c r="D737" s="6">
        <v>50</v>
      </c>
      <c r="E737" s="6">
        <v>23349</v>
      </c>
      <c r="F737" s="6">
        <v>43999</v>
      </c>
      <c r="G737" s="6" t="s">
        <v>54</v>
      </c>
      <c r="H737" s="6">
        <v>3.8</v>
      </c>
      <c r="I737" s="6">
        <f t="shared" si="67"/>
        <v>20650</v>
      </c>
      <c r="J737">
        <f t="shared" si="68"/>
        <v>0.46932884838291777</v>
      </c>
      <c r="K737" s="6">
        <f t="shared" si="69"/>
        <v>-20650</v>
      </c>
      <c r="L737" s="7">
        <f t="shared" si="70"/>
        <v>-0.88440618441903296</v>
      </c>
      <c r="M737" s="6" t="str">
        <f t="shared" si="71"/>
        <v>Medium Ratings</v>
      </c>
      <c r="N737" s="34">
        <f t="array" ref="N737">MEDIAN(_xlfn._xlws.FILTER(Table4[Original Price],Table4[Brand-Renamed] = Table4[[#This Row],[Brand]]))</f>
        <v>21999</v>
      </c>
      <c r="O737" s="35">
        <f t="array" ref="O737">MEDIAN(_xlfn._xlws.FILTER(Table4[Selling Price],Table4[Brand-Renamed] =Table4[[#This Row],[Brand-Renamed]]))</f>
        <v>13699</v>
      </c>
    </row>
    <row r="738" spans="1:15" ht="13.8" x14ac:dyDescent="0.25">
      <c r="A738" s="4" t="s">
        <v>36</v>
      </c>
      <c r="B738" s="4" t="str">
        <f t="shared" si="66"/>
        <v>Adsun</v>
      </c>
      <c r="C738" s="4" t="s">
        <v>19</v>
      </c>
      <c r="D738" s="4">
        <v>39</v>
      </c>
      <c r="E738" s="4">
        <v>15699</v>
      </c>
      <c r="F738" s="4">
        <v>21999</v>
      </c>
      <c r="G738" s="4" t="s">
        <v>54</v>
      </c>
      <c r="H738" s="4">
        <v>3.8</v>
      </c>
      <c r="I738" s="4">
        <f t="shared" si="67"/>
        <v>6300</v>
      </c>
      <c r="J738">
        <f t="shared" si="68"/>
        <v>0.28637665348424929</v>
      </c>
      <c r="K738" s="4">
        <f t="shared" si="69"/>
        <v>-6300</v>
      </c>
      <c r="L738" s="5">
        <f t="shared" si="70"/>
        <v>-0.40129944582457483</v>
      </c>
      <c r="M738" s="4" t="str">
        <f t="shared" si="71"/>
        <v>Medium Ratings</v>
      </c>
      <c r="N738" s="34">
        <f t="array" ref="N738">MEDIAN(_xlfn._xlws.FILTER(Table4[Original Price],Table4[Brand-Renamed] = Table4[[#This Row],[Brand]]))</f>
        <v>21999</v>
      </c>
      <c r="O738" s="35">
        <f t="array" ref="O738">MEDIAN(_xlfn._xlws.FILTER(Table4[Selling Price],Table4[Brand-Renamed] =Table4[[#This Row],[Brand-Renamed]]))</f>
        <v>13699</v>
      </c>
    </row>
    <row r="739" spans="1:15" ht="13.8" x14ac:dyDescent="0.25">
      <c r="A739" s="6" t="s">
        <v>142</v>
      </c>
      <c r="B739" s="4" t="str">
        <f t="shared" si="66"/>
        <v xml:space="preserve">Aisen  </v>
      </c>
      <c r="C739" s="6" t="s">
        <v>32</v>
      </c>
      <c r="D739" s="6">
        <v>43</v>
      </c>
      <c r="E739" s="6">
        <v>33950</v>
      </c>
      <c r="F739" s="6">
        <v>34950</v>
      </c>
      <c r="G739" s="6" t="s">
        <v>54</v>
      </c>
      <c r="H739" s="6"/>
      <c r="I739" s="6">
        <f t="shared" si="67"/>
        <v>1000</v>
      </c>
      <c r="J739">
        <f t="shared" si="68"/>
        <v>2.8612303290414878E-2</v>
      </c>
      <c r="K739" s="6">
        <f t="shared" si="69"/>
        <v>-1000</v>
      </c>
      <c r="L739" s="7">
        <f t="shared" si="70"/>
        <v>-2.9455081001472753E-2</v>
      </c>
      <c r="M739" s="6" t="str">
        <f t="shared" si="71"/>
        <v>Ratings Not Given</v>
      </c>
      <c r="N739" s="34">
        <f t="array" ref="N739">MEDIAN(_xlfn._xlws.FILTER(Table4[Original Price],Table4[Brand-Renamed] = Table4[[#This Row],[Brand]]))</f>
        <v>33425</v>
      </c>
      <c r="O739" s="35">
        <f t="array" ref="O739">MEDIAN(_xlfn._xlws.FILTER(Table4[Selling Price],Table4[Brand-Renamed] =Table4[[#This Row],[Brand-Renamed]]))</f>
        <v>25970</v>
      </c>
    </row>
    <row r="740" spans="1:15" ht="13.8" x14ac:dyDescent="0.25">
      <c r="A740" s="4" t="s">
        <v>142</v>
      </c>
      <c r="B740" s="4" t="str">
        <f t="shared" si="66"/>
        <v xml:space="preserve">Aisen  </v>
      </c>
      <c r="C740" s="4" t="s">
        <v>19</v>
      </c>
      <c r="D740" s="4">
        <v>40</v>
      </c>
      <c r="E740" s="4">
        <v>17990</v>
      </c>
      <c r="F740" s="4">
        <v>24990</v>
      </c>
      <c r="G740" s="4" t="s">
        <v>54</v>
      </c>
      <c r="H740" s="4">
        <v>3.3</v>
      </c>
      <c r="I740" s="4">
        <f t="shared" si="67"/>
        <v>7000</v>
      </c>
      <c r="J740">
        <f t="shared" si="68"/>
        <v>0.28011204481792717</v>
      </c>
      <c r="K740" s="4">
        <f t="shared" si="69"/>
        <v>-7000</v>
      </c>
      <c r="L740" s="5">
        <f t="shared" si="70"/>
        <v>-0.38910505836575876</v>
      </c>
      <c r="M740" s="4" t="str">
        <f t="shared" si="71"/>
        <v>Bad Ratings</v>
      </c>
      <c r="N740" s="34">
        <f t="array" ref="N740">MEDIAN(_xlfn._xlws.FILTER(Table4[Original Price],Table4[Brand-Renamed] = Table4[[#This Row],[Brand]]))</f>
        <v>33425</v>
      </c>
      <c r="O740" s="35">
        <f t="array" ref="O740">MEDIAN(_xlfn._xlws.FILTER(Table4[Selling Price],Table4[Brand-Renamed] =Table4[[#This Row],[Brand-Renamed]]))</f>
        <v>25970</v>
      </c>
    </row>
    <row r="741" spans="1:15" ht="13.8" x14ac:dyDescent="0.25">
      <c r="A741" s="6" t="s">
        <v>142</v>
      </c>
      <c r="B741" s="4" t="str">
        <f t="shared" si="66"/>
        <v xml:space="preserve">Aisen  </v>
      </c>
      <c r="C741" s="6" t="s">
        <v>19</v>
      </c>
      <c r="D741" s="6">
        <v>32</v>
      </c>
      <c r="E741" s="6">
        <v>12990</v>
      </c>
      <c r="F741" s="6">
        <v>13990</v>
      </c>
      <c r="G741" s="6" t="s">
        <v>54</v>
      </c>
      <c r="H741" s="6"/>
      <c r="I741" s="6">
        <f t="shared" si="67"/>
        <v>1000</v>
      </c>
      <c r="J741">
        <f t="shared" si="68"/>
        <v>7.147962830593281E-2</v>
      </c>
      <c r="K741" s="6">
        <f t="shared" si="69"/>
        <v>-1000</v>
      </c>
      <c r="L741" s="7">
        <f t="shared" si="70"/>
        <v>-7.6982294072363358E-2</v>
      </c>
      <c r="M741" s="6" t="str">
        <f t="shared" si="71"/>
        <v>Ratings Not Given</v>
      </c>
      <c r="N741" s="34">
        <f t="array" ref="N741">MEDIAN(_xlfn._xlws.FILTER(Table4[Original Price],Table4[Brand-Renamed] = Table4[[#This Row],[Brand]]))</f>
        <v>33425</v>
      </c>
      <c r="O741" s="35">
        <f t="array" ref="O741">MEDIAN(_xlfn._xlws.FILTER(Table4[Selling Price],Table4[Brand-Renamed] =Table4[[#This Row],[Brand-Renamed]]))</f>
        <v>25970</v>
      </c>
    </row>
    <row r="742" spans="1:15" ht="13.8" x14ac:dyDescent="0.25">
      <c r="A742" s="4" t="s">
        <v>142</v>
      </c>
      <c r="B742" s="4" t="str">
        <f t="shared" si="66"/>
        <v xml:space="preserve">Aisen  </v>
      </c>
      <c r="C742" s="4" t="s">
        <v>8</v>
      </c>
      <c r="D742" s="4">
        <v>32</v>
      </c>
      <c r="E742" s="4">
        <v>17990</v>
      </c>
      <c r="F742" s="4">
        <v>31900</v>
      </c>
      <c r="G742" s="4" t="s">
        <v>54</v>
      </c>
      <c r="H742" s="4"/>
      <c r="I742" s="4">
        <f t="shared" si="67"/>
        <v>13910</v>
      </c>
      <c r="J742">
        <f t="shared" si="68"/>
        <v>0.4360501567398119</v>
      </c>
      <c r="K742" s="4">
        <f t="shared" si="69"/>
        <v>-13910</v>
      </c>
      <c r="L742" s="5">
        <f t="shared" si="70"/>
        <v>-0.77320733740967207</v>
      </c>
      <c r="M742" s="4" t="str">
        <f t="shared" si="71"/>
        <v>Ratings Not Given</v>
      </c>
      <c r="N742" s="34">
        <f t="array" ref="N742">MEDIAN(_xlfn._xlws.FILTER(Table4[Original Price],Table4[Brand-Renamed] = Table4[[#This Row],[Brand]]))</f>
        <v>33425</v>
      </c>
      <c r="O742" s="35">
        <f t="array" ref="O742">MEDIAN(_xlfn._xlws.FILTER(Table4[Selling Price],Table4[Brand-Renamed] =Table4[[#This Row],[Brand-Renamed]]))</f>
        <v>25970</v>
      </c>
    </row>
    <row r="743" spans="1:15" ht="13.8" x14ac:dyDescent="0.25">
      <c r="A743" s="6" t="s">
        <v>142</v>
      </c>
      <c r="B743" s="4" t="str">
        <f t="shared" si="66"/>
        <v xml:space="preserve">Aisen  </v>
      </c>
      <c r="C743" s="6" t="s">
        <v>19</v>
      </c>
      <c r="D743" s="6">
        <v>24</v>
      </c>
      <c r="E743" s="6">
        <v>8990</v>
      </c>
      <c r="F743" s="6">
        <v>9990</v>
      </c>
      <c r="G743" s="6" t="s">
        <v>54</v>
      </c>
      <c r="H743" s="6"/>
      <c r="I743" s="6">
        <f t="shared" si="67"/>
        <v>1000</v>
      </c>
      <c r="J743">
        <f t="shared" si="68"/>
        <v>0.10010010010010011</v>
      </c>
      <c r="K743" s="6">
        <f t="shared" si="69"/>
        <v>-1000</v>
      </c>
      <c r="L743" s="7">
        <f t="shared" si="70"/>
        <v>-0.11123470522803114</v>
      </c>
      <c r="M743" s="6" t="str">
        <f t="shared" si="71"/>
        <v>Ratings Not Given</v>
      </c>
      <c r="N743" s="34">
        <f t="array" ref="N743">MEDIAN(_xlfn._xlws.FILTER(Table4[Original Price],Table4[Brand-Renamed] = Table4[[#This Row],[Brand]]))</f>
        <v>33425</v>
      </c>
      <c r="O743" s="35">
        <f t="array" ref="O743">MEDIAN(_xlfn._xlws.FILTER(Table4[Selling Price],Table4[Brand-Renamed] =Table4[[#This Row],[Brand-Renamed]]))</f>
        <v>25970</v>
      </c>
    </row>
    <row r="744" spans="1:15" ht="13.8" x14ac:dyDescent="0.25">
      <c r="A744" s="4" t="s">
        <v>38</v>
      </c>
      <c r="B744" s="4" t="str">
        <f t="shared" si="66"/>
        <v xml:space="preserve">Akai </v>
      </c>
      <c r="C744" s="4" t="s">
        <v>32</v>
      </c>
      <c r="D744" s="4">
        <v>65</v>
      </c>
      <c r="E744" s="4">
        <v>72940</v>
      </c>
      <c r="F744" s="4">
        <v>124990</v>
      </c>
      <c r="G744" s="4" t="s">
        <v>54</v>
      </c>
      <c r="H744" s="4"/>
      <c r="I744" s="4">
        <f t="shared" si="67"/>
        <v>52050</v>
      </c>
      <c r="J744">
        <f t="shared" si="68"/>
        <v>0.41643331466517319</v>
      </c>
      <c r="K744" s="4">
        <f t="shared" si="69"/>
        <v>-52050</v>
      </c>
      <c r="L744" s="5">
        <f t="shared" si="70"/>
        <v>-0.7136002193583767</v>
      </c>
      <c r="M744" s="4" t="str">
        <f t="shared" si="71"/>
        <v>Ratings Not Given</v>
      </c>
      <c r="N744" s="34">
        <f t="array" ref="N744">MEDIAN(_xlfn._xlws.FILTER(Table4[Original Price],Table4[Brand-Renamed] = Table4[[#This Row],[Brand]]))</f>
        <v>79990</v>
      </c>
      <c r="O744" s="35">
        <f t="array" ref="O744">MEDIAN(_xlfn._xlws.FILTER(Table4[Selling Price],Table4[Brand-Renamed] =Table4[[#This Row],[Brand-Renamed]]))</f>
        <v>51146</v>
      </c>
    </row>
    <row r="745" spans="1:15" ht="13.8" x14ac:dyDescent="0.25">
      <c r="A745" s="6" t="s">
        <v>38</v>
      </c>
      <c r="B745" s="4" t="str">
        <f t="shared" si="66"/>
        <v xml:space="preserve">Akai </v>
      </c>
      <c r="C745" s="6" t="s">
        <v>29</v>
      </c>
      <c r="D745" s="6">
        <v>55</v>
      </c>
      <c r="E745" s="6">
        <v>55947</v>
      </c>
      <c r="F745" s="6">
        <v>99990</v>
      </c>
      <c r="G745" s="6" t="s">
        <v>54</v>
      </c>
      <c r="H745" s="6"/>
      <c r="I745" s="6">
        <f t="shared" si="67"/>
        <v>44043</v>
      </c>
      <c r="J745">
        <f t="shared" si="68"/>
        <v>0.4404740474047405</v>
      </c>
      <c r="K745" s="6">
        <f t="shared" si="69"/>
        <v>-44043</v>
      </c>
      <c r="L745" s="7">
        <f t="shared" si="70"/>
        <v>-0.787227197168749</v>
      </c>
      <c r="M745" s="6" t="str">
        <f t="shared" si="71"/>
        <v>Ratings Not Given</v>
      </c>
      <c r="N745" s="34">
        <f t="array" ref="N745">MEDIAN(_xlfn._xlws.FILTER(Table4[Original Price],Table4[Brand-Renamed] = Table4[[#This Row],[Brand]]))</f>
        <v>79990</v>
      </c>
      <c r="O745" s="35">
        <f t="array" ref="O745">MEDIAN(_xlfn._xlws.FILTER(Table4[Selling Price],Table4[Brand-Renamed] =Table4[[#This Row],[Brand-Renamed]]))</f>
        <v>51146</v>
      </c>
    </row>
    <row r="746" spans="1:15" ht="13.8" x14ac:dyDescent="0.25">
      <c r="A746" s="4" t="s">
        <v>38</v>
      </c>
      <c r="B746" s="4" t="str">
        <f t="shared" si="66"/>
        <v xml:space="preserve">Akai </v>
      </c>
      <c r="C746" s="4" t="s">
        <v>32</v>
      </c>
      <c r="D746" s="4">
        <v>55</v>
      </c>
      <c r="E746" s="4">
        <v>46345</v>
      </c>
      <c r="F746" s="4">
        <v>59990</v>
      </c>
      <c r="G746" s="4" t="s">
        <v>54</v>
      </c>
      <c r="H746" s="4"/>
      <c r="I746" s="4">
        <f t="shared" si="67"/>
        <v>13645</v>
      </c>
      <c r="J746">
        <f t="shared" si="68"/>
        <v>0.22745457576262709</v>
      </c>
      <c r="K746" s="4">
        <f t="shared" si="69"/>
        <v>-13645</v>
      </c>
      <c r="L746" s="5">
        <f t="shared" si="70"/>
        <v>-0.29442226777430142</v>
      </c>
      <c r="M746" s="4" t="str">
        <f t="shared" si="71"/>
        <v>Ratings Not Given</v>
      </c>
      <c r="N746" s="34">
        <f t="array" ref="N746">MEDIAN(_xlfn._xlws.FILTER(Table4[Original Price],Table4[Brand-Renamed] = Table4[[#This Row],[Brand]]))</f>
        <v>79990</v>
      </c>
      <c r="O746" s="35">
        <f t="array" ref="O746">MEDIAN(_xlfn._xlws.FILTER(Table4[Selling Price],Table4[Brand-Renamed] =Table4[[#This Row],[Brand-Renamed]]))</f>
        <v>51146</v>
      </c>
    </row>
    <row r="747" spans="1:15" ht="13.8" x14ac:dyDescent="0.25">
      <c r="A747" s="6" t="s">
        <v>39</v>
      </c>
      <c r="B747" s="4" t="str">
        <f t="shared" si="66"/>
        <v>Blaupunkt</v>
      </c>
      <c r="C747" s="6" t="s">
        <v>19</v>
      </c>
      <c r="D747" s="6">
        <v>32</v>
      </c>
      <c r="E747" s="6">
        <v>7999</v>
      </c>
      <c r="F747" s="6">
        <v>18000</v>
      </c>
      <c r="G747" s="6" t="s">
        <v>54</v>
      </c>
      <c r="H747" s="6">
        <v>4.2</v>
      </c>
      <c r="I747" s="6">
        <f t="shared" si="67"/>
        <v>10001</v>
      </c>
      <c r="J747">
        <f t="shared" si="68"/>
        <v>0.55561111111111106</v>
      </c>
      <c r="K747" s="6">
        <f t="shared" si="69"/>
        <v>-10001</v>
      </c>
      <c r="L747" s="7">
        <f t="shared" si="70"/>
        <v>-1.2502812851606451</v>
      </c>
      <c r="M747" s="6" t="str">
        <f t="shared" si="71"/>
        <v>Medium Ratings</v>
      </c>
      <c r="N747" s="34">
        <f t="array" ref="N747">MEDIAN(_xlfn._xlws.FILTER(Table4[Original Price],Table4[Brand-Renamed] = Table4[[#This Row],[Brand]]))</f>
        <v>40000</v>
      </c>
      <c r="O747" s="35">
        <f t="array" ref="O747">MEDIAN(_xlfn._xlws.FILTER(Table4[Selling Price],Table4[Brand-Renamed] =Table4[[#This Row],[Brand-Renamed]]))</f>
        <v>21999</v>
      </c>
    </row>
    <row r="748" spans="1:15" ht="13.8" x14ac:dyDescent="0.25">
      <c r="A748" s="4" t="s">
        <v>39</v>
      </c>
      <c r="B748" s="4" t="str">
        <f t="shared" si="66"/>
        <v>Blaupunkt</v>
      </c>
      <c r="C748" s="4" t="s">
        <v>19</v>
      </c>
      <c r="D748" s="4">
        <v>24</v>
      </c>
      <c r="E748" s="4">
        <v>5999</v>
      </c>
      <c r="F748" s="4">
        <v>11000</v>
      </c>
      <c r="G748" s="4" t="s">
        <v>54</v>
      </c>
      <c r="H748" s="4">
        <v>4.0999999999999996</v>
      </c>
      <c r="I748" s="4">
        <f t="shared" si="67"/>
        <v>5001</v>
      </c>
      <c r="J748">
        <f t="shared" si="68"/>
        <v>0.45463636363636362</v>
      </c>
      <c r="K748" s="4">
        <f t="shared" si="69"/>
        <v>-5001</v>
      </c>
      <c r="L748" s="5">
        <f t="shared" si="70"/>
        <v>-0.83363893982330384</v>
      </c>
      <c r="M748" s="4" t="str">
        <f t="shared" si="71"/>
        <v>Medium Ratings</v>
      </c>
      <c r="N748" s="34">
        <f t="array" ref="N748">MEDIAN(_xlfn._xlws.FILTER(Table4[Original Price],Table4[Brand-Renamed] = Table4[[#This Row],[Brand]]))</f>
        <v>40000</v>
      </c>
      <c r="O748" s="35">
        <f t="array" ref="O748">MEDIAN(_xlfn._xlws.FILTER(Table4[Selling Price],Table4[Brand-Renamed] =Table4[[#This Row],[Brand-Renamed]]))</f>
        <v>21999</v>
      </c>
    </row>
    <row r="749" spans="1:15" ht="13.8" x14ac:dyDescent="0.25">
      <c r="A749" s="6" t="s">
        <v>39</v>
      </c>
      <c r="B749" s="4" t="str">
        <f t="shared" si="66"/>
        <v>Blaupunkt</v>
      </c>
      <c r="C749" s="6" t="s">
        <v>19</v>
      </c>
      <c r="D749" s="6">
        <v>32</v>
      </c>
      <c r="E749" s="6">
        <v>9999</v>
      </c>
      <c r="F749" s="6">
        <v>22000</v>
      </c>
      <c r="G749" s="6" t="s">
        <v>54</v>
      </c>
      <c r="H749" s="6">
        <v>4.0999999999999996</v>
      </c>
      <c r="I749" s="6">
        <f t="shared" si="67"/>
        <v>12001</v>
      </c>
      <c r="J749">
        <f t="shared" si="68"/>
        <v>0.54549999999999998</v>
      </c>
      <c r="K749" s="6">
        <f t="shared" si="69"/>
        <v>-12001</v>
      </c>
      <c r="L749" s="7">
        <f t="shared" si="70"/>
        <v>-1.2002200220022001</v>
      </c>
      <c r="M749" s="6" t="str">
        <f t="shared" si="71"/>
        <v>Medium Ratings</v>
      </c>
      <c r="N749" s="34">
        <f t="array" ref="N749">MEDIAN(_xlfn._xlws.FILTER(Table4[Original Price],Table4[Brand-Renamed] = Table4[[#This Row],[Brand]]))</f>
        <v>40000</v>
      </c>
      <c r="O749" s="35">
        <f t="array" ref="O749">MEDIAN(_xlfn._xlws.FILTER(Table4[Selling Price],Table4[Brand-Renamed] =Table4[[#This Row],[Brand-Renamed]]))</f>
        <v>21999</v>
      </c>
    </row>
    <row r="750" spans="1:15" ht="13.8" x14ac:dyDescent="0.25">
      <c r="A750" s="4" t="s">
        <v>39</v>
      </c>
      <c r="B750" s="4" t="str">
        <f t="shared" si="66"/>
        <v>Blaupunkt</v>
      </c>
      <c r="C750" s="4" t="s">
        <v>32</v>
      </c>
      <c r="D750" s="4">
        <v>49</v>
      </c>
      <c r="E750" s="4">
        <v>25999</v>
      </c>
      <c r="F750" s="4">
        <v>45000</v>
      </c>
      <c r="G750" s="4" t="s">
        <v>54</v>
      </c>
      <c r="H750" s="4">
        <v>4</v>
      </c>
      <c r="I750" s="4">
        <f t="shared" si="67"/>
        <v>19001</v>
      </c>
      <c r="J750">
        <f t="shared" si="68"/>
        <v>0.42224444444444442</v>
      </c>
      <c r="K750" s="4">
        <f t="shared" si="69"/>
        <v>-19001</v>
      </c>
      <c r="L750" s="5">
        <f t="shared" si="70"/>
        <v>-0.73083580137697601</v>
      </c>
      <c r="M750" s="4" t="str">
        <f t="shared" si="71"/>
        <v>Medium Ratings</v>
      </c>
      <c r="N750" s="34">
        <f t="array" ref="N750">MEDIAN(_xlfn._xlws.FILTER(Table4[Original Price],Table4[Brand-Renamed] = Table4[[#This Row],[Brand]]))</f>
        <v>40000</v>
      </c>
      <c r="O750" s="35">
        <f t="array" ref="O750">MEDIAN(_xlfn._xlws.FILTER(Table4[Selling Price],Table4[Brand-Renamed] =Table4[[#This Row],[Brand-Renamed]]))</f>
        <v>21999</v>
      </c>
    </row>
    <row r="751" spans="1:15" ht="13.8" x14ac:dyDescent="0.25">
      <c r="A751" s="6" t="s">
        <v>39</v>
      </c>
      <c r="B751" s="4" t="str">
        <f t="shared" si="66"/>
        <v>Blaupunkt</v>
      </c>
      <c r="C751" s="6" t="s">
        <v>8</v>
      </c>
      <c r="D751" s="6">
        <v>43</v>
      </c>
      <c r="E751" s="6">
        <v>15999</v>
      </c>
      <c r="F751" s="6">
        <v>32000</v>
      </c>
      <c r="G751" s="6" t="s">
        <v>54</v>
      </c>
      <c r="H751" s="6">
        <v>4.2</v>
      </c>
      <c r="I751" s="6">
        <f t="shared" si="67"/>
        <v>16001</v>
      </c>
      <c r="J751">
        <f t="shared" si="68"/>
        <v>0.50003125000000004</v>
      </c>
      <c r="K751" s="6">
        <f t="shared" si="69"/>
        <v>-16001</v>
      </c>
      <c r="L751" s="7">
        <f t="shared" si="70"/>
        <v>-1.0001250078129884</v>
      </c>
      <c r="M751" s="6" t="str">
        <f t="shared" si="71"/>
        <v>Medium Ratings</v>
      </c>
      <c r="N751" s="34">
        <f t="array" ref="N751">MEDIAN(_xlfn._xlws.FILTER(Table4[Original Price],Table4[Brand-Renamed] = Table4[[#This Row],[Brand]]))</f>
        <v>40000</v>
      </c>
      <c r="O751" s="35">
        <f t="array" ref="O751">MEDIAN(_xlfn._xlws.FILTER(Table4[Selling Price],Table4[Brand-Renamed] =Table4[[#This Row],[Brand-Renamed]]))</f>
        <v>21999</v>
      </c>
    </row>
    <row r="752" spans="1:15" ht="13.8" x14ac:dyDescent="0.25">
      <c r="A752" s="4" t="s">
        <v>39</v>
      </c>
      <c r="B752" s="4" t="str">
        <f t="shared" si="66"/>
        <v>Blaupunkt</v>
      </c>
      <c r="C752" s="4" t="s">
        <v>8</v>
      </c>
      <c r="D752" s="4">
        <v>40</v>
      </c>
      <c r="E752" s="4">
        <v>15999</v>
      </c>
      <c r="F752" s="4">
        <v>28000</v>
      </c>
      <c r="G752" s="4" t="s">
        <v>54</v>
      </c>
      <c r="H752" s="4">
        <v>4.0999999999999996</v>
      </c>
      <c r="I752" s="4">
        <f t="shared" si="67"/>
        <v>12001</v>
      </c>
      <c r="J752">
        <f t="shared" si="68"/>
        <v>0.42860714285714285</v>
      </c>
      <c r="K752" s="4">
        <f t="shared" si="69"/>
        <v>-12001</v>
      </c>
      <c r="L752" s="5">
        <f t="shared" si="70"/>
        <v>-0.75010938183636477</v>
      </c>
      <c r="M752" s="4" t="str">
        <f t="shared" si="71"/>
        <v>Medium Ratings</v>
      </c>
      <c r="N752" s="34">
        <f t="array" ref="N752">MEDIAN(_xlfn._xlws.FILTER(Table4[Original Price],Table4[Brand-Renamed] = Table4[[#This Row],[Brand]]))</f>
        <v>40000</v>
      </c>
      <c r="O752" s="35">
        <f t="array" ref="O752">MEDIAN(_xlfn._xlws.FILTER(Table4[Selling Price],Table4[Brand-Renamed] =Table4[[#This Row],[Brand-Renamed]]))</f>
        <v>21999</v>
      </c>
    </row>
    <row r="753" spans="1:15" ht="13.8" x14ac:dyDescent="0.25">
      <c r="A753" s="6" t="s">
        <v>39</v>
      </c>
      <c r="B753" s="4" t="str">
        <f t="shared" si="66"/>
        <v>Blaupunkt</v>
      </c>
      <c r="C753" s="6" t="s">
        <v>32</v>
      </c>
      <c r="D753" s="6">
        <v>43</v>
      </c>
      <c r="E753" s="6">
        <v>21999</v>
      </c>
      <c r="F753" s="6">
        <v>40000</v>
      </c>
      <c r="G753" s="6" t="s">
        <v>54</v>
      </c>
      <c r="H753" s="6">
        <v>3.9</v>
      </c>
      <c r="I753" s="6">
        <f t="shared" si="67"/>
        <v>18001</v>
      </c>
      <c r="J753">
        <f t="shared" si="68"/>
        <v>0.45002500000000001</v>
      </c>
      <c r="K753" s="6">
        <f t="shared" si="69"/>
        <v>-18001</v>
      </c>
      <c r="L753" s="7">
        <f t="shared" si="70"/>
        <v>-0.81826446656666207</v>
      </c>
      <c r="M753" s="6" t="str">
        <f t="shared" si="71"/>
        <v>Medium Ratings</v>
      </c>
      <c r="N753" s="34">
        <f t="array" ref="N753">MEDIAN(_xlfn._xlws.FILTER(Table4[Original Price],Table4[Brand-Renamed] = Table4[[#This Row],[Brand]]))</f>
        <v>40000</v>
      </c>
      <c r="O753" s="35">
        <f t="array" ref="O753">MEDIAN(_xlfn._xlws.FILTER(Table4[Selling Price],Table4[Brand-Renamed] =Table4[[#This Row],[Brand-Renamed]]))</f>
        <v>21999</v>
      </c>
    </row>
    <row r="754" spans="1:15" ht="13.8" x14ac:dyDescent="0.25">
      <c r="A754" s="4" t="s">
        <v>39</v>
      </c>
      <c r="B754" s="4" t="str">
        <f t="shared" si="66"/>
        <v>Blaupunkt</v>
      </c>
      <c r="C754" s="4" t="s">
        <v>32</v>
      </c>
      <c r="D754" s="4">
        <v>49</v>
      </c>
      <c r="E754" s="4">
        <v>28999</v>
      </c>
      <c r="F754" s="4">
        <v>55000</v>
      </c>
      <c r="G754" s="4" t="s">
        <v>54</v>
      </c>
      <c r="H754" s="4">
        <v>4.0999999999999996</v>
      </c>
      <c r="I754" s="4">
        <f t="shared" si="67"/>
        <v>26001</v>
      </c>
      <c r="J754">
        <f t="shared" si="68"/>
        <v>0.47274545454545452</v>
      </c>
      <c r="K754" s="4">
        <f t="shared" si="69"/>
        <v>-26001</v>
      </c>
      <c r="L754" s="5">
        <f t="shared" si="70"/>
        <v>-0.89661712472843891</v>
      </c>
      <c r="M754" s="4" t="str">
        <f t="shared" si="71"/>
        <v>Medium Ratings</v>
      </c>
      <c r="N754" s="34">
        <f t="array" ref="N754">MEDIAN(_xlfn._xlws.FILTER(Table4[Original Price],Table4[Brand-Renamed] = Table4[[#This Row],[Brand]]))</f>
        <v>40000</v>
      </c>
      <c r="O754" s="35">
        <f t="array" ref="O754">MEDIAN(_xlfn._xlws.FILTER(Table4[Selling Price],Table4[Brand-Renamed] =Table4[[#This Row],[Brand-Renamed]]))</f>
        <v>21999</v>
      </c>
    </row>
    <row r="755" spans="1:15" ht="13.8" x14ac:dyDescent="0.25">
      <c r="A755" s="6" t="s">
        <v>44</v>
      </c>
      <c r="B755" s="4" t="str">
        <f t="shared" si="66"/>
        <v xml:space="preserve">Coocaa </v>
      </c>
      <c r="C755" s="6" t="s">
        <v>32</v>
      </c>
      <c r="D755" s="6">
        <v>50</v>
      </c>
      <c r="E755" s="6">
        <v>28990</v>
      </c>
      <c r="F755" s="6">
        <v>53990</v>
      </c>
      <c r="G755" s="6" t="s">
        <v>54</v>
      </c>
      <c r="H755" s="6">
        <v>4.0999999999999996</v>
      </c>
      <c r="I755" s="6">
        <f t="shared" si="67"/>
        <v>25000</v>
      </c>
      <c r="J755">
        <f t="shared" si="68"/>
        <v>0.46304871272457865</v>
      </c>
      <c r="K755" s="6">
        <f t="shared" si="69"/>
        <v>-25000</v>
      </c>
      <c r="L755" s="7">
        <f t="shared" si="70"/>
        <v>-0.86236633321835121</v>
      </c>
      <c r="M755" s="6" t="str">
        <f t="shared" si="71"/>
        <v>Medium Ratings</v>
      </c>
      <c r="N755" s="34">
        <f t="array" ref="N755">MEDIAN(_xlfn._xlws.FILTER(Table4[Original Price],Table4[Brand-Renamed] = Table4[[#This Row],[Brand]]))</f>
        <v>54990</v>
      </c>
      <c r="O755" s="35">
        <f t="array" ref="O755">MEDIAN(_xlfn._xlws.FILTER(Table4[Selling Price],Table4[Brand-Renamed] =Table4[[#This Row],[Brand-Renamed]]))</f>
        <v>25999</v>
      </c>
    </row>
    <row r="756" spans="1:15" ht="13.8" x14ac:dyDescent="0.25">
      <c r="A756" s="4" t="s">
        <v>44</v>
      </c>
      <c r="B756" s="4" t="str">
        <f t="shared" si="66"/>
        <v xml:space="preserve">Coocaa </v>
      </c>
      <c r="C756" s="4" t="s">
        <v>32</v>
      </c>
      <c r="D756" s="4">
        <v>50</v>
      </c>
      <c r="E756" s="4">
        <v>25999</v>
      </c>
      <c r="F756" s="4">
        <v>59990</v>
      </c>
      <c r="G756" s="4" t="s">
        <v>54</v>
      </c>
      <c r="H756" s="4">
        <v>4.3</v>
      </c>
      <c r="I756" s="4">
        <f t="shared" si="67"/>
        <v>33991</v>
      </c>
      <c r="J756">
        <f t="shared" si="68"/>
        <v>0.56661110185030839</v>
      </c>
      <c r="K756" s="4">
        <f t="shared" si="69"/>
        <v>-33991</v>
      </c>
      <c r="L756" s="5">
        <f t="shared" si="70"/>
        <v>-1.3073964383245509</v>
      </c>
      <c r="M756" s="4" t="str">
        <f t="shared" si="71"/>
        <v>Medium Ratings</v>
      </c>
      <c r="N756" s="34">
        <f t="array" ref="N756">MEDIAN(_xlfn._xlws.FILTER(Table4[Original Price],Table4[Brand-Renamed] = Table4[[#This Row],[Brand]]))</f>
        <v>54990</v>
      </c>
      <c r="O756" s="35">
        <f t="array" ref="O756">MEDIAN(_xlfn._xlws.FILTER(Table4[Selling Price],Table4[Brand-Renamed] =Table4[[#This Row],[Brand-Renamed]]))</f>
        <v>25999</v>
      </c>
    </row>
    <row r="757" spans="1:15" ht="13.8" x14ac:dyDescent="0.25">
      <c r="A757" s="6" t="s">
        <v>44</v>
      </c>
      <c r="B757" s="4" t="str">
        <f t="shared" si="66"/>
        <v xml:space="preserve">Coocaa </v>
      </c>
      <c r="C757" s="6" t="s">
        <v>32</v>
      </c>
      <c r="D757" s="6">
        <v>55</v>
      </c>
      <c r="E757" s="6">
        <v>31999</v>
      </c>
      <c r="F757" s="6">
        <v>69999</v>
      </c>
      <c r="G757" s="6" t="s">
        <v>54</v>
      </c>
      <c r="H757" s="6">
        <v>4.3</v>
      </c>
      <c r="I757" s="6">
        <f t="shared" si="67"/>
        <v>38000</v>
      </c>
      <c r="J757">
        <f t="shared" si="68"/>
        <v>0.5428648980699724</v>
      </c>
      <c r="K757" s="6">
        <f t="shared" si="69"/>
        <v>-38000</v>
      </c>
      <c r="L757" s="7">
        <f t="shared" si="70"/>
        <v>-1.1875371105347041</v>
      </c>
      <c r="M757" s="6" t="str">
        <f t="shared" si="71"/>
        <v>Medium Ratings</v>
      </c>
      <c r="N757" s="34">
        <f t="array" ref="N757">MEDIAN(_xlfn._xlws.FILTER(Table4[Original Price],Table4[Brand-Renamed] = Table4[[#This Row],[Brand]]))</f>
        <v>54990</v>
      </c>
      <c r="O757" s="35">
        <f t="array" ref="O757">MEDIAN(_xlfn._xlws.FILTER(Table4[Selling Price],Table4[Brand-Renamed] =Table4[[#This Row],[Brand-Renamed]]))</f>
        <v>25999</v>
      </c>
    </row>
    <row r="758" spans="1:15" ht="13.8" x14ac:dyDescent="0.25">
      <c r="A758" s="4" t="s">
        <v>46</v>
      </c>
      <c r="B758" s="4" t="str">
        <f t="shared" si="66"/>
        <v>Dektron</v>
      </c>
      <c r="C758" s="4" t="s">
        <v>19</v>
      </c>
      <c r="D758" s="4">
        <v>19</v>
      </c>
      <c r="E758" s="4">
        <v>5499</v>
      </c>
      <c r="F758" s="4">
        <v>8999</v>
      </c>
      <c r="G758" s="4" t="s">
        <v>60</v>
      </c>
      <c r="H758" s="4"/>
      <c r="I758" s="4">
        <f t="shared" si="67"/>
        <v>3500</v>
      </c>
      <c r="J758">
        <f t="shared" si="68"/>
        <v>0.38893210356706298</v>
      </c>
      <c r="K758" s="4">
        <f t="shared" si="69"/>
        <v>-3500</v>
      </c>
      <c r="L758" s="5">
        <f t="shared" si="70"/>
        <v>-0.63647935988361515</v>
      </c>
      <c r="M758" s="4" t="str">
        <f t="shared" si="71"/>
        <v>Ratings Not Given</v>
      </c>
      <c r="N758" s="34">
        <f t="array" ref="N758">MEDIAN(_xlfn._xlws.FILTER(Table4[Original Price],Table4[Brand-Renamed] = Table4[[#This Row],[Brand]]))</f>
        <v>10499</v>
      </c>
      <c r="O758" s="35">
        <f t="array" ref="O758">MEDIAN(_xlfn._xlws.FILTER(Table4[Selling Price],Table4[Brand-Renamed] =Table4[[#This Row],[Brand-Renamed]]))</f>
        <v>6999</v>
      </c>
    </row>
    <row r="759" spans="1:15" ht="13.8" x14ac:dyDescent="0.25">
      <c r="A759" s="6" t="s">
        <v>46</v>
      </c>
      <c r="B759" s="4" t="str">
        <f t="shared" si="66"/>
        <v>Dektron</v>
      </c>
      <c r="C759" s="6" t="s">
        <v>19</v>
      </c>
      <c r="D759" s="6">
        <v>22</v>
      </c>
      <c r="E759" s="6">
        <v>6999</v>
      </c>
      <c r="F759" s="6">
        <v>10999</v>
      </c>
      <c r="G759" s="6" t="s">
        <v>60</v>
      </c>
      <c r="H759" s="6"/>
      <c r="I759" s="6">
        <f t="shared" si="67"/>
        <v>4000</v>
      </c>
      <c r="J759">
        <f t="shared" si="68"/>
        <v>0.36366942449313572</v>
      </c>
      <c r="K759" s="6">
        <f t="shared" si="69"/>
        <v>-4000</v>
      </c>
      <c r="L759" s="7">
        <f t="shared" si="70"/>
        <v>-0.57151021574510641</v>
      </c>
      <c r="M759" s="6" t="str">
        <f t="shared" si="71"/>
        <v>Ratings Not Given</v>
      </c>
      <c r="N759" s="34">
        <f t="array" ref="N759">MEDIAN(_xlfn._xlws.FILTER(Table4[Original Price],Table4[Brand-Renamed] = Table4[[#This Row],[Brand]]))</f>
        <v>10499</v>
      </c>
      <c r="O759" s="35">
        <f t="array" ref="O759">MEDIAN(_xlfn._xlws.FILTER(Table4[Selling Price],Table4[Brand-Renamed] =Table4[[#This Row],[Brand-Renamed]]))</f>
        <v>6999</v>
      </c>
    </row>
    <row r="760" spans="1:15" ht="13.8" x14ac:dyDescent="0.25">
      <c r="A760" s="4" t="s">
        <v>46</v>
      </c>
      <c r="B760" s="4" t="str">
        <f t="shared" si="66"/>
        <v>Dektron</v>
      </c>
      <c r="C760" s="4" t="s">
        <v>19</v>
      </c>
      <c r="D760" s="4">
        <v>20</v>
      </c>
      <c r="E760" s="4">
        <v>7399</v>
      </c>
      <c r="F760" s="4">
        <v>9999</v>
      </c>
      <c r="G760" s="4" t="s">
        <v>60</v>
      </c>
      <c r="H760" s="4"/>
      <c r="I760" s="4">
        <f t="shared" si="67"/>
        <v>2600</v>
      </c>
      <c r="J760">
        <f t="shared" si="68"/>
        <v>0.26002600260026004</v>
      </c>
      <c r="K760" s="4">
        <f t="shared" si="69"/>
        <v>-2600</v>
      </c>
      <c r="L760" s="5">
        <f t="shared" si="70"/>
        <v>-0.35139883768076768</v>
      </c>
      <c r="M760" s="4" t="str">
        <f t="shared" si="71"/>
        <v>Ratings Not Given</v>
      </c>
      <c r="N760" s="34">
        <f t="array" ref="N760">MEDIAN(_xlfn._xlws.FILTER(Table4[Original Price],Table4[Brand-Renamed] = Table4[[#This Row],[Brand]]))</f>
        <v>10499</v>
      </c>
      <c r="O760" s="35">
        <f t="array" ref="O760">MEDIAN(_xlfn._xlws.FILTER(Table4[Selling Price],Table4[Brand-Renamed] =Table4[[#This Row],[Brand-Renamed]]))</f>
        <v>6999</v>
      </c>
    </row>
    <row r="761" spans="1:15" ht="13.8" x14ac:dyDescent="0.25">
      <c r="A761" s="6" t="s">
        <v>137</v>
      </c>
      <c r="B761" s="4" t="str">
        <f t="shared" si="66"/>
        <v xml:space="preserve">Detel </v>
      </c>
      <c r="C761" s="6" t="s">
        <v>19</v>
      </c>
      <c r="D761" s="6">
        <v>32</v>
      </c>
      <c r="E761" s="6">
        <v>11300</v>
      </c>
      <c r="F761" s="6">
        <v>23999</v>
      </c>
      <c r="G761" s="6" t="s">
        <v>54</v>
      </c>
      <c r="H761" s="6">
        <v>3.9</v>
      </c>
      <c r="I761" s="6">
        <f t="shared" si="67"/>
        <v>12699</v>
      </c>
      <c r="J761">
        <f t="shared" si="68"/>
        <v>0.52914704779365807</v>
      </c>
      <c r="K761" s="6">
        <f t="shared" si="69"/>
        <v>-12699</v>
      </c>
      <c r="L761" s="7">
        <f t="shared" si="70"/>
        <v>-1.1238053097345133</v>
      </c>
      <c r="M761" s="6" t="str">
        <f t="shared" si="71"/>
        <v>Medium Ratings</v>
      </c>
      <c r="N761" s="34">
        <f t="array" ref="N761">MEDIAN(_xlfn._xlws.FILTER(Table4[Original Price],Table4[Brand-Renamed] = Table4[[#This Row],[Brand]]))</f>
        <v>23999</v>
      </c>
      <c r="O761" s="35">
        <f t="array" ref="O761">MEDIAN(_xlfn._xlws.FILTER(Table4[Selling Price],Table4[Brand-Renamed] =Table4[[#This Row],[Brand-Renamed]]))</f>
        <v>11300</v>
      </c>
    </row>
    <row r="762" spans="1:15" ht="13.8" x14ac:dyDescent="0.25">
      <c r="A762" s="4" t="s">
        <v>139</v>
      </c>
      <c r="B762" s="4" t="str">
        <f t="shared" si="66"/>
        <v xml:space="preserve">G-Ten </v>
      </c>
      <c r="C762" s="4" t="s">
        <v>8</v>
      </c>
      <c r="D762" s="4">
        <v>43</v>
      </c>
      <c r="E762" s="4">
        <v>16490</v>
      </c>
      <c r="F762" s="4">
        <v>47990</v>
      </c>
      <c r="G762" s="4" t="s">
        <v>54</v>
      </c>
      <c r="H762" s="4">
        <v>3.8</v>
      </c>
      <c r="I762" s="4">
        <f t="shared" si="67"/>
        <v>31500</v>
      </c>
      <c r="J762">
        <f t="shared" si="68"/>
        <v>0.65638674723900814</v>
      </c>
      <c r="K762" s="4">
        <f t="shared" si="69"/>
        <v>-31500</v>
      </c>
      <c r="L762" s="5">
        <f t="shared" si="70"/>
        <v>-1.910248635536689</v>
      </c>
      <c r="M762" s="4" t="str">
        <f t="shared" si="71"/>
        <v>Medium Ratings</v>
      </c>
      <c r="N762" s="34">
        <f t="array" ref="N762">MEDIAN(_xlfn._xlws.FILTER(Table4[Original Price],Table4[Brand-Renamed] = Table4[[#This Row],[Brand]]))</f>
        <v>37440</v>
      </c>
      <c r="O762" s="35">
        <f t="array" ref="O762">MEDIAN(_xlfn._xlws.FILTER(Table4[Selling Price],Table4[Brand-Renamed] =Table4[[#This Row],[Brand-Renamed]]))</f>
        <v>15490</v>
      </c>
    </row>
    <row r="763" spans="1:15" ht="13.8" x14ac:dyDescent="0.25">
      <c r="A763" s="6" t="s">
        <v>139</v>
      </c>
      <c r="B763" s="4" t="str">
        <f t="shared" si="66"/>
        <v xml:space="preserve">G-Ten </v>
      </c>
      <c r="C763" s="6" t="s">
        <v>19</v>
      </c>
      <c r="D763" s="6">
        <v>32</v>
      </c>
      <c r="E763" s="6">
        <v>9990</v>
      </c>
      <c r="F763" s="6">
        <v>17990</v>
      </c>
      <c r="G763" s="6" t="s">
        <v>54</v>
      </c>
      <c r="H763" s="6">
        <v>4.3</v>
      </c>
      <c r="I763" s="6">
        <f t="shared" si="67"/>
        <v>8000</v>
      </c>
      <c r="J763">
        <f t="shared" si="68"/>
        <v>0.44469149527515284</v>
      </c>
      <c r="K763" s="6">
        <f t="shared" si="69"/>
        <v>-8000</v>
      </c>
      <c r="L763" s="7">
        <f t="shared" si="70"/>
        <v>-0.80080080080080085</v>
      </c>
      <c r="M763" s="6" t="str">
        <f t="shared" si="71"/>
        <v>Medium Ratings</v>
      </c>
      <c r="N763" s="34">
        <f t="array" ref="N763">MEDIAN(_xlfn._xlws.FILTER(Table4[Original Price],Table4[Brand-Renamed] = Table4[[#This Row],[Brand]]))</f>
        <v>37440</v>
      </c>
      <c r="O763" s="35">
        <f t="array" ref="O763">MEDIAN(_xlfn._xlws.FILTER(Table4[Selling Price],Table4[Brand-Renamed] =Table4[[#This Row],[Brand-Renamed]]))</f>
        <v>15490</v>
      </c>
    </row>
    <row r="764" spans="1:15" ht="13.8" x14ac:dyDescent="0.25">
      <c r="A764" s="4" t="s">
        <v>139</v>
      </c>
      <c r="B764" s="4" t="str">
        <f t="shared" si="66"/>
        <v xml:space="preserve">G-Ten </v>
      </c>
      <c r="C764" s="4" t="s">
        <v>32</v>
      </c>
      <c r="D764" s="4">
        <v>50</v>
      </c>
      <c r="E764" s="4">
        <v>22499</v>
      </c>
      <c r="F764" s="4">
        <v>58890</v>
      </c>
      <c r="G764" s="4" t="s">
        <v>54</v>
      </c>
      <c r="H764" s="4">
        <v>3.7</v>
      </c>
      <c r="I764" s="4">
        <f t="shared" si="67"/>
        <v>36391</v>
      </c>
      <c r="J764">
        <f t="shared" si="68"/>
        <v>0.61794871794871797</v>
      </c>
      <c r="K764" s="4">
        <f t="shared" si="69"/>
        <v>-36391</v>
      </c>
      <c r="L764" s="5">
        <f t="shared" si="70"/>
        <v>-1.6174496644295302</v>
      </c>
      <c r="M764" s="4" t="str">
        <f t="shared" si="71"/>
        <v>Bad Ratings</v>
      </c>
      <c r="N764" s="34">
        <f t="array" ref="N764">MEDIAN(_xlfn._xlws.FILTER(Table4[Original Price],Table4[Brand-Renamed] = Table4[[#This Row],[Brand]]))</f>
        <v>37440</v>
      </c>
      <c r="O764" s="35">
        <f t="array" ref="O764">MEDIAN(_xlfn._xlws.FILTER(Table4[Selling Price],Table4[Brand-Renamed] =Table4[[#This Row],[Brand-Renamed]]))</f>
        <v>15490</v>
      </c>
    </row>
    <row r="765" spans="1:15" ht="13.8" x14ac:dyDescent="0.25">
      <c r="A765" s="6" t="s">
        <v>139</v>
      </c>
      <c r="B765" s="4" t="str">
        <f t="shared" si="66"/>
        <v xml:space="preserve">G-Ten </v>
      </c>
      <c r="C765" s="6" t="s">
        <v>32</v>
      </c>
      <c r="D765" s="6">
        <v>55</v>
      </c>
      <c r="E765" s="6">
        <v>29399</v>
      </c>
      <c r="F765" s="6">
        <v>65990</v>
      </c>
      <c r="G765" s="6" t="s">
        <v>54</v>
      </c>
      <c r="H765" s="6">
        <v>3.9</v>
      </c>
      <c r="I765" s="6">
        <f t="shared" si="67"/>
        <v>36591</v>
      </c>
      <c r="J765">
        <f t="shared" si="68"/>
        <v>0.55449310501591154</v>
      </c>
      <c r="K765" s="6">
        <f t="shared" si="69"/>
        <v>-36591</v>
      </c>
      <c r="L765" s="7">
        <f t="shared" si="70"/>
        <v>-1.2446341712303139</v>
      </c>
      <c r="M765" s="6" t="str">
        <f t="shared" si="71"/>
        <v>Medium Ratings</v>
      </c>
      <c r="N765" s="34">
        <f t="array" ref="N765">MEDIAN(_xlfn._xlws.FILTER(Table4[Original Price],Table4[Brand-Renamed] = Table4[[#This Row],[Brand]]))</f>
        <v>37440</v>
      </c>
      <c r="O765" s="35">
        <f t="array" ref="O765">MEDIAN(_xlfn._xlws.FILTER(Table4[Selling Price],Table4[Brand-Renamed] =Table4[[#This Row],[Brand-Renamed]]))</f>
        <v>15490</v>
      </c>
    </row>
    <row r="766" spans="1:15" ht="13.8" x14ac:dyDescent="0.25">
      <c r="A766" s="4" t="s">
        <v>139</v>
      </c>
      <c r="B766" s="4" t="str">
        <f t="shared" si="66"/>
        <v xml:space="preserve">G-Ten </v>
      </c>
      <c r="C766" s="4" t="s">
        <v>19</v>
      </c>
      <c r="D766" s="4">
        <v>32</v>
      </c>
      <c r="E766" s="4">
        <v>12990</v>
      </c>
      <c r="F766" s="4">
        <v>19990</v>
      </c>
      <c r="G766" s="4" t="s">
        <v>54</v>
      </c>
      <c r="H766" s="4">
        <v>3.8</v>
      </c>
      <c r="I766" s="4">
        <f t="shared" si="67"/>
        <v>7000</v>
      </c>
      <c r="J766">
        <f t="shared" si="68"/>
        <v>0.35017508754377191</v>
      </c>
      <c r="K766" s="4">
        <f t="shared" si="69"/>
        <v>-7000</v>
      </c>
      <c r="L766" s="5">
        <f t="shared" si="70"/>
        <v>-0.53887605850654352</v>
      </c>
      <c r="M766" s="4" t="str">
        <f t="shared" si="71"/>
        <v>Medium Ratings</v>
      </c>
      <c r="N766" s="34">
        <f t="array" ref="N766">MEDIAN(_xlfn._xlws.FILTER(Table4[Original Price],Table4[Brand-Renamed] = Table4[[#This Row],[Brand]]))</f>
        <v>37440</v>
      </c>
      <c r="O766" s="35">
        <f t="array" ref="O766">MEDIAN(_xlfn._xlws.FILTER(Table4[Selling Price],Table4[Brand-Renamed] =Table4[[#This Row],[Brand-Renamed]]))</f>
        <v>15490</v>
      </c>
    </row>
    <row r="767" spans="1:15" ht="13.8" x14ac:dyDescent="0.25">
      <c r="A767" s="6" t="s">
        <v>50</v>
      </c>
      <c r="B767" s="4" t="str">
        <f t="shared" si="66"/>
        <v xml:space="preserve">Haier </v>
      </c>
      <c r="C767" s="6" t="s">
        <v>8</v>
      </c>
      <c r="D767" s="6">
        <v>42</v>
      </c>
      <c r="E767" s="6">
        <v>30999</v>
      </c>
      <c r="F767" s="6">
        <v>44990</v>
      </c>
      <c r="G767" s="6" t="s">
        <v>54</v>
      </c>
      <c r="H767" s="6">
        <v>5</v>
      </c>
      <c r="I767" s="6">
        <f t="shared" si="67"/>
        <v>13991</v>
      </c>
      <c r="J767">
        <f t="shared" si="68"/>
        <v>0.31098021782618357</v>
      </c>
      <c r="K767" s="6">
        <f t="shared" si="69"/>
        <v>-13991</v>
      </c>
      <c r="L767" s="7">
        <f t="shared" si="70"/>
        <v>-0.45133713990773894</v>
      </c>
      <c r="M767" s="6" t="str">
        <f t="shared" si="71"/>
        <v>Good Ratings</v>
      </c>
      <c r="N767" s="34">
        <f t="array" ref="N767">MEDIAN(_xlfn._xlws.FILTER(Table4[Original Price],Table4[Brand-Renamed] = Table4[[#This Row],[Brand]]))</f>
        <v>43990</v>
      </c>
      <c r="O767" s="35">
        <f t="array" ref="O767">MEDIAN(_xlfn._xlws.FILTER(Table4[Selling Price],Table4[Brand-Renamed] =Table4[[#This Row],[Brand-Renamed]]))</f>
        <v>30994.5</v>
      </c>
    </row>
    <row r="768" spans="1:15" ht="13.8" x14ac:dyDescent="0.25">
      <c r="A768" s="4" t="s">
        <v>50</v>
      </c>
      <c r="B768" s="4" t="str">
        <f t="shared" si="66"/>
        <v xml:space="preserve">Haier </v>
      </c>
      <c r="C768" s="4" t="s">
        <v>8</v>
      </c>
      <c r="D768" s="4">
        <v>43</v>
      </c>
      <c r="E768" s="4">
        <v>30990</v>
      </c>
      <c r="F768" s="4">
        <v>38642</v>
      </c>
      <c r="G768" s="4" t="s">
        <v>54</v>
      </c>
      <c r="H768" s="4">
        <v>4.5</v>
      </c>
      <c r="I768" s="4">
        <f t="shared" si="67"/>
        <v>7652</v>
      </c>
      <c r="J768">
        <f t="shared" si="68"/>
        <v>0.1980228766626986</v>
      </c>
      <c r="K768" s="4">
        <f t="shared" si="69"/>
        <v>-7652</v>
      </c>
      <c r="L768" s="5">
        <f t="shared" si="70"/>
        <v>-0.24691836076153598</v>
      </c>
      <c r="M768" s="4" t="str">
        <f t="shared" si="71"/>
        <v>Good Ratings</v>
      </c>
      <c r="N768" s="34">
        <f t="array" ref="N768">MEDIAN(_xlfn._xlws.FILTER(Table4[Original Price],Table4[Brand-Renamed] = Table4[[#This Row],[Brand]]))</f>
        <v>43990</v>
      </c>
      <c r="O768" s="35">
        <f t="array" ref="O768">MEDIAN(_xlfn._xlws.FILTER(Table4[Selling Price],Table4[Brand-Renamed] =Table4[[#This Row],[Brand-Renamed]]))</f>
        <v>30994.5</v>
      </c>
    </row>
    <row r="769" spans="1:15" ht="13.8" x14ac:dyDescent="0.25">
      <c r="A769" s="6" t="s">
        <v>50</v>
      </c>
      <c r="B769" s="4" t="str">
        <f t="shared" si="66"/>
        <v xml:space="preserve">Haier </v>
      </c>
      <c r="C769" s="6" t="s">
        <v>32</v>
      </c>
      <c r="D769" s="6">
        <v>50</v>
      </c>
      <c r="E769" s="6">
        <v>38590</v>
      </c>
      <c r="F769" s="6">
        <v>54990</v>
      </c>
      <c r="G769" s="6" t="s">
        <v>54</v>
      </c>
      <c r="H769" s="6">
        <v>4.3</v>
      </c>
      <c r="I769" s="6">
        <f t="shared" si="67"/>
        <v>16400</v>
      </c>
      <c r="J769">
        <f t="shared" si="68"/>
        <v>0.29823604291689398</v>
      </c>
      <c r="K769" s="6">
        <f t="shared" si="69"/>
        <v>-16400</v>
      </c>
      <c r="L769" s="7">
        <f t="shared" si="70"/>
        <v>-0.42498056491318997</v>
      </c>
      <c r="M769" s="6" t="str">
        <f t="shared" si="71"/>
        <v>Medium Ratings</v>
      </c>
      <c r="N769" s="34">
        <f t="array" ref="N769">MEDIAN(_xlfn._xlws.FILTER(Table4[Original Price],Table4[Brand-Renamed] = Table4[[#This Row],[Brand]]))</f>
        <v>43990</v>
      </c>
      <c r="O769" s="35">
        <f t="array" ref="O769">MEDIAN(_xlfn._xlws.FILTER(Table4[Selling Price],Table4[Brand-Renamed] =Table4[[#This Row],[Brand-Renamed]]))</f>
        <v>30994.5</v>
      </c>
    </row>
    <row r="770" spans="1:15" ht="13.8" x14ac:dyDescent="0.25">
      <c r="A770" s="4" t="s">
        <v>50</v>
      </c>
      <c r="B770" s="4" t="str">
        <f t="shared" ref="B770:B833" si="72">PROPER(A770)</f>
        <v xml:space="preserve">Haier </v>
      </c>
      <c r="C770" s="4" t="s">
        <v>19</v>
      </c>
      <c r="D770" s="4">
        <v>32</v>
      </c>
      <c r="E770" s="4">
        <v>21599</v>
      </c>
      <c r="F770" s="4">
        <v>25990</v>
      </c>
      <c r="G770" s="4" t="s">
        <v>54</v>
      </c>
      <c r="H770" s="4">
        <v>4</v>
      </c>
      <c r="I770" s="4">
        <f t="shared" ref="I770:I833" si="73">F770-E770</f>
        <v>4391</v>
      </c>
      <c r="J770">
        <f t="shared" ref="J770:J833" si="74">IF((F770-E770)/F770 = 0, "Discount Not Applied", (F770-E770)/F770)</f>
        <v>0.16894959599846093</v>
      </c>
      <c r="K770" s="4">
        <f t="shared" ref="K770:K833" si="75">E770-F770</f>
        <v>-4391</v>
      </c>
      <c r="L770" s="5">
        <f t="shared" ref="L770:L833" si="76">(E770-F770)/E770</f>
        <v>-0.20329644890967175</v>
      </c>
      <c r="M770" s="4" t="str">
        <f t="shared" ref="M770:M833" si="77">IF(ISBLANK(H770),"Ratings Not Given",IF(H770&gt;=4.5,"Good Ratings",IF(H770&lt;=3.7,"Bad Ratings","Medium Ratings")))</f>
        <v>Medium Ratings</v>
      </c>
      <c r="N770" s="34">
        <f t="array" ref="N770">MEDIAN(_xlfn._xlws.FILTER(Table4[Original Price],Table4[Brand-Renamed] = Table4[[#This Row],[Brand]]))</f>
        <v>43990</v>
      </c>
      <c r="O770" s="35">
        <f t="array" ref="O770">MEDIAN(_xlfn._xlws.FILTER(Table4[Selling Price],Table4[Brand-Renamed] =Table4[[#This Row],[Brand-Renamed]]))</f>
        <v>30994.5</v>
      </c>
    </row>
    <row r="771" spans="1:15" ht="13.8" x14ac:dyDescent="0.25">
      <c r="A771" s="6" t="s">
        <v>50</v>
      </c>
      <c r="B771" s="4" t="str">
        <f t="shared" si="72"/>
        <v xml:space="preserve">Haier </v>
      </c>
      <c r="C771" s="6" t="s">
        <v>32</v>
      </c>
      <c r="D771" s="6">
        <v>55</v>
      </c>
      <c r="E771" s="6">
        <v>54499</v>
      </c>
      <c r="F771" s="6">
        <v>89990</v>
      </c>
      <c r="G771" s="6" t="s">
        <v>54</v>
      </c>
      <c r="H771" s="6">
        <v>4.5999999999999996</v>
      </c>
      <c r="I771" s="6">
        <f t="shared" si="73"/>
        <v>35491</v>
      </c>
      <c r="J771">
        <f t="shared" si="74"/>
        <v>0.39438826536281807</v>
      </c>
      <c r="K771" s="6">
        <f t="shared" si="75"/>
        <v>-35491</v>
      </c>
      <c r="L771" s="7">
        <f t="shared" si="76"/>
        <v>-0.65122295821941689</v>
      </c>
      <c r="M771" s="6" t="str">
        <f t="shared" si="77"/>
        <v>Good Ratings</v>
      </c>
      <c r="N771" s="34">
        <f t="array" ref="N771">MEDIAN(_xlfn._xlws.FILTER(Table4[Original Price],Table4[Brand-Renamed] = Table4[[#This Row],[Brand]]))</f>
        <v>43990</v>
      </c>
      <c r="O771" s="35">
        <f t="array" ref="O771">MEDIAN(_xlfn._xlws.FILTER(Table4[Selling Price],Table4[Brand-Renamed] =Table4[[#This Row],[Brand-Renamed]]))</f>
        <v>30994.5</v>
      </c>
    </row>
    <row r="772" spans="1:15" ht="13.8" x14ac:dyDescent="0.25">
      <c r="A772" s="4" t="s">
        <v>50</v>
      </c>
      <c r="B772" s="4" t="str">
        <f t="shared" si="72"/>
        <v xml:space="preserve">Haier </v>
      </c>
      <c r="C772" s="4" t="s">
        <v>32</v>
      </c>
      <c r="D772" s="4">
        <v>50</v>
      </c>
      <c r="E772" s="4">
        <v>42000</v>
      </c>
      <c r="F772" s="4">
        <v>69990</v>
      </c>
      <c r="G772" s="4" t="s">
        <v>54</v>
      </c>
      <c r="H772" s="4">
        <v>4</v>
      </c>
      <c r="I772" s="4">
        <f t="shared" si="73"/>
        <v>27990</v>
      </c>
      <c r="J772">
        <f t="shared" si="74"/>
        <v>0.39991427346763825</v>
      </c>
      <c r="K772" s="4">
        <f t="shared" si="75"/>
        <v>-27990</v>
      </c>
      <c r="L772" s="5">
        <f t="shared" si="76"/>
        <v>-0.66642857142857148</v>
      </c>
      <c r="M772" s="4" t="str">
        <f t="shared" si="77"/>
        <v>Medium Ratings</v>
      </c>
      <c r="N772" s="34">
        <f t="array" ref="N772">MEDIAN(_xlfn._xlws.FILTER(Table4[Original Price],Table4[Brand-Renamed] = Table4[[#This Row],[Brand]]))</f>
        <v>43990</v>
      </c>
      <c r="O772" s="35">
        <f t="array" ref="O772">MEDIAN(_xlfn._xlws.FILTER(Table4[Selling Price],Table4[Brand-Renamed] =Table4[[#This Row],[Brand-Renamed]]))</f>
        <v>30994.5</v>
      </c>
    </row>
    <row r="773" spans="1:15" ht="13.8" x14ac:dyDescent="0.25">
      <c r="A773" s="6" t="s">
        <v>50</v>
      </c>
      <c r="B773" s="4" t="str">
        <f t="shared" si="72"/>
        <v xml:space="preserve">Haier </v>
      </c>
      <c r="C773" s="6" t="s">
        <v>32</v>
      </c>
      <c r="D773" s="6">
        <v>55</v>
      </c>
      <c r="E773" s="6">
        <v>47899</v>
      </c>
      <c r="F773" s="6">
        <v>77990</v>
      </c>
      <c r="G773" s="6" t="s">
        <v>54</v>
      </c>
      <c r="H773" s="6"/>
      <c r="I773" s="6">
        <f t="shared" si="73"/>
        <v>30091</v>
      </c>
      <c r="J773">
        <f t="shared" si="74"/>
        <v>0.38583151686113604</v>
      </c>
      <c r="K773" s="6">
        <f t="shared" si="75"/>
        <v>-30091</v>
      </c>
      <c r="L773" s="7">
        <f t="shared" si="76"/>
        <v>-0.6282177080941147</v>
      </c>
      <c r="M773" s="6" t="str">
        <f t="shared" si="77"/>
        <v>Ratings Not Given</v>
      </c>
      <c r="N773" s="34">
        <f t="array" ref="N773">MEDIAN(_xlfn._xlws.FILTER(Table4[Original Price],Table4[Brand-Renamed] = Table4[[#This Row],[Brand]]))</f>
        <v>43990</v>
      </c>
      <c r="O773" s="35">
        <f t="array" ref="O773">MEDIAN(_xlfn._xlws.FILTER(Table4[Selling Price],Table4[Brand-Renamed] =Table4[[#This Row],[Brand-Renamed]]))</f>
        <v>30994.5</v>
      </c>
    </row>
    <row r="774" spans="1:15" ht="13.8" x14ac:dyDescent="0.25">
      <c r="A774" s="4" t="s">
        <v>50</v>
      </c>
      <c r="B774" s="4" t="str">
        <f t="shared" si="72"/>
        <v xml:space="preserve">Haier </v>
      </c>
      <c r="C774" s="4" t="s">
        <v>19</v>
      </c>
      <c r="D774" s="4">
        <v>39</v>
      </c>
      <c r="E774" s="4">
        <v>15990</v>
      </c>
      <c r="F774" s="4">
        <v>31999</v>
      </c>
      <c r="G774" s="4" t="s">
        <v>54</v>
      </c>
      <c r="H774" s="4">
        <v>4.3</v>
      </c>
      <c r="I774" s="4">
        <f t="shared" si="73"/>
        <v>16009</v>
      </c>
      <c r="J774">
        <f t="shared" si="74"/>
        <v>0.50029688427763364</v>
      </c>
      <c r="K774" s="4">
        <f t="shared" si="75"/>
        <v>-16009</v>
      </c>
      <c r="L774" s="5">
        <f t="shared" si="76"/>
        <v>-1.0011882426516572</v>
      </c>
      <c r="M774" s="4" t="str">
        <f t="shared" si="77"/>
        <v>Medium Ratings</v>
      </c>
      <c r="N774" s="34">
        <f t="array" ref="N774">MEDIAN(_xlfn._xlws.FILTER(Table4[Original Price],Table4[Brand-Renamed] = Table4[[#This Row],[Brand]]))</f>
        <v>43990</v>
      </c>
      <c r="O774" s="35">
        <f t="array" ref="O774">MEDIAN(_xlfn._xlws.FILTER(Table4[Selling Price],Table4[Brand-Renamed] =Table4[[#This Row],[Brand-Renamed]]))</f>
        <v>30994.5</v>
      </c>
    </row>
    <row r="775" spans="1:15" ht="13.8" x14ac:dyDescent="0.25">
      <c r="A775" s="6" t="s">
        <v>50</v>
      </c>
      <c r="B775" s="4" t="str">
        <f t="shared" si="72"/>
        <v xml:space="preserve">Haier </v>
      </c>
      <c r="C775" s="6" t="s">
        <v>19</v>
      </c>
      <c r="D775" s="6">
        <v>32</v>
      </c>
      <c r="E775" s="6">
        <v>7739</v>
      </c>
      <c r="F775" s="6">
        <v>19990</v>
      </c>
      <c r="G775" s="6" t="s">
        <v>54</v>
      </c>
      <c r="H775" s="6">
        <v>4</v>
      </c>
      <c r="I775" s="6">
        <f t="shared" si="73"/>
        <v>12251</v>
      </c>
      <c r="J775">
        <f t="shared" si="74"/>
        <v>0.61285642821410702</v>
      </c>
      <c r="K775" s="6">
        <f t="shared" si="75"/>
        <v>-12251</v>
      </c>
      <c r="L775" s="7">
        <f t="shared" si="76"/>
        <v>-1.583021062152733</v>
      </c>
      <c r="M775" s="6" t="str">
        <f t="shared" si="77"/>
        <v>Medium Ratings</v>
      </c>
      <c r="N775" s="34">
        <f t="array" ref="N775">MEDIAN(_xlfn._xlws.FILTER(Table4[Original Price],Table4[Brand-Renamed] = Table4[[#This Row],[Brand]]))</f>
        <v>43990</v>
      </c>
      <c r="O775" s="35">
        <f t="array" ref="O775">MEDIAN(_xlfn._xlws.FILTER(Table4[Selling Price],Table4[Brand-Renamed] =Table4[[#This Row],[Brand-Renamed]]))</f>
        <v>30994.5</v>
      </c>
    </row>
    <row r="776" spans="1:15" ht="13.8" x14ac:dyDescent="0.25">
      <c r="A776" s="4" t="s">
        <v>136</v>
      </c>
      <c r="B776" s="4" t="str">
        <f t="shared" si="72"/>
        <v xml:space="preserve">Huidi </v>
      </c>
      <c r="C776" s="4" t="s">
        <v>19</v>
      </c>
      <c r="D776" s="4">
        <v>32</v>
      </c>
      <c r="E776" s="4">
        <v>9499</v>
      </c>
      <c r="F776" s="4">
        <v>16599</v>
      </c>
      <c r="G776" s="4" t="s">
        <v>54</v>
      </c>
      <c r="H776" s="4">
        <v>4</v>
      </c>
      <c r="I776" s="4">
        <f t="shared" si="73"/>
        <v>7100</v>
      </c>
      <c r="J776">
        <f t="shared" si="74"/>
        <v>0.42773661063919516</v>
      </c>
      <c r="K776" s="4">
        <f t="shared" si="75"/>
        <v>-7100</v>
      </c>
      <c r="L776" s="5">
        <f t="shared" si="76"/>
        <v>-0.74744709969470469</v>
      </c>
      <c r="M776" s="4" t="str">
        <f t="shared" si="77"/>
        <v>Medium Ratings</v>
      </c>
      <c r="N776" s="34">
        <f t="array" ref="N776">MEDIAN(_xlfn._xlws.FILTER(Table4[Original Price],Table4[Brand-Renamed] = Table4[[#This Row],[Brand]]))</f>
        <v>23299</v>
      </c>
      <c r="O776" s="35">
        <f t="array" ref="O776">MEDIAN(_xlfn._xlws.FILTER(Table4[Selling Price],Table4[Brand-Renamed] =Table4[[#This Row],[Brand-Renamed]]))</f>
        <v>13999</v>
      </c>
    </row>
    <row r="777" spans="1:15" ht="13.8" x14ac:dyDescent="0.25">
      <c r="A777" s="6" t="s">
        <v>136</v>
      </c>
      <c r="B777" s="4" t="str">
        <f t="shared" si="72"/>
        <v xml:space="preserve">Huidi </v>
      </c>
      <c r="C777" s="6" t="s">
        <v>32</v>
      </c>
      <c r="D777" s="6">
        <v>49</v>
      </c>
      <c r="E777" s="6">
        <v>26999</v>
      </c>
      <c r="F777" s="6">
        <v>36999</v>
      </c>
      <c r="G777" s="6" t="s">
        <v>54</v>
      </c>
      <c r="H777" s="6">
        <v>4.5</v>
      </c>
      <c r="I777" s="6">
        <f t="shared" si="73"/>
        <v>10000</v>
      </c>
      <c r="J777">
        <f t="shared" si="74"/>
        <v>0.27027757506959649</v>
      </c>
      <c r="K777" s="6">
        <f t="shared" si="75"/>
        <v>-10000</v>
      </c>
      <c r="L777" s="7">
        <f t="shared" si="76"/>
        <v>-0.37038408829956665</v>
      </c>
      <c r="M777" s="6" t="str">
        <f t="shared" si="77"/>
        <v>Good Ratings</v>
      </c>
      <c r="N777" s="34">
        <f t="array" ref="N777">MEDIAN(_xlfn._xlws.FILTER(Table4[Original Price],Table4[Brand-Renamed] = Table4[[#This Row],[Brand]]))</f>
        <v>23299</v>
      </c>
      <c r="O777" s="35">
        <f t="array" ref="O777">MEDIAN(_xlfn._xlws.FILTER(Table4[Selling Price],Table4[Brand-Renamed] =Table4[[#This Row],[Brand-Renamed]]))</f>
        <v>13999</v>
      </c>
    </row>
    <row r="778" spans="1:15" ht="13.8" x14ac:dyDescent="0.25">
      <c r="A778" s="4" t="s">
        <v>136</v>
      </c>
      <c r="B778" s="4" t="str">
        <f t="shared" si="72"/>
        <v xml:space="preserve">Huidi </v>
      </c>
      <c r="C778" s="4" t="s">
        <v>32</v>
      </c>
      <c r="D778" s="4">
        <v>55</v>
      </c>
      <c r="E778" s="4">
        <v>36999</v>
      </c>
      <c r="F778" s="4">
        <v>46999</v>
      </c>
      <c r="G778" s="4" t="s">
        <v>54</v>
      </c>
      <c r="H778" s="4"/>
      <c r="I778" s="4">
        <f t="shared" si="73"/>
        <v>10000</v>
      </c>
      <c r="J778">
        <f t="shared" si="74"/>
        <v>0.21277048447839317</v>
      </c>
      <c r="K778" s="4">
        <f t="shared" si="75"/>
        <v>-10000</v>
      </c>
      <c r="L778" s="5">
        <f t="shared" si="76"/>
        <v>-0.27027757506959649</v>
      </c>
      <c r="M778" s="4" t="str">
        <f t="shared" si="77"/>
        <v>Ratings Not Given</v>
      </c>
      <c r="N778" s="34">
        <f t="array" ref="N778">MEDIAN(_xlfn._xlws.FILTER(Table4[Original Price],Table4[Brand-Renamed] = Table4[[#This Row],[Brand]]))</f>
        <v>23299</v>
      </c>
      <c r="O778" s="35">
        <f t="array" ref="O778">MEDIAN(_xlfn._xlws.FILTER(Table4[Selling Price],Table4[Brand-Renamed] =Table4[[#This Row],[Brand-Renamed]]))</f>
        <v>13999</v>
      </c>
    </row>
    <row r="779" spans="1:15" ht="13.8" x14ac:dyDescent="0.25">
      <c r="A779" s="6" t="s">
        <v>124</v>
      </c>
      <c r="B779" s="4" t="str">
        <f t="shared" si="72"/>
        <v>Iffalcon By Tcl</v>
      </c>
      <c r="C779" s="6" t="s">
        <v>32</v>
      </c>
      <c r="D779" s="6">
        <v>50</v>
      </c>
      <c r="E779" s="6">
        <v>28999</v>
      </c>
      <c r="F779" s="6">
        <v>58990</v>
      </c>
      <c r="G779" s="6" t="s">
        <v>54</v>
      </c>
      <c r="H779" s="6">
        <v>4.3</v>
      </c>
      <c r="I779" s="6">
        <f t="shared" si="73"/>
        <v>29991</v>
      </c>
      <c r="J779">
        <f t="shared" si="74"/>
        <v>0.50840820478047122</v>
      </c>
      <c r="K779" s="6">
        <f t="shared" si="75"/>
        <v>-29991</v>
      </c>
      <c r="L779" s="7">
        <f t="shared" si="76"/>
        <v>-1.0342080761405565</v>
      </c>
      <c r="M779" s="6" t="str">
        <f t="shared" si="77"/>
        <v>Medium Ratings</v>
      </c>
      <c r="N779" s="34">
        <f t="array" ref="N779">MEDIAN(_xlfn._xlws.FILTER(Table4[Original Price],Table4[Brand-Renamed] = Table4[[#This Row],[Brand]]))</f>
        <v>76990</v>
      </c>
      <c r="O779" s="35">
        <f t="array" ref="O779">MEDIAN(_xlfn._xlws.FILTER(Table4[Selling Price],Table4[Brand-Renamed] =Table4[[#This Row],[Brand-Renamed]]))</f>
        <v>36999</v>
      </c>
    </row>
    <row r="780" spans="1:15" ht="13.8" x14ac:dyDescent="0.25">
      <c r="A780" s="4" t="s">
        <v>124</v>
      </c>
      <c r="B780" s="4" t="str">
        <f t="shared" si="72"/>
        <v>Iffalcon By Tcl</v>
      </c>
      <c r="C780" s="4" t="s">
        <v>32</v>
      </c>
      <c r="D780" s="4">
        <v>55</v>
      </c>
      <c r="E780" s="4">
        <v>113990</v>
      </c>
      <c r="F780" s="4">
        <v>113990</v>
      </c>
      <c r="G780" s="4" t="s">
        <v>54</v>
      </c>
      <c r="H780" s="4"/>
      <c r="I780" s="4">
        <f t="shared" si="73"/>
        <v>0</v>
      </c>
      <c r="J780" t="str">
        <f t="shared" si="74"/>
        <v>Discount Not Applied</v>
      </c>
      <c r="K780" s="4">
        <f t="shared" si="75"/>
        <v>0</v>
      </c>
      <c r="L780" s="5">
        <f t="shared" si="76"/>
        <v>0</v>
      </c>
      <c r="M780" s="4" t="str">
        <f t="shared" si="77"/>
        <v>Ratings Not Given</v>
      </c>
      <c r="N780" s="34">
        <f t="array" ref="N780">MEDIAN(_xlfn._xlws.FILTER(Table4[Original Price],Table4[Brand-Renamed] = Table4[[#This Row],[Brand]]))</f>
        <v>76990</v>
      </c>
      <c r="O780" s="35">
        <f t="array" ref="O780">MEDIAN(_xlfn._xlws.FILTER(Table4[Selling Price],Table4[Brand-Renamed] =Table4[[#This Row],[Brand-Renamed]]))</f>
        <v>36999</v>
      </c>
    </row>
    <row r="781" spans="1:15" ht="13.8" x14ac:dyDescent="0.25">
      <c r="A781" s="6" t="s">
        <v>124</v>
      </c>
      <c r="B781" s="4" t="str">
        <f t="shared" si="72"/>
        <v>Iffalcon By Tcl</v>
      </c>
      <c r="C781" s="6" t="s">
        <v>32</v>
      </c>
      <c r="D781" s="6">
        <v>65</v>
      </c>
      <c r="E781" s="6">
        <v>49999</v>
      </c>
      <c r="F781" s="6">
        <v>99990</v>
      </c>
      <c r="G781" s="6" t="s">
        <v>54</v>
      </c>
      <c r="H781" s="6"/>
      <c r="I781" s="6">
        <f t="shared" si="73"/>
        <v>49991</v>
      </c>
      <c r="J781">
        <f t="shared" si="74"/>
        <v>0.49995999599959995</v>
      </c>
      <c r="K781" s="6">
        <f t="shared" si="75"/>
        <v>-49991</v>
      </c>
      <c r="L781" s="7">
        <f t="shared" si="76"/>
        <v>-0.99983999679993596</v>
      </c>
      <c r="M781" s="6" t="str">
        <f t="shared" si="77"/>
        <v>Ratings Not Given</v>
      </c>
      <c r="N781" s="34">
        <f t="array" ref="N781">MEDIAN(_xlfn._xlws.FILTER(Table4[Original Price],Table4[Brand-Renamed] = Table4[[#This Row],[Brand]]))</f>
        <v>76990</v>
      </c>
      <c r="O781" s="35">
        <f t="array" ref="O781">MEDIAN(_xlfn._xlws.FILTER(Table4[Selling Price],Table4[Brand-Renamed] =Table4[[#This Row],[Brand-Renamed]]))</f>
        <v>36999</v>
      </c>
    </row>
    <row r="782" spans="1:15" ht="13.8" x14ac:dyDescent="0.25">
      <c r="A782" s="4" t="s">
        <v>132</v>
      </c>
      <c r="B782" s="4" t="str">
        <f t="shared" si="72"/>
        <v xml:space="preserve">Impex </v>
      </c>
      <c r="C782" s="4" t="s">
        <v>19</v>
      </c>
      <c r="D782" s="4">
        <v>32</v>
      </c>
      <c r="E782" s="4">
        <v>9999</v>
      </c>
      <c r="F782" s="4">
        <v>16990</v>
      </c>
      <c r="G782" s="4" t="s">
        <v>62</v>
      </c>
      <c r="H782" s="4">
        <v>3.6</v>
      </c>
      <c r="I782" s="4">
        <f t="shared" si="73"/>
        <v>6991</v>
      </c>
      <c r="J782">
        <f t="shared" si="74"/>
        <v>0.41147733961153621</v>
      </c>
      <c r="K782" s="4">
        <f t="shared" si="75"/>
        <v>-6991</v>
      </c>
      <c r="L782" s="5">
        <f t="shared" si="76"/>
        <v>-0.69916991699169917</v>
      </c>
      <c r="M782" s="4" t="str">
        <f t="shared" si="77"/>
        <v>Bad Ratings</v>
      </c>
      <c r="N782" s="34">
        <f t="array" ref="N782">MEDIAN(_xlfn._xlws.FILTER(Table4[Original Price],Table4[Brand-Renamed] = Table4[[#This Row],[Brand]]))</f>
        <v>32039</v>
      </c>
      <c r="O782" s="35">
        <f t="array" ref="O782">MEDIAN(_xlfn._xlws.FILTER(Table4[Selling Price],Table4[Brand-Renamed] =Table4[[#This Row],[Brand-Renamed]]))</f>
        <v>28690</v>
      </c>
    </row>
    <row r="783" spans="1:15" ht="13.8" x14ac:dyDescent="0.25">
      <c r="A783" s="6" t="s">
        <v>132</v>
      </c>
      <c r="B783" s="4" t="str">
        <f t="shared" si="72"/>
        <v xml:space="preserve">Impex </v>
      </c>
      <c r="C783" s="6" t="s">
        <v>19</v>
      </c>
      <c r="D783" s="6">
        <v>32</v>
      </c>
      <c r="E783" s="6">
        <v>11390</v>
      </c>
      <c r="F783" s="6">
        <v>18190</v>
      </c>
      <c r="G783" s="6" t="s">
        <v>62</v>
      </c>
      <c r="H783" s="6">
        <v>4.7</v>
      </c>
      <c r="I783" s="6">
        <f t="shared" si="73"/>
        <v>6800</v>
      </c>
      <c r="J783">
        <f t="shared" si="74"/>
        <v>0.37383177570093457</v>
      </c>
      <c r="K783" s="6">
        <f t="shared" si="75"/>
        <v>-6800</v>
      </c>
      <c r="L783" s="7">
        <f t="shared" si="76"/>
        <v>-0.59701492537313428</v>
      </c>
      <c r="M783" s="6" t="str">
        <f t="shared" si="77"/>
        <v>Good Ratings</v>
      </c>
      <c r="N783" s="34">
        <f t="array" ref="N783">MEDIAN(_xlfn._xlws.FILTER(Table4[Original Price],Table4[Brand-Renamed] = Table4[[#This Row],[Brand]]))</f>
        <v>32039</v>
      </c>
      <c r="O783" s="35">
        <f t="array" ref="O783">MEDIAN(_xlfn._xlws.FILTER(Table4[Selling Price],Table4[Brand-Renamed] =Table4[[#This Row],[Brand-Renamed]]))</f>
        <v>28690</v>
      </c>
    </row>
    <row r="784" spans="1:15" ht="13.8" x14ac:dyDescent="0.25">
      <c r="A784" s="4" t="s">
        <v>132</v>
      </c>
      <c r="B784" s="4" t="str">
        <f t="shared" si="72"/>
        <v xml:space="preserve">Impex </v>
      </c>
      <c r="C784" s="4" t="s">
        <v>19</v>
      </c>
      <c r="D784" s="4">
        <v>24</v>
      </c>
      <c r="E784" s="4">
        <v>7999</v>
      </c>
      <c r="F784" s="4">
        <v>12990</v>
      </c>
      <c r="G784" s="4" t="s">
        <v>62</v>
      </c>
      <c r="H784" s="4">
        <v>4.4000000000000004</v>
      </c>
      <c r="I784" s="4">
        <f t="shared" si="73"/>
        <v>4991</v>
      </c>
      <c r="J784">
        <f t="shared" si="74"/>
        <v>0.38421862971516552</v>
      </c>
      <c r="K784" s="4">
        <f t="shared" si="75"/>
        <v>-4991</v>
      </c>
      <c r="L784" s="5">
        <f t="shared" si="76"/>
        <v>-0.62395299412426553</v>
      </c>
      <c r="M784" s="4" t="str">
        <f t="shared" si="77"/>
        <v>Medium Ratings</v>
      </c>
      <c r="N784" s="34">
        <f t="array" ref="N784">MEDIAN(_xlfn._xlws.FILTER(Table4[Original Price],Table4[Brand-Renamed] = Table4[[#This Row],[Brand]]))</f>
        <v>32039</v>
      </c>
      <c r="O784" s="35">
        <f t="array" ref="O784">MEDIAN(_xlfn._xlws.FILTER(Table4[Selling Price],Table4[Brand-Renamed] =Table4[[#This Row],[Brand-Renamed]]))</f>
        <v>28690</v>
      </c>
    </row>
    <row r="785" spans="1:15" ht="13.8" x14ac:dyDescent="0.25">
      <c r="A785" s="6" t="s">
        <v>132</v>
      </c>
      <c r="B785" s="4" t="str">
        <f t="shared" si="72"/>
        <v xml:space="preserve">Impex </v>
      </c>
      <c r="C785" s="6" t="s">
        <v>32</v>
      </c>
      <c r="D785" s="6">
        <v>55</v>
      </c>
      <c r="E785" s="6">
        <v>60859</v>
      </c>
      <c r="F785" s="6">
        <v>89990</v>
      </c>
      <c r="G785" s="6" t="s">
        <v>54</v>
      </c>
      <c r="H785" s="6"/>
      <c r="I785" s="6">
        <f t="shared" si="73"/>
        <v>29131</v>
      </c>
      <c r="J785">
        <f t="shared" si="74"/>
        <v>0.32371374597177466</v>
      </c>
      <c r="K785" s="6">
        <f t="shared" si="75"/>
        <v>-29131</v>
      </c>
      <c r="L785" s="7">
        <f t="shared" si="76"/>
        <v>-0.47866379664470332</v>
      </c>
      <c r="M785" s="6" t="str">
        <f t="shared" si="77"/>
        <v>Ratings Not Given</v>
      </c>
      <c r="N785" s="34">
        <f t="array" ref="N785">MEDIAN(_xlfn._xlws.FILTER(Table4[Original Price],Table4[Brand-Renamed] = Table4[[#This Row],[Brand]]))</f>
        <v>32039</v>
      </c>
      <c r="O785" s="35">
        <f t="array" ref="O785">MEDIAN(_xlfn._xlws.FILTER(Table4[Selling Price],Table4[Brand-Renamed] =Table4[[#This Row],[Brand-Renamed]]))</f>
        <v>28690</v>
      </c>
    </row>
    <row r="786" spans="1:15" ht="13.8" x14ac:dyDescent="0.25">
      <c r="A786" s="4" t="s">
        <v>132</v>
      </c>
      <c r="B786" s="4" t="str">
        <f t="shared" si="72"/>
        <v xml:space="preserve">Impex </v>
      </c>
      <c r="C786" s="4" t="s">
        <v>8</v>
      </c>
      <c r="D786" s="4">
        <v>50</v>
      </c>
      <c r="E786" s="4">
        <v>31000</v>
      </c>
      <c r="F786" s="4">
        <v>49990</v>
      </c>
      <c r="G786" s="4" t="s">
        <v>54</v>
      </c>
      <c r="H786" s="4"/>
      <c r="I786" s="4">
        <f t="shared" si="73"/>
        <v>18990</v>
      </c>
      <c r="J786">
        <f t="shared" si="74"/>
        <v>0.37987597519503902</v>
      </c>
      <c r="K786" s="4">
        <f t="shared" si="75"/>
        <v>-18990</v>
      </c>
      <c r="L786" s="5">
        <f t="shared" si="76"/>
        <v>-0.61258064516129029</v>
      </c>
      <c r="M786" s="4" t="str">
        <f t="shared" si="77"/>
        <v>Ratings Not Given</v>
      </c>
      <c r="N786" s="34">
        <f t="array" ref="N786">MEDIAN(_xlfn._xlws.FILTER(Table4[Original Price],Table4[Brand-Renamed] = Table4[[#This Row],[Brand]]))</f>
        <v>32039</v>
      </c>
      <c r="O786" s="35">
        <f t="array" ref="O786">MEDIAN(_xlfn._xlws.FILTER(Table4[Selling Price],Table4[Brand-Renamed] =Table4[[#This Row],[Brand-Renamed]]))</f>
        <v>28690</v>
      </c>
    </row>
    <row r="787" spans="1:15" ht="13.8" x14ac:dyDescent="0.25">
      <c r="A787" s="6" t="s">
        <v>55</v>
      </c>
      <c r="B787" s="4" t="str">
        <f t="shared" si="72"/>
        <v xml:space="preserve">Intex </v>
      </c>
      <c r="C787" s="6" t="s">
        <v>19</v>
      </c>
      <c r="D787" s="6">
        <v>38</v>
      </c>
      <c r="E787" s="6">
        <v>19800</v>
      </c>
      <c r="F787" s="6">
        <v>34600</v>
      </c>
      <c r="G787" s="6" t="s">
        <v>54</v>
      </c>
      <c r="H787" s="6">
        <v>5</v>
      </c>
      <c r="I787" s="6">
        <f t="shared" si="73"/>
        <v>14800</v>
      </c>
      <c r="J787">
        <f t="shared" si="74"/>
        <v>0.4277456647398844</v>
      </c>
      <c r="K787" s="6">
        <f t="shared" si="75"/>
        <v>-14800</v>
      </c>
      <c r="L787" s="7">
        <f t="shared" si="76"/>
        <v>-0.74747474747474751</v>
      </c>
      <c r="M787" s="6" t="str">
        <f t="shared" si="77"/>
        <v>Good Ratings</v>
      </c>
      <c r="N787" s="34">
        <f t="array" ref="N787">MEDIAN(_xlfn._xlws.FILTER(Table4[Original Price],Table4[Brand-Renamed] = Table4[[#This Row],[Brand]]))</f>
        <v>35999</v>
      </c>
      <c r="O787" s="35">
        <f t="array" ref="O787">MEDIAN(_xlfn._xlws.FILTER(Table4[Selling Price],Table4[Brand-Renamed] =Table4[[#This Row],[Brand-Renamed]]))</f>
        <v>23688</v>
      </c>
    </row>
    <row r="788" spans="1:15" ht="13.8" x14ac:dyDescent="0.25">
      <c r="A788" s="4" t="s">
        <v>55</v>
      </c>
      <c r="B788" s="4" t="str">
        <f t="shared" si="72"/>
        <v xml:space="preserve">Intex </v>
      </c>
      <c r="C788" s="4" t="s">
        <v>8</v>
      </c>
      <c r="D788" s="4">
        <v>55</v>
      </c>
      <c r="E788" s="4">
        <v>49900</v>
      </c>
      <c r="F788" s="4">
        <v>49900</v>
      </c>
      <c r="G788" s="4" t="s">
        <v>54</v>
      </c>
      <c r="H788" s="4">
        <v>4.3</v>
      </c>
      <c r="I788" s="4">
        <f t="shared" si="73"/>
        <v>0</v>
      </c>
      <c r="J788" t="str">
        <f t="shared" si="74"/>
        <v>Discount Not Applied</v>
      </c>
      <c r="K788" s="4">
        <f t="shared" si="75"/>
        <v>0</v>
      </c>
      <c r="L788" s="5">
        <f t="shared" si="76"/>
        <v>0</v>
      </c>
      <c r="M788" s="4" t="str">
        <f t="shared" si="77"/>
        <v>Medium Ratings</v>
      </c>
      <c r="N788" s="34">
        <f t="array" ref="N788">MEDIAN(_xlfn._xlws.FILTER(Table4[Original Price],Table4[Brand-Renamed] = Table4[[#This Row],[Brand]]))</f>
        <v>35999</v>
      </c>
      <c r="O788" s="35">
        <f t="array" ref="O788">MEDIAN(_xlfn._xlws.FILTER(Table4[Selling Price],Table4[Brand-Renamed] =Table4[[#This Row],[Brand-Renamed]]))</f>
        <v>23688</v>
      </c>
    </row>
    <row r="789" spans="1:15" ht="13.8" x14ac:dyDescent="0.25">
      <c r="A789" s="6" t="s">
        <v>55</v>
      </c>
      <c r="B789" s="4" t="str">
        <f t="shared" si="72"/>
        <v xml:space="preserve">Intex </v>
      </c>
      <c r="C789" s="6" t="s">
        <v>8</v>
      </c>
      <c r="D789" s="6">
        <v>50</v>
      </c>
      <c r="E789" s="6">
        <v>29499</v>
      </c>
      <c r="F789" s="6">
        <v>39999</v>
      </c>
      <c r="G789" s="6" t="s">
        <v>54</v>
      </c>
      <c r="H789" s="6">
        <v>3.8</v>
      </c>
      <c r="I789" s="6">
        <f t="shared" si="73"/>
        <v>10500</v>
      </c>
      <c r="J789">
        <f t="shared" si="74"/>
        <v>0.26250656266406658</v>
      </c>
      <c r="K789" s="6">
        <f t="shared" si="75"/>
        <v>-10500</v>
      </c>
      <c r="L789" s="7">
        <f t="shared" si="76"/>
        <v>-0.3559442692972643</v>
      </c>
      <c r="M789" s="6" t="str">
        <f t="shared" si="77"/>
        <v>Medium Ratings</v>
      </c>
      <c r="N789" s="34">
        <f t="array" ref="N789">MEDIAN(_xlfn._xlws.FILTER(Table4[Original Price],Table4[Brand-Renamed] = Table4[[#This Row],[Brand]]))</f>
        <v>35999</v>
      </c>
      <c r="O789" s="35">
        <f t="array" ref="O789">MEDIAN(_xlfn._xlws.FILTER(Table4[Selling Price],Table4[Brand-Renamed] =Table4[[#This Row],[Brand-Renamed]]))</f>
        <v>23688</v>
      </c>
    </row>
    <row r="790" spans="1:15" ht="13.8" x14ac:dyDescent="0.25">
      <c r="A790" s="4" t="s">
        <v>55</v>
      </c>
      <c r="B790" s="4" t="str">
        <f t="shared" si="72"/>
        <v xml:space="preserve">Intex </v>
      </c>
      <c r="C790" s="4" t="s">
        <v>8</v>
      </c>
      <c r="D790" s="4">
        <v>43</v>
      </c>
      <c r="E790" s="4">
        <v>23688</v>
      </c>
      <c r="F790" s="4">
        <v>47990</v>
      </c>
      <c r="G790" s="4" t="s">
        <v>54</v>
      </c>
      <c r="H790" s="4">
        <v>4.2</v>
      </c>
      <c r="I790" s="4">
        <f t="shared" si="73"/>
        <v>24302</v>
      </c>
      <c r="J790">
        <f t="shared" si="74"/>
        <v>0.50639716607626584</v>
      </c>
      <c r="K790" s="4">
        <f t="shared" si="75"/>
        <v>-24302</v>
      </c>
      <c r="L790" s="5">
        <f t="shared" si="76"/>
        <v>-1.025920297196893</v>
      </c>
      <c r="M790" s="4" t="str">
        <f t="shared" si="77"/>
        <v>Medium Ratings</v>
      </c>
      <c r="N790" s="34">
        <f t="array" ref="N790">MEDIAN(_xlfn._xlws.FILTER(Table4[Original Price],Table4[Brand-Renamed] = Table4[[#This Row],[Brand]]))</f>
        <v>35999</v>
      </c>
      <c r="O790" s="35">
        <f t="array" ref="O790">MEDIAN(_xlfn._xlws.FILTER(Table4[Selling Price],Table4[Brand-Renamed] =Table4[[#This Row],[Brand-Renamed]]))</f>
        <v>23688</v>
      </c>
    </row>
    <row r="791" spans="1:15" ht="13.8" x14ac:dyDescent="0.25">
      <c r="A791" s="6" t="s">
        <v>55</v>
      </c>
      <c r="B791" s="4" t="str">
        <f t="shared" si="72"/>
        <v xml:space="preserve">Intex </v>
      </c>
      <c r="C791" s="6" t="s">
        <v>8</v>
      </c>
      <c r="D791" s="6">
        <v>43</v>
      </c>
      <c r="E791" s="6">
        <v>35999</v>
      </c>
      <c r="F791" s="6">
        <v>35999</v>
      </c>
      <c r="G791" s="6" t="s">
        <v>54</v>
      </c>
      <c r="H791" s="6">
        <v>4.2</v>
      </c>
      <c r="I791" s="6">
        <f t="shared" si="73"/>
        <v>0</v>
      </c>
      <c r="J791" t="str">
        <f t="shared" si="74"/>
        <v>Discount Not Applied</v>
      </c>
      <c r="K791" s="6">
        <f t="shared" si="75"/>
        <v>0</v>
      </c>
      <c r="L791" s="7">
        <f t="shared" si="76"/>
        <v>0</v>
      </c>
      <c r="M791" s="6" t="str">
        <f t="shared" si="77"/>
        <v>Medium Ratings</v>
      </c>
      <c r="N791" s="34">
        <f t="array" ref="N791">MEDIAN(_xlfn._xlws.FILTER(Table4[Original Price],Table4[Brand-Renamed] = Table4[[#This Row],[Brand]]))</f>
        <v>35999</v>
      </c>
      <c r="O791" s="35">
        <f t="array" ref="O791">MEDIAN(_xlfn._xlws.FILTER(Table4[Selling Price],Table4[Brand-Renamed] =Table4[[#This Row],[Brand-Renamed]]))</f>
        <v>23688</v>
      </c>
    </row>
    <row r="792" spans="1:15" ht="13.8" x14ac:dyDescent="0.25">
      <c r="A792" s="4" t="s">
        <v>138</v>
      </c>
      <c r="B792" s="4" t="str">
        <f t="shared" si="72"/>
        <v>Jvc</v>
      </c>
      <c r="C792" s="4" t="s">
        <v>32</v>
      </c>
      <c r="D792" s="4">
        <v>65</v>
      </c>
      <c r="E792" s="4">
        <v>55000</v>
      </c>
      <c r="F792" s="4">
        <v>109000</v>
      </c>
      <c r="G792" s="4" t="s">
        <v>54</v>
      </c>
      <c r="H792" s="4">
        <v>4.0999999999999996</v>
      </c>
      <c r="I792" s="4">
        <f t="shared" si="73"/>
        <v>54000</v>
      </c>
      <c r="J792">
        <f t="shared" si="74"/>
        <v>0.49541284403669728</v>
      </c>
      <c r="K792" s="4">
        <f t="shared" si="75"/>
        <v>-54000</v>
      </c>
      <c r="L792" s="5">
        <f t="shared" si="76"/>
        <v>-0.98181818181818181</v>
      </c>
      <c r="M792" s="4" t="str">
        <f t="shared" si="77"/>
        <v>Medium Ratings</v>
      </c>
      <c r="N792" s="34">
        <f t="array" ref="N792">MEDIAN(_xlfn._xlws.FILTER(Table4[Original Price],Table4[Brand-Renamed] = Table4[[#This Row],[Brand]]))</f>
        <v>55999.5</v>
      </c>
      <c r="O792" s="35">
        <f t="array" ref="O792">MEDIAN(_xlfn._xlws.FILTER(Table4[Selling Price],Table4[Brand-Renamed] =Table4[[#This Row],[Brand-Renamed]]))</f>
        <v>32494.5</v>
      </c>
    </row>
    <row r="793" spans="1:15" ht="13.8" x14ac:dyDescent="0.25">
      <c r="A793" s="6" t="s">
        <v>138</v>
      </c>
      <c r="B793" s="4" t="str">
        <f t="shared" si="72"/>
        <v>Jvc</v>
      </c>
      <c r="C793" s="6" t="s">
        <v>19</v>
      </c>
      <c r="D793" s="6">
        <v>32</v>
      </c>
      <c r="E793" s="6">
        <v>16990</v>
      </c>
      <c r="F793" s="6">
        <v>21000</v>
      </c>
      <c r="G793" s="6" t="s">
        <v>54</v>
      </c>
      <c r="H793" s="6">
        <v>4.0999999999999996</v>
      </c>
      <c r="I793" s="6">
        <f t="shared" si="73"/>
        <v>4010</v>
      </c>
      <c r="J793">
        <f t="shared" si="74"/>
        <v>0.19095238095238096</v>
      </c>
      <c r="K793" s="6">
        <f t="shared" si="75"/>
        <v>-4010</v>
      </c>
      <c r="L793" s="7">
        <f t="shared" si="76"/>
        <v>-0.23602118893466745</v>
      </c>
      <c r="M793" s="6" t="str">
        <f t="shared" si="77"/>
        <v>Medium Ratings</v>
      </c>
      <c r="N793" s="34">
        <f t="array" ref="N793">MEDIAN(_xlfn._xlws.FILTER(Table4[Original Price],Table4[Brand-Renamed] = Table4[[#This Row],[Brand]]))</f>
        <v>55999.5</v>
      </c>
      <c r="O793" s="35">
        <f t="array" ref="O793">MEDIAN(_xlfn._xlws.FILTER(Table4[Selling Price],Table4[Brand-Renamed] =Table4[[#This Row],[Brand-Renamed]]))</f>
        <v>32494.5</v>
      </c>
    </row>
    <row r="794" spans="1:15" ht="13.8" x14ac:dyDescent="0.25">
      <c r="A794" s="4" t="s">
        <v>138</v>
      </c>
      <c r="B794" s="4" t="str">
        <f t="shared" si="72"/>
        <v>Jvc</v>
      </c>
      <c r="C794" s="4" t="s">
        <v>19</v>
      </c>
      <c r="D794" s="4">
        <v>24</v>
      </c>
      <c r="E794" s="4">
        <v>12999</v>
      </c>
      <c r="F794" s="4">
        <v>12999</v>
      </c>
      <c r="G794" s="4" t="s">
        <v>54</v>
      </c>
      <c r="H794" s="4">
        <v>3.8</v>
      </c>
      <c r="I794" s="4">
        <f t="shared" si="73"/>
        <v>0</v>
      </c>
      <c r="J794" t="str">
        <f t="shared" si="74"/>
        <v>Discount Not Applied</v>
      </c>
      <c r="K794" s="4">
        <f t="shared" si="75"/>
        <v>0</v>
      </c>
      <c r="L794" s="5">
        <f t="shared" si="76"/>
        <v>0</v>
      </c>
      <c r="M794" s="4" t="str">
        <f t="shared" si="77"/>
        <v>Medium Ratings</v>
      </c>
      <c r="N794" s="34">
        <f t="array" ref="N794">MEDIAN(_xlfn._xlws.FILTER(Table4[Original Price],Table4[Brand-Renamed] = Table4[[#This Row],[Brand]]))</f>
        <v>55999.5</v>
      </c>
      <c r="O794" s="35">
        <f t="array" ref="O794">MEDIAN(_xlfn._xlws.FILTER(Table4[Selling Price],Table4[Brand-Renamed] =Table4[[#This Row],[Brand-Renamed]]))</f>
        <v>32494.5</v>
      </c>
    </row>
    <row r="795" spans="1:15" ht="13.8" x14ac:dyDescent="0.25">
      <c r="A795" s="6" t="s">
        <v>141</v>
      </c>
      <c r="B795" s="4" t="str">
        <f t="shared" si="72"/>
        <v>Krisons</v>
      </c>
      <c r="C795" s="6" t="s">
        <v>19</v>
      </c>
      <c r="D795" s="6">
        <v>19</v>
      </c>
      <c r="E795" s="6">
        <v>5499</v>
      </c>
      <c r="F795" s="6">
        <v>7999</v>
      </c>
      <c r="G795" s="6" t="s">
        <v>54</v>
      </c>
      <c r="H795" s="6"/>
      <c r="I795" s="6">
        <f t="shared" si="73"/>
        <v>2500</v>
      </c>
      <c r="J795">
        <f t="shared" si="74"/>
        <v>0.31253906738342291</v>
      </c>
      <c r="K795" s="6">
        <f t="shared" si="75"/>
        <v>-2500</v>
      </c>
      <c r="L795" s="7">
        <f t="shared" si="76"/>
        <v>-0.45462811420258231</v>
      </c>
      <c r="M795" s="6" t="str">
        <f t="shared" si="77"/>
        <v>Ratings Not Given</v>
      </c>
      <c r="N795" s="34">
        <f t="array" ref="N795">MEDIAN(_xlfn._xlws.FILTER(Table4[Original Price],Table4[Brand-Renamed] = Table4[[#This Row],[Brand]]))</f>
        <v>7999</v>
      </c>
      <c r="O795" s="35">
        <f t="array" ref="O795">MEDIAN(_xlfn._xlws.FILTER(Table4[Selling Price],Table4[Brand-Renamed] =Table4[[#This Row],[Brand-Renamed]]))</f>
        <v>5499</v>
      </c>
    </row>
    <row r="796" spans="1:15" ht="13.8" x14ac:dyDescent="0.25">
      <c r="A796" s="4" t="s">
        <v>141</v>
      </c>
      <c r="B796" s="4" t="str">
        <f t="shared" si="72"/>
        <v>Krisons</v>
      </c>
      <c r="C796" s="4" t="s">
        <v>19</v>
      </c>
      <c r="D796" s="4">
        <v>17</v>
      </c>
      <c r="E796" s="4">
        <v>5499</v>
      </c>
      <c r="F796" s="4">
        <v>6999</v>
      </c>
      <c r="G796" s="4" t="s">
        <v>54</v>
      </c>
      <c r="H796" s="4"/>
      <c r="I796" s="4">
        <f t="shared" si="73"/>
        <v>1500</v>
      </c>
      <c r="J796">
        <f t="shared" si="74"/>
        <v>0.2143163309044149</v>
      </c>
      <c r="K796" s="4">
        <f t="shared" si="75"/>
        <v>-1500</v>
      </c>
      <c r="L796" s="5">
        <f t="shared" si="76"/>
        <v>-0.27277686852154936</v>
      </c>
      <c r="M796" s="4" t="str">
        <f t="shared" si="77"/>
        <v>Ratings Not Given</v>
      </c>
      <c r="N796" s="34">
        <f t="array" ref="N796">MEDIAN(_xlfn._xlws.FILTER(Table4[Original Price],Table4[Brand-Renamed] = Table4[[#This Row],[Brand]]))</f>
        <v>7999</v>
      </c>
      <c r="O796" s="35">
        <f t="array" ref="O796">MEDIAN(_xlfn._xlws.FILTER(Table4[Selling Price],Table4[Brand-Renamed] =Table4[[#This Row],[Brand-Renamed]]))</f>
        <v>5499</v>
      </c>
    </row>
    <row r="797" spans="1:15" ht="13.8" x14ac:dyDescent="0.25">
      <c r="A797" s="6" t="s">
        <v>65</v>
      </c>
      <c r="B797" s="4" t="str">
        <f t="shared" si="72"/>
        <v xml:space="preserve">Lloyd </v>
      </c>
      <c r="C797" s="6" t="s">
        <v>8</v>
      </c>
      <c r="D797" s="6">
        <v>43</v>
      </c>
      <c r="E797" s="6">
        <v>34990</v>
      </c>
      <c r="F797" s="6">
        <v>48990</v>
      </c>
      <c r="G797" s="6" t="s">
        <v>60</v>
      </c>
      <c r="H797" s="6"/>
      <c r="I797" s="6">
        <f t="shared" si="73"/>
        <v>14000</v>
      </c>
      <c r="J797">
        <f t="shared" si="74"/>
        <v>0.28577260665441928</v>
      </c>
      <c r="K797" s="6">
        <f t="shared" si="75"/>
        <v>-14000</v>
      </c>
      <c r="L797" s="7">
        <f t="shared" si="76"/>
        <v>-0.40011431837667905</v>
      </c>
      <c r="M797" s="6" t="str">
        <f t="shared" si="77"/>
        <v>Ratings Not Given</v>
      </c>
      <c r="N797" s="34">
        <f t="array" ref="N797">MEDIAN(_xlfn._xlws.FILTER(Table4[Original Price],Table4[Brand-Renamed] = Table4[[#This Row],[Brand]]))</f>
        <v>44490</v>
      </c>
      <c r="O797" s="35">
        <f t="array" ref="O797">MEDIAN(_xlfn._xlws.FILTER(Table4[Selling Price],Table4[Brand-Renamed] =Table4[[#This Row],[Brand-Renamed]]))</f>
        <v>25740</v>
      </c>
    </row>
    <row r="798" spans="1:15" ht="13.8" x14ac:dyDescent="0.25">
      <c r="A798" s="4" t="s">
        <v>65</v>
      </c>
      <c r="B798" s="4" t="str">
        <f t="shared" si="72"/>
        <v xml:space="preserve">Lloyd </v>
      </c>
      <c r="C798" s="4" t="s">
        <v>32</v>
      </c>
      <c r="D798" s="4">
        <v>50</v>
      </c>
      <c r="E798" s="4">
        <v>44999</v>
      </c>
      <c r="F798" s="4">
        <v>84990</v>
      </c>
      <c r="G798" s="4" t="s">
        <v>60</v>
      </c>
      <c r="H798" s="4">
        <v>4.3</v>
      </c>
      <c r="I798" s="4">
        <f t="shared" si="73"/>
        <v>39991</v>
      </c>
      <c r="J798">
        <f t="shared" si="74"/>
        <v>0.47053771031886105</v>
      </c>
      <c r="K798" s="4">
        <f t="shared" si="75"/>
        <v>-39991</v>
      </c>
      <c r="L798" s="5">
        <f t="shared" si="76"/>
        <v>-0.88870863796973265</v>
      </c>
      <c r="M798" s="4" t="str">
        <f t="shared" si="77"/>
        <v>Medium Ratings</v>
      </c>
      <c r="N798" s="34">
        <f t="array" ref="N798">MEDIAN(_xlfn._xlws.FILTER(Table4[Original Price],Table4[Brand-Renamed] = Table4[[#This Row],[Brand]]))</f>
        <v>44490</v>
      </c>
      <c r="O798" s="35">
        <f t="array" ref="O798">MEDIAN(_xlfn._xlws.FILTER(Table4[Selling Price],Table4[Brand-Renamed] =Table4[[#This Row],[Brand-Renamed]]))</f>
        <v>25740</v>
      </c>
    </row>
    <row r="799" spans="1:15" ht="13.8" x14ac:dyDescent="0.25">
      <c r="A799" s="6" t="s">
        <v>65</v>
      </c>
      <c r="B799" s="4" t="str">
        <f t="shared" si="72"/>
        <v xml:space="preserve">Lloyd </v>
      </c>
      <c r="C799" s="6" t="s">
        <v>19</v>
      </c>
      <c r="D799" s="6">
        <v>32</v>
      </c>
      <c r="E799" s="6">
        <v>18689</v>
      </c>
      <c r="F799" s="6">
        <v>26957</v>
      </c>
      <c r="G799" s="6" t="s">
        <v>60</v>
      </c>
      <c r="H799" s="6"/>
      <c r="I799" s="6">
        <f t="shared" si="73"/>
        <v>8268</v>
      </c>
      <c r="J799">
        <f t="shared" si="74"/>
        <v>0.30671068739103013</v>
      </c>
      <c r="K799" s="6">
        <f t="shared" si="75"/>
        <v>-8268</v>
      </c>
      <c r="L799" s="7">
        <f t="shared" si="76"/>
        <v>-0.44239927229921344</v>
      </c>
      <c r="M799" s="6" t="str">
        <f t="shared" si="77"/>
        <v>Ratings Not Given</v>
      </c>
      <c r="N799" s="34">
        <f t="array" ref="N799">MEDIAN(_xlfn._xlws.FILTER(Table4[Original Price],Table4[Brand-Renamed] = Table4[[#This Row],[Brand]]))</f>
        <v>44490</v>
      </c>
      <c r="O799" s="35">
        <f t="array" ref="O799">MEDIAN(_xlfn._xlws.FILTER(Table4[Selling Price],Table4[Brand-Renamed] =Table4[[#This Row],[Brand-Renamed]]))</f>
        <v>25740</v>
      </c>
    </row>
    <row r="800" spans="1:15" ht="13.8" x14ac:dyDescent="0.25">
      <c r="A800" s="4" t="s">
        <v>65</v>
      </c>
      <c r="B800" s="4" t="str">
        <f t="shared" si="72"/>
        <v xml:space="preserve">Lloyd </v>
      </c>
      <c r="C800" s="4" t="s">
        <v>8</v>
      </c>
      <c r="D800" s="4">
        <v>39</v>
      </c>
      <c r="E800" s="4">
        <v>22990</v>
      </c>
      <c r="F800" s="4">
        <v>39990</v>
      </c>
      <c r="G800" s="4" t="s">
        <v>60</v>
      </c>
      <c r="H800" s="4">
        <v>3.8</v>
      </c>
      <c r="I800" s="4">
        <f t="shared" si="73"/>
        <v>17000</v>
      </c>
      <c r="J800">
        <f t="shared" si="74"/>
        <v>0.42510627656914229</v>
      </c>
      <c r="K800" s="4">
        <f t="shared" si="75"/>
        <v>-17000</v>
      </c>
      <c r="L800" s="5">
        <f t="shared" si="76"/>
        <v>-0.73945193562418443</v>
      </c>
      <c r="M800" s="4" t="str">
        <f t="shared" si="77"/>
        <v>Medium Ratings</v>
      </c>
      <c r="N800" s="34">
        <f t="array" ref="N800">MEDIAN(_xlfn._xlws.FILTER(Table4[Original Price],Table4[Brand-Renamed] = Table4[[#This Row],[Brand]]))</f>
        <v>44490</v>
      </c>
      <c r="O800" s="35">
        <f t="array" ref="O800">MEDIAN(_xlfn._xlws.FILTER(Table4[Selling Price],Table4[Brand-Renamed] =Table4[[#This Row],[Brand-Renamed]]))</f>
        <v>25740</v>
      </c>
    </row>
    <row r="801" spans="1:15" ht="13.8" x14ac:dyDescent="0.25">
      <c r="A801" s="6" t="s">
        <v>65</v>
      </c>
      <c r="B801" s="4" t="str">
        <f t="shared" si="72"/>
        <v xml:space="preserve">Lloyd </v>
      </c>
      <c r="C801" s="6" t="s">
        <v>8</v>
      </c>
      <c r="D801" s="6">
        <v>48</v>
      </c>
      <c r="E801" s="6">
        <v>39999</v>
      </c>
      <c r="F801" s="6">
        <v>50990</v>
      </c>
      <c r="G801" s="6" t="s">
        <v>60</v>
      </c>
      <c r="H801" s="6"/>
      <c r="I801" s="6">
        <f t="shared" si="73"/>
        <v>10991</v>
      </c>
      <c r="J801">
        <f t="shared" si="74"/>
        <v>0.21555206903314375</v>
      </c>
      <c r="K801" s="6">
        <f t="shared" si="75"/>
        <v>-10991</v>
      </c>
      <c r="L801" s="7">
        <f t="shared" si="76"/>
        <v>-0.27478186954673867</v>
      </c>
      <c r="M801" s="6" t="str">
        <f t="shared" si="77"/>
        <v>Ratings Not Given</v>
      </c>
      <c r="N801" s="34">
        <f t="array" ref="N801">MEDIAN(_xlfn._xlws.FILTER(Table4[Original Price],Table4[Brand-Renamed] = Table4[[#This Row],[Brand]]))</f>
        <v>44490</v>
      </c>
      <c r="O801" s="35">
        <f t="array" ref="O801">MEDIAN(_xlfn._xlws.FILTER(Table4[Selling Price],Table4[Brand-Renamed] =Table4[[#This Row],[Brand-Renamed]]))</f>
        <v>25740</v>
      </c>
    </row>
    <row r="802" spans="1:15" ht="13.8" x14ac:dyDescent="0.25">
      <c r="A802" s="4" t="s">
        <v>65</v>
      </c>
      <c r="B802" s="4" t="str">
        <f t="shared" si="72"/>
        <v xml:space="preserve">Lloyd </v>
      </c>
      <c r="C802" s="4" t="s">
        <v>32</v>
      </c>
      <c r="D802" s="4">
        <v>43</v>
      </c>
      <c r="E802" s="4">
        <v>33999</v>
      </c>
      <c r="F802" s="4">
        <v>69990</v>
      </c>
      <c r="G802" s="4" t="s">
        <v>60</v>
      </c>
      <c r="H802" s="4">
        <v>4.2</v>
      </c>
      <c r="I802" s="4">
        <f t="shared" si="73"/>
        <v>35991</v>
      </c>
      <c r="J802">
        <f t="shared" si="74"/>
        <v>0.51423060437205315</v>
      </c>
      <c r="K802" s="4">
        <f t="shared" si="75"/>
        <v>-35991</v>
      </c>
      <c r="L802" s="5">
        <f t="shared" si="76"/>
        <v>-1.0585899585281919</v>
      </c>
      <c r="M802" s="4" t="str">
        <f t="shared" si="77"/>
        <v>Medium Ratings</v>
      </c>
      <c r="N802" s="34">
        <f t="array" ref="N802">MEDIAN(_xlfn._xlws.FILTER(Table4[Original Price],Table4[Brand-Renamed] = Table4[[#This Row],[Brand]]))</f>
        <v>44490</v>
      </c>
      <c r="O802" s="35">
        <f t="array" ref="O802">MEDIAN(_xlfn._xlws.FILTER(Table4[Selling Price],Table4[Brand-Renamed] =Table4[[#This Row],[Brand-Renamed]]))</f>
        <v>25740</v>
      </c>
    </row>
    <row r="803" spans="1:15" ht="13.8" x14ac:dyDescent="0.25">
      <c r="A803" s="6" t="s">
        <v>65</v>
      </c>
      <c r="B803" s="4" t="str">
        <f t="shared" si="72"/>
        <v xml:space="preserve">Lloyd </v>
      </c>
      <c r="C803" s="6" t="s">
        <v>19</v>
      </c>
      <c r="D803" s="6">
        <v>32</v>
      </c>
      <c r="E803" s="6">
        <v>14990</v>
      </c>
      <c r="F803" s="6">
        <v>19990</v>
      </c>
      <c r="G803" s="6" t="s">
        <v>60</v>
      </c>
      <c r="H803" s="6">
        <v>4.3</v>
      </c>
      <c r="I803" s="6">
        <f t="shared" si="73"/>
        <v>5000</v>
      </c>
      <c r="J803">
        <f t="shared" si="74"/>
        <v>0.25012506253126565</v>
      </c>
      <c r="K803" s="6">
        <f t="shared" si="75"/>
        <v>-5000</v>
      </c>
      <c r="L803" s="7">
        <f t="shared" si="76"/>
        <v>-0.33355570380253502</v>
      </c>
      <c r="M803" s="6" t="str">
        <f t="shared" si="77"/>
        <v>Medium Ratings</v>
      </c>
      <c r="N803" s="34">
        <f t="array" ref="N803">MEDIAN(_xlfn._xlws.FILTER(Table4[Original Price],Table4[Brand-Renamed] = Table4[[#This Row],[Brand]]))</f>
        <v>44490</v>
      </c>
      <c r="O803" s="35">
        <f t="array" ref="O803">MEDIAN(_xlfn._xlws.FILTER(Table4[Selling Price],Table4[Brand-Renamed] =Table4[[#This Row],[Brand-Renamed]]))</f>
        <v>25740</v>
      </c>
    </row>
    <row r="804" spans="1:15" ht="13.8" x14ac:dyDescent="0.25">
      <c r="A804" s="4" t="s">
        <v>65</v>
      </c>
      <c r="B804" s="4" t="str">
        <f t="shared" si="72"/>
        <v xml:space="preserve">Lloyd </v>
      </c>
      <c r="C804" s="4" t="s">
        <v>32</v>
      </c>
      <c r="D804" s="4">
        <v>42</v>
      </c>
      <c r="E804" s="4">
        <v>25990</v>
      </c>
      <c r="F804" s="4">
        <v>59900</v>
      </c>
      <c r="G804" s="4" t="s">
        <v>60</v>
      </c>
      <c r="H804" s="4">
        <v>3.5</v>
      </c>
      <c r="I804" s="4">
        <f t="shared" si="73"/>
        <v>33910</v>
      </c>
      <c r="J804">
        <f t="shared" si="74"/>
        <v>0.56611018363939902</v>
      </c>
      <c r="K804" s="4">
        <f t="shared" si="75"/>
        <v>-33910</v>
      </c>
      <c r="L804" s="5">
        <f t="shared" si="76"/>
        <v>-1.3047325894574837</v>
      </c>
      <c r="M804" s="4" t="str">
        <f t="shared" si="77"/>
        <v>Bad Ratings</v>
      </c>
      <c r="N804" s="34">
        <f t="array" ref="N804">MEDIAN(_xlfn._xlws.FILTER(Table4[Original Price],Table4[Brand-Renamed] = Table4[[#This Row],[Brand]]))</f>
        <v>44490</v>
      </c>
      <c r="O804" s="35">
        <f t="array" ref="O804">MEDIAN(_xlfn._xlws.FILTER(Table4[Selling Price],Table4[Brand-Renamed] =Table4[[#This Row],[Brand-Renamed]]))</f>
        <v>25740</v>
      </c>
    </row>
    <row r="805" spans="1:15" ht="13.8" x14ac:dyDescent="0.25">
      <c r="A805" s="6" t="s">
        <v>65</v>
      </c>
      <c r="B805" s="4" t="str">
        <f t="shared" si="72"/>
        <v xml:space="preserve">Lloyd </v>
      </c>
      <c r="C805" s="6" t="s">
        <v>8</v>
      </c>
      <c r="D805" s="6">
        <v>55</v>
      </c>
      <c r="E805" s="6">
        <v>114990</v>
      </c>
      <c r="F805" s="6">
        <v>114990</v>
      </c>
      <c r="G805" s="6" t="s">
        <v>60</v>
      </c>
      <c r="H805" s="6"/>
      <c r="I805" s="6">
        <f t="shared" si="73"/>
        <v>0</v>
      </c>
      <c r="J805" t="str">
        <f t="shared" si="74"/>
        <v>Discount Not Applied</v>
      </c>
      <c r="K805" s="6">
        <f t="shared" si="75"/>
        <v>0</v>
      </c>
      <c r="L805" s="7">
        <f t="shared" si="76"/>
        <v>0</v>
      </c>
      <c r="M805" s="6" t="str">
        <f t="shared" si="77"/>
        <v>Ratings Not Given</v>
      </c>
      <c r="N805" s="34">
        <f t="array" ref="N805">MEDIAN(_xlfn._xlws.FILTER(Table4[Original Price],Table4[Brand-Renamed] = Table4[[#This Row],[Brand]]))</f>
        <v>44490</v>
      </c>
      <c r="O805" s="35">
        <f t="array" ref="O805">MEDIAN(_xlfn._xlws.FILTER(Table4[Selling Price],Table4[Brand-Renamed] =Table4[[#This Row],[Brand-Renamed]]))</f>
        <v>25740</v>
      </c>
    </row>
    <row r="806" spans="1:15" ht="13.8" x14ac:dyDescent="0.25">
      <c r="A806" s="4" t="s">
        <v>65</v>
      </c>
      <c r="B806" s="4" t="str">
        <f t="shared" si="72"/>
        <v xml:space="preserve">Lloyd </v>
      </c>
      <c r="C806" s="4" t="s">
        <v>8</v>
      </c>
      <c r="D806" s="4">
        <v>46</v>
      </c>
      <c r="E806" s="4">
        <v>55990</v>
      </c>
      <c r="F806" s="4">
        <v>55990</v>
      </c>
      <c r="G806" s="4" t="s">
        <v>60</v>
      </c>
      <c r="H806" s="4">
        <v>5</v>
      </c>
      <c r="I806" s="4">
        <f t="shared" si="73"/>
        <v>0</v>
      </c>
      <c r="J806" t="str">
        <f t="shared" si="74"/>
        <v>Discount Not Applied</v>
      </c>
      <c r="K806" s="4">
        <f t="shared" si="75"/>
        <v>0</v>
      </c>
      <c r="L806" s="5">
        <f t="shared" si="76"/>
        <v>0</v>
      </c>
      <c r="M806" s="4" t="str">
        <f t="shared" si="77"/>
        <v>Good Ratings</v>
      </c>
      <c r="N806" s="34">
        <f t="array" ref="N806">MEDIAN(_xlfn._xlws.FILTER(Table4[Original Price],Table4[Brand-Renamed] = Table4[[#This Row],[Brand]]))</f>
        <v>44490</v>
      </c>
      <c r="O806" s="35">
        <f t="array" ref="O806">MEDIAN(_xlfn._xlws.FILTER(Table4[Selling Price],Table4[Brand-Renamed] =Table4[[#This Row],[Brand-Renamed]]))</f>
        <v>25740</v>
      </c>
    </row>
    <row r="807" spans="1:15" ht="13.8" x14ac:dyDescent="0.25">
      <c r="A807" s="6" t="s">
        <v>65</v>
      </c>
      <c r="B807" s="4" t="str">
        <f t="shared" si="72"/>
        <v xml:space="preserve">Lloyd </v>
      </c>
      <c r="C807" s="6" t="s">
        <v>19</v>
      </c>
      <c r="D807" s="6">
        <v>32</v>
      </c>
      <c r="E807" s="6">
        <v>11000</v>
      </c>
      <c r="F807" s="6">
        <v>20990</v>
      </c>
      <c r="G807" s="6" t="s">
        <v>60</v>
      </c>
      <c r="H807" s="6">
        <v>3.7</v>
      </c>
      <c r="I807" s="6">
        <f t="shared" si="73"/>
        <v>9990</v>
      </c>
      <c r="J807">
        <f t="shared" si="74"/>
        <v>0.47594092424964268</v>
      </c>
      <c r="K807" s="6">
        <f t="shared" si="75"/>
        <v>-9990</v>
      </c>
      <c r="L807" s="7">
        <f t="shared" si="76"/>
        <v>-0.9081818181818182</v>
      </c>
      <c r="M807" s="6" t="str">
        <f t="shared" si="77"/>
        <v>Bad Ratings</v>
      </c>
      <c r="N807" s="34">
        <f t="array" ref="N807">MEDIAN(_xlfn._xlws.FILTER(Table4[Original Price],Table4[Brand-Renamed] = Table4[[#This Row],[Brand]]))</f>
        <v>44490</v>
      </c>
      <c r="O807" s="35">
        <f t="array" ref="O807">MEDIAN(_xlfn._xlws.FILTER(Table4[Selling Price],Table4[Brand-Renamed] =Table4[[#This Row],[Brand-Renamed]]))</f>
        <v>25740</v>
      </c>
    </row>
    <row r="808" spans="1:15" ht="13.8" x14ac:dyDescent="0.25">
      <c r="A808" s="4" t="s">
        <v>65</v>
      </c>
      <c r="B808" s="4" t="str">
        <f t="shared" si="72"/>
        <v xml:space="preserve">Lloyd </v>
      </c>
      <c r="C808" s="4" t="s">
        <v>19</v>
      </c>
      <c r="D808" s="4">
        <v>24</v>
      </c>
      <c r="E808" s="4">
        <v>8103</v>
      </c>
      <c r="F808" s="4">
        <v>15990</v>
      </c>
      <c r="G808" s="4" t="s">
        <v>60</v>
      </c>
      <c r="H808" s="4">
        <v>3.7</v>
      </c>
      <c r="I808" s="4">
        <f t="shared" si="73"/>
        <v>7887</v>
      </c>
      <c r="J808">
        <f t="shared" si="74"/>
        <v>0.49324577861163227</v>
      </c>
      <c r="K808" s="4">
        <f t="shared" si="75"/>
        <v>-7887</v>
      </c>
      <c r="L808" s="5">
        <f t="shared" si="76"/>
        <v>-0.97334320621991854</v>
      </c>
      <c r="M808" s="4" t="str">
        <f t="shared" si="77"/>
        <v>Bad Ratings</v>
      </c>
      <c r="N808" s="34">
        <f t="array" ref="N808">MEDIAN(_xlfn._xlws.FILTER(Table4[Original Price],Table4[Brand-Renamed] = Table4[[#This Row],[Brand]]))</f>
        <v>44490</v>
      </c>
      <c r="O808" s="35">
        <f t="array" ref="O808">MEDIAN(_xlfn._xlws.FILTER(Table4[Selling Price],Table4[Brand-Renamed] =Table4[[#This Row],[Brand-Renamed]]))</f>
        <v>25740</v>
      </c>
    </row>
    <row r="809" spans="1:15" ht="13.8" x14ac:dyDescent="0.25">
      <c r="A809" s="6" t="s">
        <v>65</v>
      </c>
      <c r="B809" s="4" t="str">
        <f t="shared" si="72"/>
        <v xml:space="preserve">Lloyd </v>
      </c>
      <c r="C809" s="6" t="s">
        <v>32</v>
      </c>
      <c r="D809" s="6">
        <v>55</v>
      </c>
      <c r="E809" s="6">
        <v>51999</v>
      </c>
      <c r="F809" s="6">
        <v>99990</v>
      </c>
      <c r="G809" s="6" t="s">
        <v>60</v>
      </c>
      <c r="H809" s="6">
        <v>3.7</v>
      </c>
      <c r="I809" s="6">
        <f t="shared" si="73"/>
        <v>47991</v>
      </c>
      <c r="J809">
        <f t="shared" si="74"/>
        <v>0.47995799579957998</v>
      </c>
      <c r="K809" s="6">
        <f t="shared" si="75"/>
        <v>-47991</v>
      </c>
      <c r="L809" s="7">
        <f t="shared" si="76"/>
        <v>-0.92292159464605084</v>
      </c>
      <c r="M809" s="6" t="str">
        <f t="shared" si="77"/>
        <v>Bad Ratings</v>
      </c>
      <c r="N809" s="34">
        <f t="array" ref="N809">MEDIAN(_xlfn._xlws.FILTER(Table4[Original Price],Table4[Brand-Renamed] = Table4[[#This Row],[Brand]]))</f>
        <v>44490</v>
      </c>
      <c r="O809" s="35">
        <f t="array" ref="O809">MEDIAN(_xlfn._xlws.FILTER(Table4[Selling Price],Table4[Brand-Renamed] =Table4[[#This Row],[Brand-Renamed]]))</f>
        <v>25740</v>
      </c>
    </row>
    <row r="810" spans="1:15" ht="13.8" x14ac:dyDescent="0.25">
      <c r="A810" s="4" t="s">
        <v>65</v>
      </c>
      <c r="B810" s="4" t="str">
        <f t="shared" si="72"/>
        <v xml:space="preserve">Lloyd </v>
      </c>
      <c r="C810" s="4" t="s">
        <v>19</v>
      </c>
      <c r="D810" s="4">
        <v>24</v>
      </c>
      <c r="E810" s="4">
        <v>13200</v>
      </c>
      <c r="F810" s="4">
        <v>14990</v>
      </c>
      <c r="G810" s="4" t="s">
        <v>60</v>
      </c>
      <c r="H810" s="4">
        <v>2.5</v>
      </c>
      <c r="I810" s="4">
        <f t="shared" si="73"/>
        <v>1790</v>
      </c>
      <c r="J810">
        <f t="shared" si="74"/>
        <v>0.11941294196130754</v>
      </c>
      <c r="K810" s="4">
        <f t="shared" si="75"/>
        <v>-1790</v>
      </c>
      <c r="L810" s="5">
        <f t="shared" si="76"/>
        <v>-0.13560606060606062</v>
      </c>
      <c r="M810" s="4" t="str">
        <f t="shared" si="77"/>
        <v>Bad Ratings</v>
      </c>
      <c r="N810" s="34">
        <f t="array" ref="N810">MEDIAN(_xlfn._xlws.FILTER(Table4[Original Price],Table4[Brand-Renamed] = Table4[[#This Row],[Brand]]))</f>
        <v>44490</v>
      </c>
      <c r="O810" s="35">
        <f t="array" ref="O810">MEDIAN(_xlfn._xlws.FILTER(Table4[Selling Price],Table4[Brand-Renamed] =Table4[[#This Row],[Brand-Renamed]]))</f>
        <v>25740</v>
      </c>
    </row>
    <row r="811" spans="1:15" ht="13.8" x14ac:dyDescent="0.25">
      <c r="A811" s="6" t="s">
        <v>65</v>
      </c>
      <c r="B811" s="4" t="str">
        <f t="shared" si="72"/>
        <v xml:space="preserve">Lloyd </v>
      </c>
      <c r="C811" s="6" t="s">
        <v>8</v>
      </c>
      <c r="D811" s="6">
        <v>43</v>
      </c>
      <c r="E811" s="6">
        <v>25490</v>
      </c>
      <c r="F811" s="6">
        <v>39000</v>
      </c>
      <c r="G811" s="6" t="s">
        <v>60</v>
      </c>
      <c r="H811" s="6"/>
      <c r="I811" s="6">
        <f t="shared" si="73"/>
        <v>13510</v>
      </c>
      <c r="J811">
        <f t="shared" si="74"/>
        <v>0.34641025641025641</v>
      </c>
      <c r="K811" s="6">
        <f t="shared" si="75"/>
        <v>-13510</v>
      </c>
      <c r="L811" s="7">
        <f t="shared" si="76"/>
        <v>-0.53001176932130245</v>
      </c>
      <c r="M811" s="6" t="str">
        <f t="shared" si="77"/>
        <v>Ratings Not Given</v>
      </c>
      <c r="N811" s="34">
        <f t="array" ref="N811">MEDIAN(_xlfn._xlws.FILTER(Table4[Original Price],Table4[Brand-Renamed] = Table4[[#This Row],[Brand]]))</f>
        <v>44490</v>
      </c>
      <c r="O811" s="35">
        <f t="array" ref="O811">MEDIAN(_xlfn._xlws.FILTER(Table4[Selling Price],Table4[Brand-Renamed] =Table4[[#This Row],[Brand-Renamed]]))</f>
        <v>25740</v>
      </c>
    </row>
    <row r="812" spans="1:15" ht="13.8" x14ac:dyDescent="0.25">
      <c r="A812" s="4" t="s">
        <v>131</v>
      </c>
      <c r="B812" s="4" t="str">
        <f t="shared" si="72"/>
        <v xml:space="preserve">Lumx </v>
      </c>
      <c r="C812" s="4" t="s">
        <v>19</v>
      </c>
      <c r="D812" s="4">
        <v>24</v>
      </c>
      <c r="E812" s="4">
        <v>7290</v>
      </c>
      <c r="F812" s="4">
        <v>17900</v>
      </c>
      <c r="G812" s="4" t="s">
        <v>54</v>
      </c>
      <c r="H812" s="4">
        <v>4.3</v>
      </c>
      <c r="I812" s="4">
        <f t="shared" si="73"/>
        <v>10610</v>
      </c>
      <c r="J812">
        <f t="shared" si="74"/>
        <v>0.59273743016759772</v>
      </c>
      <c r="K812" s="4">
        <f t="shared" si="75"/>
        <v>-10610</v>
      </c>
      <c r="L812" s="5">
        <f t="shared" si="76"/>
        <v>-1.4554183813443073</v>
      </c>
      <c r="M812" s="4" t="str">
        <f t="shared" si="77"/>
        <v>Medium Ratings</v>
      </c>
      <c r="N812" s="34">
        <f t="array" ref="N812">MEDIAN(_xlfn._xlws.FILTER(Table4[Original Price],Table4[Brand-Renamed] = Table4[[#This Row],[Brand]]))</f>
        <v>28445</v>
      </c>
      <c r="O812" s="35">
        <f t="array" ref="O812">MEDIAN(_xlfn._xlws.FILTER(Table4[Selling Price],Table4[Brand-Renamed] =Table4[[#This Row],[Brand-Renamed]]))</f>
        <v>16990</v>
      </c>
    </row>
    <row r="813" spans="1:15" ht="13.8" x14ac:dyDescent="0.25">
      <c r="A813" s="6" t="s">
        <v>131</v>
      </c>
      <c r="B813" s="4" t="str">
        <f t="shared" si="72"/>
        <v xml:space="preserve">Lumx </v>
      </c>
      <c r="C813" s="6" t="s">
        <v>19</v>
      </c>
      <c r="D813" s="6">
        <v>40</v>
      </c>
      <c r="E813" s="6">
        <v>29990</v>
      </c>
      <c r="F813" s="6">
        <v>29990</v>
      </c>
      <c r="G813" s="6" t="s">
        <v>54</v>
      </c>
      <c r="H813" s="6"/>
      <c r="I813" s="6">
        <f t="shared" si="73"/>
        <v>0</v>
      </c>
      <c r="J813" t="str">
        <f t="shared" si="74"/>
        <v>Discount Not Applied</v>
      </c>
      <c r="K813" s="6">
        <f t="shared" si="75"/>
        <v>0</v>
      </c>
      <c r="L813" s="7">
        <f t="shared" si="76"/>
        <v>0</v>
      </c>
      <c r="M813" s="6" t="str">
        <f t="shared" si="77"/>
        <v>Ratings Not Given</v>
      </c>
      <c r="N813" s="34">
        <f t="array" ref="N813">MEDIAN(_xlfn._xlws.FILTER(Table4[Original Price],Table4[Brand-Renamed] = Table4[[#This Row],[Brand]]))</f>
        <v>28445</v>
      </c>
      <c r="O813" s="35">
        <f t="array" ref="O813">MEDIAN(_xlfn._xlws.FILTER(Table4[Selling Price],Table4[Brand-Renamed] =Table4[[#This Row],[Brand-Renamed]]))</f>
        <v>16990</v>
      </c>
    </row>
    <row r="814" spans="1:15" ht="13.8" x14ac:dyDescent="0.25">
      <c r="A814" s="4" t="s">
        <v>131</v>
      </c>
      <c r="B814" s="4" t="str">
        <f t="shared" si="72"/>
        <v xml:space="preserve">Lumx </v>
      </c>
      <c r="C814" s="4" t="s">
        <v>32</v>
      </c>
      <c r="D814" s="4">
        <v>55</v>
      </c>
      <c r="E814" s="4">
        <v>65900</v>
      </c>
      <c r="F814" s="4">
        <v>65900</v>
      </c>
      <c r="G814" s="4" t="s">
        <v>54</v>
      </c>
      <c r="H814" s="4"/>
      <c r="I814" s="4">
        <f t="shared" si="73"/>
        <v>0</v>
      </c>
      <c r="J814" t="str">
        <f t="shared" si="74"/>
        <v>Discount Not Applied</v>
      </c>
      <c r="K814" s="4">
        <f t="shared" si="75"/>
        <v>0</v>
      </c>
      <c r="L814" s="5">
        <f t="shared" si="76"/>
        <v>0</v>
      </c>
      <c r="M814" s="4" t="str">
        <f t="shared" si="77"/>
        <v>Ratings Not Given</v>
      </c>
      <c r="N814" s="34">
        <f t="array" ref="N814">MEDIAN(_xlfn._xlws.FILTER(Table4[Original Price],Table4[Brand-Renamed] = Table4[[#This Row],[Brand]]))</f>
        <v>28445</v>
      </c>
      <c r="O814" s="35">
        <f t="array" ref="O814">MEDIAN(_xlfn._xlws.FILTER(Table4[Selling Price],Table4[Brand-Renamed] =Table4[[#This Row],[Brand-Renamed]]))</f>
        <v>16990</v>
      </c>
    </row>
    <row r="815" spans="1:15" ht="13.8" x14ac:dyDescent="0.25">
      <c r="A815" s="6" t="s">
        <v>123</v>
      </c>
      <c r="B815" s="4" t="str">
        <f t="shared" si="72"/>
        <v>Marq By Flipkart</v>
      </c>
      <c r="C815" s="6" t="s">
        <v>19</v>
      </c>
      <c r="D815" s="6">
        <v>24</v>
      </c>
      <c r="E815" s="6">
        <v>7499</v>
      </c>
      <c r="F815" s="6">
        <v>14999</v>
      </c>
      <c r="G815" s="6"/>
      <c r="H815" s="6">
        <v>4.2</v>
      </c>
      <c r="I815" s="6">
        <f t="shared" si="73"/>
        <v>7500</v>
      </c>
      <c r="J815">
        <f t="shared" si="74"/>
        <v>0.50003333555570373</v>
      </c>
      <c r="K815" s="6">
        <f t="shared" si="75"/>
        <v>-7500</v>
      </c>
      <c r="L815" s="7">
        <f t="shared" si="76"/>
        <v>-1.0001333511134818</v>
      </c>
      <c r="M815" s="6" t="str">
        <f t="shared" si="77"/>
        <v>Medium Ratings</v>
      </c>
      <c r="N815" s="34">
        <f t="array" ref="N815">MEDIAN(_xlfn._xlws.FILTER(Table4[Original Price],Table4[Brand-Renamed] = Table4[[#This Row],[Brand]]))</f>
        <v>17499</v>
      </c>
      <c r="O815" s="35">
        <f t="array" ref="O815">MEDIAN(_xlfn._xlws.FILTER(Table4[Selling Price],Table4[Brand-Renamed] =Table4[[#This Row],[Brand-Renamed]]))</f>
        <v>10249</v>
      </c>
    </row>
    <row r="816" spans="1:15" ht="13.8" x14ac:dyDescent="0.25">
      <c r="A816" s="4" t="s">
        <v>123</v>
      </c>
      <c r="B816" s="4" t="str">
        <f t="shared" si="72"/>
        <v>Marq By Flipkart</v>
      </c>
      <c r="C816" s="4" t="s">
        <v>8</v>
      </c>
      <c r="D816" s="4">
        <v>24</v>
      </c>
      <c r="E816" s="4">
        <v>6999</v>
      </c>
      <c r="F816" s="4">
        <v>11499</v>
      </c>
      <c r="G816" s="4"/>
      <c r="H816" s="4">
        <v>4.3</v>
      </c>
      <c r="I816" s="4">
        <f t="shared" si="73"/>
        <v>4500</v>
      </c>
      <c r="J816">
        <f t="shared" si="74"/>
        <v>0.39133837725019566</v>
      </c>
      <c r="K816" s="4">
        <f t="shared" si="75"/>
        <v>-4500</v>
      </c>
      <c r="L816" s="5">
        <f t="shared" si="76"/>
        <v>-0.64294899271324479</v>
      </c>
      <c r="M816" s="4" t="str">
        <f t="shared" si="77"/>
        <v>Medium Ratings</v>
      </c>
      <c r="N816" s="34">
        <f t="array" ref="N816">MEDIAN(_xlfn._xlws.FILTER(Table4[Original Price],Table4[Brand-Renamed] = Table4[[#This Row],[Brand]]))</f>
        <v>17499</v>
      </c>
      <c r="O816" s="35">
        <f t="array" ref="O816">MEDIAN(_xlfn._xlws.FILTER(Table4[Selling Price],Table4[Brand-Renamed] =Table4[[#This Row],[Brand-Renamed]]))</f>
        <v>10249</v>
      </c>
    </row>
    <row r="817" spans="1:15" ht="13.8" x14ac:dyDescent="0.25">
      <c r="A817" s="6" t="s">
        <v>123</v>
      </c>
      <c r="B817" s="4" t="str">
        <f t="shared" si="72"/>
        <v>Marq By Flipkart</v>
      </c>
      <c r="C817" s="6" t="s">
        <v>8</v>
      </c>
      <c r="D817" s="6">
        <v>32</v>
      </c>
      <c r="E817" s="6">
        <v>9499</v>
      </c>
      <c r="F817" s="6">
        <v>16499</v>
      </c>
      <c r="G817" s="6"/>
      <c r="H817" s="6">
        <v>4.3</v>
      </c>
      <c r="I817" s="6">
        <f t="shared" si="73"/>
        <v>7000</v>
      </c>
      <c r="J817">
        <f t="shared" si="74"/>
        <v>0.42426813746287656</v>
      </c>
      <c r="K817" s="6">
        <f t="shared" si="75"/>
        <v>-7000</v>
      </c>
      <c r="L817" s="7">
        <f t="shared" si="76"/>
        <v>-0.73691967575534267</v>
      </c>
      <c r="M817" s="6" t="str">
        <f t="shared" si="77"/>
        <v>Medium Ratings</v>
      </c>
      <c r="N817" s="34">
        <f t="array" ref="N817">MEDIAN(_xlfn._xlws.FILTER(Table4[Original Price],Table4[Brand-Renamed] = Table4[[#This Row],[Brand]]))</f>
        <v>17499</v>
      </c>
      <c r="O817" s="35">
        <f t="array" ref="O817">MEDIAN(_xlfn._xlws.FILTER(Table4[Selling Price],Table4[Brand-Renamed] =Table4[[#This Row],[Brand-Renamed]]))</f>
        <v>10249</v>
      </c>
    </row>
    <row r="818" spans="1:15" ht="13.8" x14ac:dyDescent="0.25">
      <c r="A818" s="4" t="s">
        <v>123</v>
      </c>
      <c r="B818" s="4" t="str">
        <f t="shared" si="72"/>
        <v>Marq By Flipkart</v>
      </c>
      <c r="C818" s="4" t="s">
        <v>19</v>
      </c>
      <c r="D818" s="4">
        <v>32</v>
      </c>
      <c r="E818" s="4">
        <v>13499</v>
      </c>
      <c r="F818" s="4">
        <v>15499</v>
      </c>
      <c r="G818" s="4" t="s">
        <v>54</v>
      </c>
      <c r="H818" s="4">
        <v>4.0999999999999996</v>
      </c>
      <c r="I818" s="4">
        <f t="shared" si="73"/>
        <v>2000</v>
      </c>
      <c r="J818">
        <f t="shared" si="74"/>
        <v>0.12904058326343634</v>
      </c>
      <c r="K818" s="4">
        <f t="shared" si="75"/>
        <v>-2000</v>
      </c>
      <c r="L818" s="5">
        <f t="shared" si="76"/>
        <v>-0.14815912289799243</v>
      </c>
      <c r="M818" s="4" t="str">
        <f t="shared" si="77"/>
        <v>Medium Ratings</v>
      </c>
      <c r="N818" s="34">
        <f t="array" ref="N818">MEDIAN(_xlfn._xlws.FILTER(Table4[Original Price],Table4[Brand-Renamed] = Table4[[#This Row],[Brand]]))</f>
        <v>17499</v>
      </c>
      <c r="O818" s="35">
        <f t="array" ref="O818">MEDIAN(_xlfn._xlws.FILTER(Table4[Selling Price],Table4[Brand-Renamed] =Table4[[#This Row],[Brand-Renamed]]))</f>
        <v>10249</v>
      </c>
    </row>
    <row r="819" spans="1:15" ht="13.8" x14ac:dyDescent="0.25">
      <c r="A819" s="6" t="s">
        <v>123</v>
      </c>
      <c r="B819" s="4" t="str">
        <f t="shared" si="72"/>
        <v>Marq By Flipkart</v>
      </c>
      <c r="C819" s="6" t="s">
        <v>8</v>
      </c>
      <c r="D819" s="6">
        <v>40</v>
      </c>
      <c r="E819" s="6">
        <v>18999</v>
      </c>
      <c r="F819" s="6">
        <v>29499</v>
      </c>
      <c r="G819" s="6" t="s">
        <v>60</v>
      </c>
      <c r="H819" s="6">
        <v>4.3</v>
      </c>
      <c r="I819" s="6">
        <f t="shared" si="73"/>
        <v>10500</v>
      </c>
      <c r="J819">
        <f t="shared" si="74"/>
        <v>0.3559442692972643</v>
      </c>
      <c r="K819" s="6">
        <f t="shared" si="75"/>
        <v>-10500</v>
      </c>
      <c r="L819" s="7">
        <f t="shared" si="76"/>
        <v>-0.55266066635086053</v>
      </c>
      <c r="M819" s="6" t="str">
        <f t="shared" si="77"/>
        <v>Medium Ratings</v>
      </c>
      <c r="N819" s="34">
        <f t="array" ref="N819">MEDIAN(_xlfn._xlws.FILTER(Table4[Original Price],Table4[Brand-Renamed] = Table4[[#This Row],[Brand]]))</f>
        <v>17499</v>
      </c>
      <c r="O819" s="35">
        <f t="array" ref="O819">MEDIAN(_xlfn._xlws.FILTER(Table4[Selling Price],Table4[Brand-Renamed] =Table4[[#This Row],[Brand-Renamed]]))</f>
        <v>10249</v>
      </c>
    </row>
    <row r="820" spans="1:15" ht="13.8" x14ac:dyDescent="0.25">
      <c r="A820" s="4" t="s">
        <v>123</v>
      </c>
      <c r="B820" s="4" t="str">
        <f t="shared" si="72"/>
        <v>Marq By Flipkart</v>
      </c>
      <c r="C820" s="4" t="s">
        <v>19</v>
      </c>
      <c r="D820" s="4">
        <v>32</v>
      </c>
      <c r="E820" s="4">
        <v>10499</v>
      </c>
      <c r="F820" s="4">
        <v>18499</v>
      </c>
      <c r="G820" s="4" t="s">
        <v>60</v>
      </c>
      <c r="H820" s="4">
        <v>4.3</v>
      </c>
      <c r="I820" s="4">
        <f t="shared" si="73"/>
        <v>8000</v>
      </c>
      <c r="J820">
        <f t="shared" si="74"/>
        <v>0.43245580842207687</v>
      </c>
      <c r="K820" s="4">
        <f t="shared" si="75"/>
        <v>-8000</v>
      </c>
      <c r="L820" s="5">
        <f t="shared" si="76"/>
        <v>-0.76197733117439759</v>
      </c>
      <c r="M820" s="4" t="str">
        <f t="shared" si="77"/>
        <v>Medium Ratings</v>
      </c>
      <c r="N820" s="34">
        <f t="array" ref="N820">MEDIAN(_xlfn._xlws.FILTER(Table4[Original Price],Table4[Brand-Renamed] = Table4[[#This Row],[Brand]]))</f>
        <v>17499</v>
      </c>
      <c r="O820" s="35">
        <f t="array" ref="O820">MEDIAN(_xlfn._xlws.FILTER(Table4[Selling Price],Table4[Brand-Renamed] =Table4[[#This Row],[Brand-Renamed]]))</f>
        <v>10249</v>
      </c>
    </row>
    <row r="821" spans="1:15" ht="13.8" x14ac:dyDescent="0.25">
      <c r="A821" s="6" t="s">
        <v>21</v>
      </c>
      <c r="B821" s="4" t="str">
        <f t="shared" si="72"/>
        <v>Micromax</v>
      </c>
      <c r="C821" s="6" t="s">
        <v>32</v>
      </c>
      <c r="D821" s="6">
        <v>43</v>
      </c>
      <c r="E821" s="6">
        <v>91990</v>
      </c>
      <c r="F821" s="6">
        <v>91990</v>
      </c>
      <c r="G821" s="6" t="s">
        <v>54</v>
      </c>
      <c r="H821" s="6">
        <v>4</v>
      </c>
      <c r="I821" s="6">
        <f t="shared" si="73"/>
        <v>0</v>
      </c>
      <c r="J821" t="str">
        <f t="shared" si="74"/>
        <v>Discount Not Applied</v>
      </c>
      <c r="K821" s="6">
        <f t="shared" si="75"/>
        <v>0</v>
      </c>
      <c r="L821" s="7">
        <f t="shared" si="76"/>
        <v>0</v>
      </c>
      <c r="M821" s="6" t="str">
        <f t="shared" si="77"/>
        <v>Medium Ratings</v>
      </c>
      <c r="N821" s="34">
        <f t="array" ref="N821">MEDIAN(_xlfn._xlws.FILTER(Table4[Original Price],Table4[Brand-Renamed] = Table4[[#This Row],[Brand]]))</f>
        <v>24990</v>
      </c>
      <c r="O821" s="35">
        <f t="array" ref="O821">MEDIAN(_xlfn._xlws.FILTER(Table4[Selling Price],Table4[Brand-Renamed] =Table4[[#This Row],[Brand-Renamed]]))</f>
        <v>16825</v>
      </c>
    </row>
    <row r="822" spans="1:15" ht="13.8" x14ac:dyDescent="0.25">
      <c r="A822" s="4" t="s">
        <v>21</v>
      </c>
      <c r="B822" s="4" t="str">
        <f t="shared" si="72"/>
        <v>Micromax</v>
      </c>
      <c r="C822" s="4" t="s">
        <v>8</v>
      </c>
      <c r="D822" s="4">
        <v>40</v>
      </c>
      <c r="E822" s="4">
        <v>29990</v>
      </c>
      <c r="F822" s="4">
        <v>29990</v>
      </c>
      <c r="G822" s="4" t="s">
        <v>54</v>
      </c>
      <c r="H822" s="4">
        <v>4</v>
      </c>
      <c r="I822" s="4">
        <f t="shared" si="73"/>
        <v>0</v>
      </c>
      <c r="J822" t="str">
        <f t="shared" si="74"/>
        <v>Discount Not Applied</v>
      </c>
      <c r="K822" s="4">
        <f t="shared" si="75"/>
        <v>0</v>
      </c>
      <c r="L822" s="5">
        <f t="shared" si="76"/>
        <v>0</v>
      </c>
      <c r="M822" s="4" t="str">
        <f t="shared" si="77"/>
        <v>Medium Ratings</v>
      </c>
      <c r="N822" s="34">
        <f t="array" ref="N822">MEDIAN(_xlfn._xlws.FILTER(Table4[Original Price],Table4[Brand-Renamed] = Table4[[#This Row],[Brand]]))</f>
        <v>24990</v>
      </c>
      <c r="O822" s="35">
        <f t="array" ref="O822">MEDIAN(_xlfn._xlws.FILTER(Table4[Selling Price],Table4[Brand-Renamed] =Table4[[#This Row],[Brand-Renamed]]))</f>
        <v>16825</v>
      </c>
    </row>
    <row r="823" spans="1:15" ht="13.8" x14ac:dyDescent="0.25">
      <c r="A823" s="6" t="s">
        <v>21</v>
      </c>
      <c r="B823" s="4" t="str">
        <f t="shared" si="72"/>
        <v>Micromax</v>
      </c>
      <c r="C823" s="6" t="s">
        <v>8</v>
      </c>
      <c r="D823" s="6">
        <v>49</v>
      </c>
      <c r="E823" s="6">
        <v>65990</v>
      </c>
      <c r="F823" s="6">
        <v>65990</v>
      </c>
      <c r="G823" s="6" t="s">
        <v>54</v>
      </c>
      <c r="H823" s="6">
        <v>4.4000000000000004</v>
      </c>
      <c r="I823" s="6">
        <f t="shared" si="73"/>
        <v>0</v>
      </c>
      <c r="J823" t="str">
        <f t="shared" si="74"/>
        <v>Discount Not Applied</v>
      </c>
      <c r="K823" s="6">
        <f t="shared" si="75"/>
        <v>0</v>
      </c>
      <c r="L823" s="7">
        <f t="shared" si="76"/>
        <v>0</v>
      </c>
      <c r="M823" s="6" t="str">
        <f t="shared" si="77"/>
        <v>Medium Ratings</v>
      </c>
      <c r="N823" s="34">
        <f t="array" ref="N823">MEDIAN(_xlfn._xlws.FILTER(Table4[Original Price],Table4[Brand-Renamed] = Table4[[#This Row],[Brand]]))</f>
        <v>24990</v>
      </c>
      <c r="O823" s="35">
        <f t="array" ref="O823">MEDIAN(_xlfn._xlws.FILTER(Table4[Selling Price],Table4[Brand-Renamed] =Table4[[#This Row],[Brand-Renamed]]))</f>
        <v>16825</v>
      </c>
    </row>
    <row r="824" spans="1:15" ht="13.8" x14ac:dyDescent="0.25">
      <c r="A824" s="4" t="s">
        <v>21</v>
      </c>
      <c r="B824" s="4" t="str">
        <f t="shared" si="72"/>
        <v>Micromax</v>
      </c>
      <c r="C824" s="4" t="s">
        <v>8</v>
      </c>
      <c r="D824" s="4">
        <v>50</v>
      </c>
      <c r="E824" s="4">
        <v>66990</v>
      </c>
      <c r="F824" s="4">
        <v>66990</v>
      </c>
      <c r="G824" s="4" t="s">
        <v>54</v>
      </c>
      <c r="H824" s="4">
        <v>4.3</v>
      </c>
      <c r="I824" s="4">
        <f t="shared" si="73"/>
        <v>0</v>
      </c>
      <c r="J824" t="str">
        <f t="shared" si="74"/>
        <v>Discount Not Applied</v>
      </c>
      <c r="K824" s="4">
        <f t="shared" si="75"/>
        <v>0</v>
      </c>
      <c r="L824" s="5">
        <f t="shared" si="76"/>
        <v>0</v>
      </c>
      <c r="M824" s="4" t="str">
        <f t="shared" si="77"/>
        <v>Medium Ratings</v>
      </c>
      <c r="N824" s="34">
        <f t="array" ref="N824">MEDIAN(_xlfn._xlws.FILTER(Table4[Original Price],Table4[Brand-Renamed] = Table4[[#This Row],[Brand]]))</f>
        <v>24990</v>
      </c>
      <c r="O824" s="35">
        <f t="array" ref="O824">MEDIAN(_xlfn._xlws.FILTER(Table4[Selling Price],Table4[Brand-Renamed] =Table4[[#This Row],[Brand-Renamed]]))</f>
        <v>16825</v>
      </c>
    </row>
    <row r="825" spans="1:15" ht="13.8" x14ac:dyDescent="0.25">
      <c r="A825" s="6" t="s">
        <v>21</v>
      </c>
      <c r="B825" s="4" t="str">
        <f t="shared" si="72"/>
        <v>Micromax</v>
      </c>
      <c r="C825" s="6" t="s">
        <v>8</v>
      </c>
      <c r="D825" s="6">
        <v>55</v>
      </c>
      <c r="E825" s="6">
        <v>71990</v>
      </c>
      <c r="F825" s="6">
        <v>71990</v>
      </c>
      <c r="G825" s="6" t="s">
        <v>54</v>
      </c>
      <c r="H825" s="6">
        <v>4.2</v>
      </c>
      <c r="I825" s="6">
        <f t="shared" si="73"/>
        <v>0</v>
      </c>
      <c r="J825" t="str">
        <f t="shared" si="74"/>
        <v>Discount Not Applied</v>
      </c>
      <c r="K825" s="6">
        <f t="shared" si="75"/>
        <v>0</v>
      </c>
      <c r="L825" s="7">
        <f t="shared" si="76"/>
        <v>0</v>
      </c>
      <c r="M825" s="6" t="str">
        <f t="shared" si="77"/>
        <v>Medium Ratings</v>
      </c>
      <c r="N825" s="34">
        <f t="array" ref="N825">MEDIAN(_xlfn._xlws.FILTER(Table4[Original Price],Table4[Brand-Renamed] = Table4[[#This Row],[Brand]]))</f>
        <v>24990</v>
      </c>
      <c r="O825" s="35">
        <f t="array" ref="O825">MEDIAN(_xlfn._xlws.FILTER(Table4[Selling Price],Table4[Brand-Renamed] =Table4[[#This Row],[Brand-Renamed]]))</f>
        <v>16825</v>
      </c>
    </row>
    <row r="826" spans="1:15" ht="13.8" x14ac:dyDescent="0.25">
      <c r="A826" s="4" t="s">
        <v>21</v>
      </c>
      <c r="B826" s="4" t="str">
        <f t="shared" si="72"/>
        <v>Micromax</v>
      </c>
      <c r="C826" s="4" t="s">
        <v>19</v>
      </c>
      <c r="D826" s="4">
        <v>24</v>
      </c>
      <c r="E826" s="4">
        <v>11999</v>
      </c>
      <c r="F826" s="4">
        <v>13490</v>
      </c>
      <c r="G826" s="4" t="s">
        <v>54</v>
      </c>
      <c r="H826" s="4">
        <v>3.9</v>
      </c>
      <c r="I826" s="4">
        <f t="shared" si="73"/>
        <v>1491</v>
      </c>
      <c r="J826">
        <f t="shared" si="74"/>
        <v>0.11052631578947368</v>
      </c>
      <c r="K826" s="4">
        <f t="shared" si="75"/>
        <v>-1491</v>
      </c>
      <c r="L826" s="5">
        <f t="shared" si="76"/>
        <v>-0.1242603550295858</v>
      </c>
      <c r="M826" s="4" t="str">
        <f t="shared" si="77"/>
        <v>Medium Ratings</v>
      </c>
      <c r="N826" s="34">
        <f t="array" ref="N826">MEDIAN(_xlfn._xlws.FILTER(Table4[Original Price],Table4[Brand-Renamed] = Table4[[#This Row],[Brand]]))</f>
        <v>24990</v>
      </c>
      <c r="O826" s="35">
        <f t="array" ref="O826">MEDIAN(_xlfn._xlws.FILTER(Table4[Selling Price],Table4[Brand-Renamed] =Table4[[#This Row],[Brand-Renamed]]))</f>
        <v>16825</v>
      </c>
    </row>
    <row r="827" spans="1:15" ht="13.8" x14ac:dyDescent="0.25">
      <c r="A827" s="6" t="s">
        <v>21</v>
      </c>
      <c r="B827" s="4" t="str">
        <f t="shared" si="72"/>
        <v>Micromax</v>
      </c>
      <c r="C827" s="6" t="s">
        <v>8</v>
      </c>
      <c r="D827" s="6">
        <v>24</v>
      </c>
      <c r="E827" s="6">
        <v>6179</v>
      </c>
      <c r="F827" s="6">
        <v>13390</v>
      </c>
      <c r="G827" s="6" t="s">
        <v>54</v>
      </c>
      <c r="H827" s="6">
        <v>4.2</v>
      </c>
      <c r="I827" s="6">
        <f t="shared" si="73"/>
        <v>7211</v>
      </c>
      <c r="J827">
        <f t="shared" si="74"/>
        <v>0.53853622106049293</v>
      </c>
      <c r="K827" s="6">
        <f t="shared" si="75"/>
        <v>-7211</v>
      </c>
      <c r="L827" s="7">
        <f t="shared" si="76"/>
        <v>-1.1670173167179154</v>
      </c>
      <c r="M827" s="6" t="str">
        <f t="shared" si="77"/>
        <v>Medium Ratings</v>
      </c>
      <c r="N827" s="34">
        <f t="array" ref="N827">MEDIAN(_xlfn._xlws.FILTER(Table4[Original Price],Table4[Brand-Renamed] = Table4[[#This Row],[Brand]]))</f>
        <v>24990</v>
      </c>
      <c r="O827" s="35">
        <f t="array" ref="O827">MEDIAN(_xlfn._xlws.FILTER(Table4[Selling Price],Table4[Brand-Renamed] =Table4[[#This Row],[Brand-Renamed]]))</f>
        <v>16825</v>
      </c>
    </row>
    <row r="828" spans="1:15" ht="13.8" x14ac:dyDescent="0.25">
      <c r="A828" s="4" t="s">
        <v>21</v>
      </c>
      <c r="B828" s="4" t="str">
        <f t="shared" si="72"/>
        <v>Micromax</v>
      </c>
      <c r="C828" s="4" t="s">
        <v>19</v>
      </c>
      <c r="D828" s="4">
        <v>20</v>
      </c>
      <c r="E828" s="4">
        <v>5364</v>
      </c>
      <c r="F828" s="4">
        <v>10990</v>
      </c>
      <c r="G828" s="4" t="s">
        <v>54</v>
      </c>
      <c r="H828" s="4">
        <v>4.0999999999999996</v>
      </c>
      <c r="I828" s="4">
        <f t="shared" si="73"/>
        <v>5626</v>
      </c>
      <c r="J828">
        <f t="shared" si="74"/>
        <v>0.51191992720655144</v>
      </c>
      <c r="K828" s="4">
        <f t="shared" si="75"/>
        <v>-5626</v>
      </c>
      <c r="L828" s="5">
        <f t="shared" si="76"/>
        <v>-1.0488441461595823</v>
      </c>
      <c r="M828" s="4" t="str">
        <f t="shared" si="77"/>
        <v>Medium Ratings</v>
      </c>
      <c r="N828" s="34">
        <f t="array" ref="N828">MEDIAN(_xlfn._xlws.FILTER(Table4[Original Price],Table4[Brand-Renamed] = Table4[[#This Row],[Brand]]))</f>
        <v>24990</v>
      </c>
      <c r="O828" s="35">
        <f t="array" ref="O828">MEDIAN(_xlfn._xlws.FILTER(Table4[Selling Price],Table4[Brand-Renamed] =Table4[[#This Row],[Brand-Renamed]]))</f>
        <v>16825</v>
      </c>
    </row>
    <row r="829" spans="1:15" ht="13.8" x14ac:dyDescent="0.25">
      <c r="A829" s="6" t="s">
        <v>128</v>
      </c>
      <c r="B829" s="4" t="str">
        <f t="shared" si="72"/>
        <v>Motorola</v>
      </c>
      <c r="C829" s="6" t="s">
        <v>32</v>
      </c>
      <c r="D829" s="6">
        <v>55</v>
      </c>
      <c r="E829" s="6">
        <v>42999</v>
      </c>
      <c r="F829" s="6">
        <v>61999</v>
      </c>
      <c r="G829" s="6" t="s">
        <v>54</v>
      </c>
      <c r="H829" s="6">
        <v>4.4000000000000004</v>
      </c>
      <c r="I829" s="6">
        <f t="shared" si="73"/>
        <v>19000</v>
      </c>
      <c r="J829">
        <f t="shared" si="74"/>
        <v>0.3064565557508992</v>
      </c>
      <c r="K829" s="6">
        <f t="shared" si="75"/>
        <v>-19000</v>
      </c>
      <c r="L829" s="7">
        <f t="shared" si="76"/>
        <v>-0.44187074118002745</v>
      </c>
      <c r="M829" s="6" t="str">
        <f t="shared" si="77"/>
        <v>Medium Ratings</v>
      </c>
      <c r="N829" s="34">
        <f t="array" ref="N829">MEDIAN(_xlfn._xlws.FILTER(Table4[Original Price],Table4[Brand-Renamed] = Table4[[#This Row],[Brand]]))</f>
        <v>54050</v>
      </c>
      <c r="O829" s="35">
        <f t="array" ref="O829">MEDIAN(_xlfn._xlws.FILTER(Table4[Selling Price],Table4[Brand-Renamed] =Table4[[#This Row],[Brand-Renamed]]))</f>
        <v>35999</v>
      </c>
    </row>
    <row r="830" spans="1:15" ht="13.8" x14ac:dyDescent="0.25">
      <c r="A830" s="4" t="s">
        <v>140</v>
      </c>
      <c r="B830" s="4" t="str">
        <f t="shared" si="72"/>
        <v xml:space="preserve">Murphy </v>
      </c>
      <c r="C830" s="4" t="s">
        <v>8</v>
      </c>
      <c r="D830" s="4">
        <v>32</v>
      </c>
      <c r="E830" s="4">
        <v>13990</v>
      </c>
      <c r="F830" s="4">
        <v>14999</v>
      </c>
      <c r="G830" s="4"/>
      <c r="H830" s="4">
        <v>3.7</v>
      </c>
      <c r="I830" s="4">
        <f t="shared" si="73"/>
        <v>1009</v>
      </c>
      <c r="J830">
        <f t="shared" si="74"/>
        <v>6.7271151410094002E-2</v>
      </c>
      <c r="K830" s="4">
        <f t="shared" si="75"/>
        <v>-1009</v>
      </c>
      <c r="L830" s="5">
        <f t="shared" si="76"/>
        <v>-7.2122944960686206E-2</v>
      </c>
      <c r="M830" s="4" t="str">
        <f t="shared" si="77"/>
        <v>Bad Ratings</v>
      </c>
      <c r="N830" s="34">
        <f t="array" ref="N830">MEDIAN(_xlfn._xlws.FILTER(Table4[Original Price],Table4[Brand-Renamed] = Table4[[#This Row],[Brand]]))</f>
        <v>15994.5</v>
      </c>
      <c r="O830" s="35">
        <f t="array" ref="O830">MEDIAN(_xlfn._xlws.FILTER(Table4[Selling Price],Table4[Brand-Renamed] =Table4[[#This Row],[Brand-Renamed]]))</f>
        <v>13490</v>
      </c>
    </row>
    <row r="831" spans="1:15" ht="13.8" x14ac:dyDescent="0.25">
      <c r="A831" s="6" t="s">
        <v>140</v>
      </c>
      <c r="B831" s="4" t="str">
        <f t="shared" si="72"/>
        <v xml:space="preserve">Murphy </v>
      </c>
      <c r="C831" s="6" t="s">
        <v>19</v>
      </c>
      <c r="D831" s="6">
        <v>24</v>
      </c>
      <c r="E831" s="6">
        <v>7490</v>
      </c>
      <c r="F831" s="6">
        <v>12990</v>
      </c>
      <c r="G831" s="6"/>
      <c r="H831" s="6">
        <v>3</v>
      </c>
      <c r="I831" s="6">
        <f t="shared" si="73"/>
        <v>5500</v>
      </c>
      <c r="J831">
        <f t="shared" si="74"/>
        <v>0.42340261739799845</v>
      </c>
      <c r="K831" s="6">
        <f t="shared" si="75"/>
        <v>-5500</v>
      </c>
      <c r="L831" s="7">
        <f t="shared" si="76"/>
        <v>-0.73431241655540724</v>
      </c>
      <c r="M831" s="6" t="str">
        <f t="shared" si="77"/>
        <v>Bad Ratings</v>
      </c>
      <c r="N831" s="34">
        <f t="array" ref="N831">MEDIAN(_xlfn._xlws.FILTER(Table4[Original Price],Table4[Brand-Renamed] = Table4[[#This Row],[Brand]]))</f>
        <v>15994.5</v>
      </c>
      <c r="O831" s="35">
        <f t="array" ref="O831">MEDIAN(_xlfn._xlws.FILTER(Table4[Selling Price],Table4[Brand-Renamed] =Table4[[#This Row],[Brand-Renamed]]))</f>
        <v>13490</v>
      </c>
    </row>
    <row r="832" spans="1:15" ht="13.8" x14ac:dyDescent="0.25">
      <c r="A832" s="4" t="s">
        <v>140</v>
      </c>
      <c r="B832" s="4" t="str">
        <f t="shared" si="72"/>
        <v xml:space="preserve">Murphy </v>
      </c>
      <c r="C832" s="4" t="s">
        <v>8</v>
      </c>
      <c r="D832" s="4">
        <v>32</v>
      </c>
      <c r="E832" s="4">
        <v>16799</v>
      </c>
      <c r="F832" s="4">
        <v>17999</v>
      </c>
      <c r="G832" s="4" t="s">
        <v>54</v>
      </c>
      <c r="H832" s="4">
        <v>2.6</v>
      </c>
      <c r="I832" s="4">
        <f t="shared" si="73"/>
        <v>1200</v>
      </c>
      <c r="J832">
        <f t="shared" si="74"/>
        <v>6.6670370576143126E-2</v>
      </c>
      <c r="K832" s="4">
        <f t="shared" si="75"/>
        <v>-1200</v>
      </c>
      <c r="L832" s="5">
        <f t="shared" si="76"/>
        <v>-7.143282338234419E-2</v>
      </c>
      <c r="M832" s="4" t="str">
        <f t="shared" si="77"/>
        <v>Bad Ratings</v>
      </c>
      <c r="N832" s="34">
        <f t="array" ref="N832">MEDIAN(_xlfn._xlws.FILTER(Table4[Original Price],Table4[Brand-Renamed] = Table4[[#This Row],[Brand]]))</f>
        <v>15994.5</v>
      </c>
      <c r="O832" s="35">
        <f t="array" ref="O832">MEDIAN(_xlfn._xlws.FILTER(Table4[Selling Price],Table4[Brand-Renamed] =Table4[[#This Row],[Brand-Renamed]]))</f>
        <v>13490</v>
      </c>
    </row>
    <row r="833" spans="1:15" ht="13.8" x14ac:dyDescent="0.25">
      <c r="A833" s="6" t="s">
        <v>121</v>
      </c>
      <c r="B833" s="4" t="str">
        <f t="shared" si="72"/>
        <v>Oneplus</v>
      </c>
      <c r="C833" s="6" t="s">
        <v>32</v>
      </c>
      <c r="D833" s="6">
        <v>50</v>
      </c>
      <c r="E833" s="6">
        <v>43999</v>
      </c>
      <c r="F833" s="6">
        <v>49999</v>
      </c>
      <c r="G833" s="6" t="s">
        <v>54</v>
      </c>
      <c r="H833" s="6">
        <v>4.3</v>
      </c>
      <c r="I833" s="6">
        <f t="shared" si="73"/>
        <v>6000</v>
      </c>
      <c r="J833">
        <f t="shared" si="74"/>
        <v>0.12000240004800096</v>
      </c>
      <c r="K833" s="6">
        <f t="shared" si="75"/>
        <v>-6000</v>
      </c>
      <c r="L833" s="7">
        <f t="shared" si="76"/>
        <v>-0.13636673560762744</v>
      </c>
      <c r="M833" s="6" t="str">
        <f t="shared" si="77"/>
        <v>Medium Ratings</v>
      </c>
      <c r="N833" s="34">
        <f t="array" ref="N833">MEDIAN(_xlfn._xlws.FILTER(Table4[Original Price],Table4[Brand-Renamed] = Table4[[#This Row],[Brand]]))</f>
        <v>59999</v>
      </c>
      <c r="O833" s="35">
        <f t="array" ref="O833">MEDIAN(_xlfn._xlws.FILTER(Table4[Selling Price],Table4[Brand-Renamed] =Table4[[#This Row],[Brand-Renamed]]))</f>
        <v>49999</v>
      </c>
    </row>
    <row r="834" spans="1:15" ht="13.8" x14ac:dyDescent="0.25">
      <c r="A834" s="4" t="s">
        <v>121</v>
      </c>
      <c r="B834" s="4" t="str">
        <f t="shared" ref="B834:B897" si="78">PROPER(A834)</f>
        <v>Oneplus</v>
      </c>
      <c r="C834" s="4" t="s">
        <v>29</v>
      </c>
      <c r="D834" s="4">
        <v>55</v>
      </c>
      <c r="E834" s="4">
        <v>84990</v>
      </c>
      <c r="F834" s="4">
        <v>99900</v>
      </c>
      <c r="G834" s="4" t="s">
        <v>54</v>
      </c>
      <c r="H834" s="4">
        <v>4.8</v>
      </c>
      <c r="I834" s="4">
        <f t="shared" ref="I834:I897" si="79">F834-E834</f>
        <v>14910</v>
      </c>
      <c r="J834">
        <f t="shared" ref="J834:J897" si="80">IF((F834-E834)/F834 = 0, "Discount Not Applied", (F834-E834)/F834)</f>
        <v>0.14924924924924926</v>
      </c>
      <c r="K834" s="4">
        <f t="shared" ref="K834:K897" si="81">E834-F834</f>
        <v>-14910</v>
      </c>
      <c r="L834" s="5">
        <f t="shared" ref="L834:L897" si="82">(E834-F834)/E834</f>
        <v>-0.1754324038122132</v>
      </c>
      <c r="M834" s="4" t="str">
        <f t="shared" ref="M834:M897" si="83">IF(ISBLANK(H834),"Ratings Not Given",IF(H834&gt;=4.5,"Good Ratings",IF(H834&lt;=3.7,"Bad Ratings","Medium Ratings")))</f>
        <v>Good Ratings</v>
      </c>
      <c r="N834" s="34">
        <f t="array" ref="N834">MEDIAN(_xlfn._xlws.FILTER(Table4[Original Price],Table4[Brand-Renamed] = Table4[[#This Row],[Brand]]))</f>
        <v>59999</v>
      </c>
      <c r="O834" s="35">
        <f t="array" ref="O834">MEDIAN(_xlfn._xlws.FILTER(Table4[Selling Price],Table4[Brand-Renamed] =Table4[[#This Row],[Brand-Renamed]]))</f>
        <v>49999</v>
      </c>
    </row>
    <row r="835" spans="1:15" ht="13.8" x14ac:dyDescent="0.25">
      <c r="A835" s="6" t="s">
        <v>121</v>
      </c>
      <c r="B835" s="4" t="str">
        <f t="shared" si="78"/>
        <v>Oneplus</v>
      </c>
      <c r="C835" s="6" t="s">
        <v>32</v>
      </c>
      <c r="D835" s="6">
        <v>65</v>
      </c>
      <c r="E835" s="6">
        <v>66999</v>
      </c>
      <c r="F835" s="6">
        <v>69999</v>
      </c>
      <c r="G835" s="6" t="s">
        <v>54</v>
      </c>
      <c r="H835" s="6">
        <v>4.3</v>
      </c>
      <c r="I835" s="6">
        <f t="shared" si="79"/>
        <v>3000</v>
      </c>
      <c r="J835">
        <f t="shared" si="80"/>
        <v>4.28577551107873E-2</v>
      </c>
      <c r="K835" s="6">
        <f t="shared" si="81"/>
        <v>-3000</v>
      </c>
      <c r="L835" s="7">
        <f t="shared" si="82"/>
        <v>-4.4776787713249451E-2</v>
      </c>
      <c r="M835" s="6" t="str">
        <f t="shared" si="83"/>
        <v>Medium Ratings</v>
      </c>
      <c r="N835" s="34">
        <f t="array" ref="N835">MEDIAN(_xlfn._xlws.FILTER(Table4[Original Price],Table4[Brand-Renamed] = Table4[[#This Row],[Brand]]))</f>
        <v>59999</v>
      </c>
      <c r="O835" s="35">
        <f t="array" ref="O835">MEDIAN(_xlfn._xlws.FILTER(Table4[Selling Price],Table4[Brand-Renamed] =Table4[[#This Row],[Brand-Renamed]]))</f>
        <v>49999</v>
      </c>
    </row>
    <row r="836" spans="1:15" ht="13.8" x14ac:dyDescent="0.25">
      <c r="A836" s="4" t="s">
        <v>121</v>
      </c>
      <c r="B836" s="4" t="str">
        <f t="shared" si="78"/>
        <v>Oneplus</v>
      </c>
      <c r="C836" s="4" t="s">
        <v>29</v>
      </c>
      <c r="D836" s="4">
        <v>55</v>
      </c>
      <c r="E836" s="4">
        <v>62899</v>
      </c>
      <c r="F836" s="4">
        <v>69900</v>
      </c>
      <c r="G836" s="4" t="s">
        <v>54</v>
      </c>
      <c r="H836" s="4">
        <v>4.5999999999999996</v>
      </c>
      <c r="I836" s="4">
        <f t="shared" si="79"/>
        <v>7001</v>
      </c>
      <c r="J836">
        <f t="shared" si="80"/>
        <v>0.10015736766809728</v>
      </c>
      <c r="K836" s="4">
        <f t="shared" si="81"/>
        <v>-7001</v>
      </c>
      <c r="L836" s="5">
        <f t="shared" si="82"/>
        <v>-0.1113054261593984</v>
      </c>
      <c r="M836" s="4" t="str">
        <f t="shared" si="83"/>
        <v>Good Ratings</v>
      </c>
      <c r="N836" s="34">
        <f t="array" ref="N836">MEDIAN(_xlfn._xlws.FILTER(Table4[Original Price],Table4[Brand-Renamed] = Table4[[#This Row],[Brand]]))</f>
        <v>59999</v>
      </c>
      <c r="O836" s="35">
        <f t="array" ref="O836">MEDIAN(_xlfn._xlws.FILTER(Table4[Selling Price],Table4[Brand-Renamed] =Table4[[#This Row],[Brand-Renamed]]))</f>
        <v>49999</v>
      </c>
    </row>
    <row r="837" spans="1:15" ht="13.8" x14ac:dyDescent="0.25">
      <c r="A837" s="6" t="s">
        <v>75</v>
      </c>
      <c r="B837" s="4" t="str">
        <f t="shared" si="78"/>
        <v>Onida</v>
      </c>
      <c r="C837" s="6" t="s">
        <v>19</v>
      </c>
      <c r="D837" s="6">
        <v>24</v>
      </c>
      <c r="E837" s="6">
        <v>8359</v>
      </c>
      <c r="F837" s="6">
        <v>13490</v>
      </c>
      <c r="G837" s="6" t="s">
        <v>54</v>
      </c>
      <c r="H837" s="6">
        <v>4.2</v>
      </c>
      <c r="I837" s="6">
        <f t="shared" si="79"/>
        <v>5131</v>
      </c>
      <c r="J837">
        <f t="shared" si="80"/>
        <v>0.38035581912527799</v>
      </c>
      <c r="K837" s="6">
        <f t="shared" si="81"/>
        <v>-5131</v>
      </c>
      <c r="L837" s="7">
        <f t="shared" si="82"/>
        <v>-0.61382940543127174</v>
      </c>
      <c r="M837" s="6" t="str">
        <f t="shared" si="83"/>
        <v>Medium Ratings</v>
      </c>
      <c r="N837" s="34">
        <f t="array" ref="N837">MEDIAN(_xlfn._xlws.FILTER(Table4[Original Price],Table4[Brand-Renamed] = Table4[[#This Row],[Brand]]))</f>
        <v>34990</v>
      </c>
      <c r="O837" s="35">
        <f t="array" ref="O837">MEDIAN(_xlfn._xlws.FILTER(Table4[Selling Price],Table4[Brand-Renamed] =Table4[[#This Row],[Brand-Renamed]]))</f>
        <v>29399.5</v>
      </c>
    </row>
    <row r="838" spans="1:15" ht="13.8" x14ac:dyDescent="0.25">
      <c r="A838" s="4" t="s">
        <v>75</v>
      </c>
      <c r="B838" s="4" t="str">
        <f t="shared" si="78"/>
        <v>Onida</v>
      </c>
      <c r="C838" s="4" t="s">
        <v>19</v>
      </c>
      <c r="D838" s="4">
        <v>32</v>
      </c>
      <c r="E838" s="4">
        <v>22990</v>
      </c>
      <c r="F838" s="4">
        <v>22990</v>
      </c>
      <c r="G838" s="4" t="s">
        <v>54</v>
      </c>
      <c r="H838" s="4">
        <v>4.7</v>
      </c>
      <c r="I838" s="4">
        <f t="shared" si="79"/>
        <v>0</v>
      </c>
      <c r="J838" t="str">
        <f t="shared" si="80"/>
        <v>Discount Not Applied</v>
      </c>
      <c r="K838" s="4">
        <f t="shared" si="81"/>
        <v>0</v>
      </c>
      <c r="L838" s="5">
        <f t="shared" si="82"/>
        <v>0</v>
      </c>
      <c r="M838" s="4" t="str">
        <f t="shared" si="83"/>
        <v>Good Ratings</v>
      </c>
      <c r="N838" s="34">
        <f t="array" ref="N838">MEDIAN(_xlfn._xlws.FILTER(Table4[Original Price],Table4[Brand-Renamed] = Table4[[#This Row],[Brand]]))</f>
        <v>34990</v>
      </c>
      <c r="O838" s="35">
        <f t="array" ref="O838">MEDIAN(_xlfn._xlws.FILTER(Table4[Selling Price],Table4[Brand-Renamed] =Table4[[#This Row],[Brand-Renamed]]))</f>
        <v>29399.5</v>
      </c>
    </row>
    <row r="839" spans="1:15" ht="13.8" x14ac:dyDescent="0.25">
      <c r="A839" s="6" t="s">
        <v>75</v>
      </c>
      <c r="B839" s="4" t="str">
        <f t="shared" si="78"/>
        <v>Onida</v>
      </c>
      <c r="C839" s="6" t="s">
        <v>32</v>
      </c>
      <c r="D839" s="6">
        <v>43</v>
      </c>
      <c r="E839" s="6">
        <v>33190</v>
      </c>
      <c r="F839" s="6">
        <v>52900</v>
      </c>
      <c r="G839" s="6" t="s">
        <v>54</v>
      </c>
      <c r="H839" s="6">
        <v>4.2</v>
      </c>
      <c r="I839" s="6">
        <f t="shared" si="79"/>
        <v>19710</v>
      </c>
      <c r="J839">
        <f t="shared" si="80"/>
        <v>0.37258979206049148</v>
      </c>
      <c r="K839" s="6">
        <f t="shared" si="81"/>
        <v>-19710</v>
      </c>
      <c r="L839" s="7">
        <f t="shared" si="82"/>
        <v>-0.59385357035251585</v>
      </c>
      <c r="M839" s="6" t="str">
        <f t="shared" si="83"/>
        <v>Medium Ratings</v>
      </c>
      <c r="N839" s="34">
        <f t="array" ref="N839">MEDIAN(_xlfn._xlws.FILTER(Table4[Original Price],Table4[Brand-Renamed] = Table4[[#This Row],[Brand]]))</f>
        <v>34990</v>
      </c>
      <c r="O839" s="35">
        <f t="array" ref="O839">MEDIAN(_xlfn._xlws.FILTER(Table4[Selling Price],Table4[Brand-Renamed] =Table4[[#This Row],[Brand-Renamed]]))</f>
        <v>29399.5</v>
      </c>
    </row>
    <row r="840" spans="1:15" ht="13.8" x14ac:dyDescent="0.25">
      <c r="A840" s="4" t="s">
        <v>75</v>
      </c>
      <c r="B840" s="4" t="str">
        <f t="shared" si="78"/>
        <v>Onida</v>
      </c>
      <c r="C840" s="4" t="s">
        <v>8</v>
      </c>
      <c r="D840" s="4">
        <v>32</v>
      </c>
      <c r="E840" s="4">
        <v>56990</v>
      </c>
      <c r="F840" s="4">
        <v>56990</v>
      </c>
      <c r="G840" s="4" t="s">
        <v>54</v>
      </c>
      <c r="H840" s="4">
        <v>5</v>
      </c>
      <c r="I840" s="4">
        <f t="shared" si="79"/>
        <v>0</v>
      </c>
      <c r="J840" t="str">
        <f t="shared" si="80"/>
        <v>Discount Not Applied</v>
      </c>
      <c r="K840" s="4">
        <f t="shared" si="81"/>
        <v>0</v>
      </c>
      <c r="L840" s="5">
        <f t="shared" si="82"/>
        <v>0</v>
      </c>
      <c r="M840" s="4" t="str">
        <f t="shared" si="83"/>
        <v>Good Ratings</v>
      </c>
      <c r="N840" s="34">
        <f t="array" ref="N840">MEDIAN(_xlfn._xlws.FILTER(Table4[Original Price],Table4[Brand-Renamed] = Table4[[#This Row],[Brand]]))</f>
        <v>34990</v>
      </c>
      <c r="O840" s="35">
        <f t="array" ref="O840">MEDIAN(_xlfn._xlws.FILTER(Table4[Selling Price],Table4[Brand-Renamed] =Table4[[#This Row],[Brand-Renamed]]))</f>
        <v>29399.5</v>
      </c>
    </row>
    <row r="841" spans="1:15" ht="13.8" x14ac:dyDescent="0.25">
      <c r="A841" s="6" t="s">
        <v>75</v>
      </c>
      <c r="B841" s="4" t="str">
        <f t="shared" si="78"/>
        <v>Onida</v>
      </c>
      <c r="C841" s="6" t="s">
        <v>8</v>
      </c>
      <c r="D841" s="6">
        <v>32</v>
      </c>
      <c r="E841" s="6">
        <v>35990</v>
      </c>
      <c r="F841" s="6">
        <v>35990</v>
      </c>
      <c r="G841" s="6" t="s">
        <v>54</v>
      </c>
      <c r="H841" s="6">
        <v>4.7</v>
      </c>
      <c r="I841" s="6">
        <f t="shared" si="79"/>
        <v>0</v>
      </c>
      <c r="J841" t="str">
        <f t="shared" si="80"/>
        <v>Discount Not Applied</v>
      </c>
      <c r="K841" s="6">
        <f t="shared" si="81"/>
        <v>0</v>
      </c>
      <c r="L841" s="7">
        <f t="shared" si="82"/>
        <v>0</v>
      </c>
      <c r="M841" s="6" t="str">
        <f t="shared" si="83"/>
        <v>Good Ratings</v>
      </c>
      <c r="N841" s="34">
        <f t="array" ref="N841">MEDIAN(_xlfn._xlws.FILTER(Table4[Original Price],Table4[Brand-Renamed] = Table4[[#This Row],[Brand]]))</f>
        <v>34990</v>
      </c>
      <c r="O841" s="35">
        <f t="array" ref="O841">MEDIAN(_xlfn._xlws.FILTER(Table4[Selling Price],Table4[Brand-Renamed] =Table4[[#This Row],[Brand-Renamed]]))</f>
        <v>29399.5</v>
      </c>
    </row>
    <row r="842" spans="1:15" ht="13.8" x14ac:dyDescent="0.25">
      <c r="A842" s="4" t="s">
        <v>76</v>
      </c>
      <c r="B842" s="4" t="str">
        <f t="shared" si="78"/>
        <v xml:space="preserve">Onix </v>
      </c>
      <c r="C842" s="4" t="s">
        <v>19</v>
      </c>
      <c r="D842" s="4">
        <v>32</v>
      </c>
      <c r="E842" s="4">
        <v>19790</v>
      </c>
      <c r="F842" s="4">
        <v>19790</v>
      </c>
      <c r="G842" s="4" t="s">
        <v>54</v>
      </c>
      <c r="H842" s="4"/>
      <c r="I842" s="4">
        <f t="shared" si="79"/>
        <v>0</v>
      </c>
      <c r="J842" t="str">
        <f t="shared" si="80"/>
        <v>Discount Not Applied</v>
      </c>
      <c r="K842" s="4">
        <f t="shared" si="81"/>
        <v>0</v>
      </c>
      <c r="L842" s="5">
        <f t="shared" si="82"/>
        <v>0</v>
      </c>
      <c r="M842" s="4" t="str">
        <f t="shared" si="83"/>
        <v>Ratings Not Given</v>
      </c>
      <c r="N842" s="34">
        <f t="array" ref="N842">MEDIAN(_xlfn._xlws.FILTER(Table4[Original Price],Table4[Brand-Renamed] = Table4[[#This Row],[Brand]]))</f>
        <v>37390</v>
      </c>
      <c r="O842" s="35">
        <f t="array" ref="O842">MEDIAN(_xlfn._xlws.FILTER(Table4[Selling Price],Table4[Brand-Renamed] =Table4[[#This Row],[Brand-Renamed]]))</f>
        <v>32990</v>
      </c>
    </row>
    <row r="843" spans="1:15" ht="13.8" x14ac:dyDescent="0.25">
      <c r="A843" s="6" t="s">
        <v>76</v>
      </c>
      <c r="B843" s="4" t="str">
        <f t="shared" si="78"/>
        <v xml:space="preserve">Onix </v>
      </c>
      <c r="C843" s="6" t="s">
        <v>19</v>
      </c>
      <c r="D843" s="6">
        <v>39</v>
      </c>
      <c r="E843" s="6">
        <v>14990</v>
      </c>
      <c r="F843" s="6">
        <v>26349</v>
      </c>
      <c r="G843" s="6" t="s">
        <v>54</v>
      </c>
      <c r="H843" s="6">
        <v>3.7</v>
      </c>
      <c r="I843" s="6">
        <f t="shared" si="79"/>
        <v>11359</v>
      </c>
      <c r="J843">
        <f t="shared" si="80"/>
        <v>0.43109795438157045</v>
      </c>
      <c r="K843" s="6">
        <f t="shared" si="81"/>
        <v>-11359</v>
      </c>
      <c r="L843" s="7">
        <f t="shared" si="82"/>
        <v>-0.75777184789859908</v>
      </c>
      <c r="M843" s="6" t="str">
        <f t="shared" si="83"/>
        <v>Bad Ratings</v>
      </c>
      <c r="N843" s="34">
        <f t="array" ref="N843">MEDIAN(_xlfn._xlws.FILTER(Table4[Original Price],Table4[Brand-Renamed] = Table4[[#This Row],[Brand]]))</f>
        <v>37390</v>
      </c>
      <c r="O843" s="35">
        <f t="array" ref="O843">MEDIAN(_xlfn._xlws.FILTER(Table4[Selling Price],Table4[Brand-Renamed] =Table4[[#This Row],[Brand-Renamed]]))</f>
        <v>32990</v>
      </c>
    </row>
    <row r="844" spans="1:15" ht="13.8" x14ac:dyDescent="0.25">
      <c r="A844" s="4" t="s">
        <v>76</v>
      </c>
      <c r="B844" s="4" t="str">
        <f t="shared" si="78"/>
        <v xml:space="preserve">Onix </v>
      </c>
      <c r="C844" s="4" t="s">
        <v>8</v>
      </c>
      <c r="D844" s="4">
        <v>39</v>
      </c>
      <c r="E844" s="4">
        <v>35990</v>
      </c>
      <c r="F844" s="4">
        <v>35990</v>
      </c>
      <c r="G844" s="4" t="s">
        <v>54</v>
      </c>
      <c r="H844" s="4"/>
      <c r="I844" s="4">
        <f t="shared" si="79"/>
        <v>0</v>
      </c>
      <c r="J844" t="str">
        <f t="shared" si="80"/>
        <v>Discount Not Applied</v>
      </c>
      <c r="K844" s="4">
        <f t="shared" si="81"/>
        <v>0</v>
      </c>
      <c r="L844" s="5">
        <f t="shared" si="82"/>
        <v>0</v>
      </c>
      <c r="M844" s="4" t="str">
        <f t="shared" si="83"/>
        <v>Ratings Not Given</v>
      </c>
      <c r="N844" s="34">
        <f t="array" ref="N844">MEDIAN(_xlfn._xlws.FILTER(Table4[Original Price],Table4[Brand-Renamed] = Table4[[#This Row],[Brand]]))</f>
        <v>37390</v>
      </c>
      <c r="O844" s="35">
        <f t="array" ref="O844">MEDIAN(_xlfn._xlws.FILTER(Table4[Selling Price],Table4[Brand-Renamed] =Table4[[#This Row],[Brand-Renamed]]))</f>
        <v>32990</v>
      </c>
    </row>
    <row r="845" spans="1:15" ht="13.8" x14ac:dyDescent="0.25">
      <c r="A845" s="6" t="s">
        <v>77</v>
      </c>
      <c r="B845" s="4" t="str">
        <f t="shared" si="78"/>
        <v xml:space="preserve">Oxygen </v>
      </c>
      <c r="C845" s="6" t="s">
        <v>32</v>
      </c>
      <c r="D845" s="6">
        <v>65</v>
      </c>
      <c r="E845" s="6">
        <v>56990</v>
      </c>
      <c r="F845" s="6">
        <v>124990</v>
      </c>
      <c r="G845" s="6" t="s">
        <v>54</v>
      </c>
      <c r="H845" s="6"/>
      <c r="I845" s="6">
        <f t="shared" si="79"/>
        <v>68000</v>
      </c>
      <c r="J845">
        <f t="shared" si="80"/>
        <v>0.54404352348187857</v>
      </c>
      <c r="K845" s="6">
        <f t="shared" si="81"/>
        <v>-68000</v>
      </c>
      <c r="L845" s="7">
        <f t="shared" si="82"/>
        <v>-1.1931917880329883</v>
      </c>
      <c r="M845" s="6" t="str">
        <f t="shared" si="83"/>
        <v>Ratings Not Given</v>
      </c>
      <c r="N845" s="34">
        <f t="array" ref="N845">MEDIAN(_xlfn._xlws.FILTER(Table4[Original Price],Table4[Brand-Renamed] = Table4[[#This Row],[Brand]]))</f>
        <v>52990</v>
      </c>
      <c r="O845" s="35">
        <f t="array" ref="O845">MEDIAN(_xlfn._xlws.FILTER(Table4[Selling Price],Table4[Brand-Renamed] =Table4[[#This Row],[Brand-Renamed]]))</f>
        <v>35990</v>
      </c>
    </row>
    <row r="846" spans="1:15" ht="13.8" x14ac:dyDescent="0.25">
      <c r="A846" s="4" t="s">
        <v>77</v>
      </c>
      <c r="B846" s="4" t="str">
        <f t="shared" si="78"/>
        <v xml:space="preserve">Oxygen </v>
      </c>
      <c r="C846" s="4" t="s">
        <v>32</v>
      </c>
      <c r="D846" s="4">
        <v>43</v>
      </c>
      <c r="E846" s="4">
        <v>27999</v>
      </c>
      <c r="F846" s="4">
        <v>42990</v>
      </c>
      <c r="G846" s="4" t="s">
        <v>54</v>
      </c>
      <c r="H846" s="4"/>
      <c r="I846" s="4">
        <f t="shared" si="79"/>
        <v>14991</v>
      </c>
      <c r="J846">
        <f t="shared" si="80"/>
        <v>0.34870900209351013</v>
      </c>
      <c r="K846" s="4">
        <f t="shared" si="81"/>
        <v>-14991</v>
      </c>
      <c r="L846" s="5">
        <f t="shared" si="82"/>
        <v>-0.53541197899924997</v>
      </c>
      <c r="M846" s="4" t="str">
        <f t="shared" si="83"/>
        <v>Ratings Not Given</v>
      </c>
      <c r="N846" s="34">
        <f t="array" ref="N846">MEDIAN(_xlfn._xlws.FILTER(Table4[Original Price],Table4[Brand-Renamed] = Table4[[#This Row],[Brand]]))</f>
        <v>52990</v>
      </c>
      <c r="O846" s="35">
        <f t="array" ref="O846">MEDIAN(_xlfn._xlws.FILTER(Table4[Selling Price],Table4[Brand-Renamed] =Table4[[#This Row],[Brand-Renamed]]))</f>
        <v>35990</v>
      </c>
    </row>
    <row r="847" spans="1:15" ht="13.8" x14ac:dyDescent="0.25">
      <c r="A847" s="6" t="s">
        <v>13</v>
      </c>
      <c r="B847" s="4" t="str">
        <f t="shared" si="78"/>
        <v>Panasonic</v>
      </c>
      <c r="C847" s="6" t="s">
        <v>32</v>
      </c>
      <c r="D847" s="6">
        <v>43</v>
      </c>
      <c r="E847" s="6">
        <v>30001</v>
      </c>
      <c r="F847" s="6">
        <v>79900</v>
      </c>
      <c r="G847" s="6" t="s">
        <v>62</v>
      </c>
      <c r="H847" s="6">
        <v>4.3</v>
      </c>
      <c r="I847" s="6">
        <f t="shared" si="79"/>
        <v>49899</v>
      </c>
      <c r="J847">
        <f t="shared" si="80"/>
        <v>0.62451814768460578</v>
      </c>
      <c r="K847" s="6">
        <f t="shared" si="81"/>
        <v>-49899</v>
      </c>
      <c r="L847" s="7">
        <f t="shared" si="82"/>
        <v>-1.6632445585147162</v>
      </c>
      <c r="M847" s="6" t="str">
        <f t="shared" si="83"/>
        <v>Medium Ratings</v>
      </c>
      <c r="N847" s="34">
        <f t="array" ref="N847">MEDIAN(_xlfn._xlws.FILTER(Table4[Original Price],Table4[Brand-Renamed] = Table4[[#This Row],[Brand]]))</f>
        <v>64195</v>
      </c>
      <c r="O847" s="35">
        <f t="array" ref="O847">MEDIAN(_xlfn._xlws.FILTER(Table4[Selling Price],Table4[Brand-Renamed] =Table4[[#This Row],[Brand-Renamed]]))</f>
        <v>43129</v>
      </c>
    </row>
    <row r="848" spans="1:15" ht="13.8" x14ac:dyDescent="0.25">
      <c r="A848" s="4" t="s">
        <v>13</v>
      </c>
      <c r="B848" s="4" t="str">
        <f t="shared" si="78"/>
        <v>Panasonic</v>
      </c>
      <c r="C848" s="4" t="s">
        <v>32</v>
      </c>
      <c r="D848" s="4">
        <v>49</v>
      </c>
      <c r="E848" s="4">
        <v>43259</v>
      </c>
      <c r="F848" s="4">
        <v>66900</v>
      </c>
      <c r="G848" s="4" t="s">
        <v>62</v>
      </c>
      <c r="H848" s="4"/>
      <c r="I848" s="4">
        <f t="shared" si="79"/>
        <v>23641</v>
      </c>
      <c r="J848">
        <f t="shared" si="80"/>
        <v>0.35337817638266067</v>
      </c>
      <c r="K848" s="4">
        <f t="shared" si="81"/>
        <v>-23641</v>
      </c>
      <c r="L848" s="5">
        <f t="shared" si="82"/>
        <v>-0.54649899442890493</v>
      </c>
      <c r="M848" s="4" t="str">
        <f t="shared" si="83"/>
        <v>Ratings Not Given</v>
      </c>
      <c r="N848" s="34">
        <f t="array" ref="N848">MEDIAN(_xlfn._xlws.FILTER(Table4[Original Price],Table4[Brand-Renamed] = Table4[[#This Row],[Brand]]))</f>
        <v>64195</v>
      </c>
      <c r="O848" s="35">
        <f t="array" ref="O848">MEDIAN(_xlfn._xlws.FILTER(Table4[Selling Price],Table4[Brand-Renamed] =Table4[[#This Row],[Brand-Renamed]]))</f>
        <v>43129</v>
      </c>
    </row>
    <row r="849" spans="1:15" ht="13.8" x14ac:dyDescent="0.25">
      <c r="A849" s="6" t="s">
        <v>13</v>
      </c>
      <c r="B849" s="4" t="str">
        <f t="shared" si="78"/>
        <v>Panasonic</v>
      </c>
      <c r="C849" s="6" t="s">
        <v>32</v>
      </c>
      <c r="D849" s="6">
        <v>55</v>
      </c>
      <c r="E849" s="6">
        <v>55890</v>
      </c>
      <c r="F849" s="6">
        <v>82400</v>
      </c>
      <c r="G849" s="6" t="s">
        <v>62</v>
      </c>
      <c r="H849" s="6"/>
      <c r="I849" s="6">
        <f t="shared" si="79"/>
        <v>26510</v>
      </c>
      <c r="J849">
        <f t="shared" si="80"/>
        <v>0.32172330097087376</v>
      </c>
      <c r="K849" s="6">
        <f t="shared" si="81"/>
        <v>-26510</v>
      </c>
      <c r="L849" s="7">
        <f t="shared" si="82"/>
        <v>-0.47432456611200574</v>
      </c>
      <c r="M849" s="6" t="str">
        <f t="shared" si="83"/>
        <v>Ratings Not Given</v>
      </c>
      <c r="N849" s="34">
        <f t="array" ref="N849">MEDIAN(_xlfn._xlws.FILTER(Table4[Original Price],Table4[Brand-Renamed] = Table4[[#This Row],[Brand]]))</f>
        <v>64195</v>
      </c>
      <c r="O849" s="35">
        <f t="array" ref="O849">MEDIAN(_xlfn._xlws.FILTER(Table4[Selling Price],Table4[Brand-Renamed] =Table4[[#This Row],[Brand-Renamed]]))</f>
        <v>43129</v>
      </c>
    </row>
    <row r="850" spans="1:15" ht="13.8" x14ac:dyDescent="0.25">
      <c r="A850" s="4" t="s">
        <v>129</v>
      </c>
      <c r="B850" s="4" t="str">
        <f t="shared" si="78"/>
        <v>Philips</v>
      </c>
      <c r="C850" s="4" t="s">
        <v>8</v>
      </c>
      <c r="D850" s="4">
        <v>43</v>
      </c>
      <c r="E850" s="4">
        <v>28999</v>
      </c>
      <c r="F850" s="4">
        <v>35990</v>
      </c>
      <c r="G850" s="4" t="s">
        <v>60</v>
      </c>
      <c r="H850" s="4">
        <v>4</v>
      </c>
      <c r="I850" s="4">
        <f t="shared" si="79"/>
        <v>6991</v>
      </c>
      <c r="J850">
        <f t="shared" si="80"/>
        <v>0.19424840233398166</v>
      </c>
      <c r="K850" s="4">
        <f t="shared" si="81"/>
        <v>-6991</v>
      </c>
      <c r="L850" s="5">
        <f t="shared" si="82"/>
        <v>-0.24107727852684574</v>
      </c>
      <c r="M850" s="4" t="str">
        <f t="shared" si="83"/>
        <v>Medium Ratings</v>
      </c>
      <c r="N850" s="34">
        <f t="array" ref="N850">MEDIAN(_xlfn._xlws.FILTER(Table4[Original Price],Table4[Brand-Renamed] = Table4[[#This Row],[Brand]]))</f>
        <v>44990</v>
      </c>
      <c r="O850" s="35">
        <f t="array" ref="O850">MEDIAN(_xlfn._xlws.FILTER(Table4[Selling Price],Table4[Brand-Renamed] =Table4[[#This Row],[Brand-Renamed]]))</f>
        <v>33459</v>
      </c>
    </row>
    <row r="851" spans="1:15" ht="13.8" x14ac:dyDescent="0.25">
      <c r="A851" s="6" t="s">
        <v>129</v>
      </c>
      <c r="B851" s="4" t="str">
        <f t="shared" si="78"/>
        <v>Philips</v>
      </c>
      <c r="C851" s="6" t="s">
        <v>19</v>
      </c>
      <c r="D851" s="6">
        <v>32</v>
      </c>
      <c r="E851" s="6">
        <v>18999</v>
      </c>
      <c r="F851" s="6">
        <v>20990</v>
      </c>
      <c r="G851" s="6" t="s">
        <v>60</v>
      </c>
      <c r="H851" s="6">
        <v>4</v>
      </c>
      <c r="I851" s="6">
        <f t="shared" si="79"/>
        <v>1991</v>
      </c>
      <c r="J851">
        <f t="shared" si="80"/>
        <v>9.4854692710814675E-2</v>
      </c>
      <c r="K851" s="6">
        <f t="shared" si="81"/>
        <v>-1991</v>
      </c>
      <c r="L851" s="7">
        <f t="shared" si="82"/>
        <v>-0.10479498920995842</v>
      </c>
      <c r="M851" s="6" t="str">
        <f t="shared" si="83"/>
        <v>Medium Ratings</v>
      </c>
      <c r="N851" s="34">
        <f t="array" ref="N851">MEDIAN(_xlfn._xlws.FILTER(Table4[Original Price],Table4[Brand-Renamed] = Table4[[#This Row],[Brand]]))</f>
        <v>44990</v>
      </c>
      <c r="O851" s="35">
        <f t="array" ref="O851">MEDIAN(_xlfn._xlws.FILTER(Table4[Selling Price],Table4[Brand-Renamed] =Table4[[#This Row],[Brand-Renamed]]))</f>
        <v>33459</v>
      </c>
    </row>
    <row r="852" spans="1:15" ht="13.8" x14ac:dyDescent="0.25">
      <c r="A852" s="4" t="s">
        <v>129</v>
      </c>
      <c r="B852" s="4" t="str">
        <f t="shared" si="78"/>
        <v>Philips</v>
      </c>
      <c r="C852" s="4" t="s">
        <v>8</v>
      </c>
      <c r="D852" s="4">
        <v>43</v>
      </c>
      <c r="E852" s="4">
        <v>33459</v>
      </c>
      <c r="F852" s="4">
        <v>36990</v>
      </c>
      <c r="G852" s="4" t="s">
        <v>54</v>
      </c>
      <c r="H852" s="4">
        <v>4.5</v>
      </c>
      <c r="I852" s="4">
        <f t="shared" si="79"/>
        <v>3531</v>
      </c>
      <c r="J852">
        <f t="shared" si="80"/>
        <v>9.545823195458232E-2</v>
      </c>
      <c r="K852" s="4">
        <f t="shared" si="81"/>
        <v>-3531</v>
      </c>
      <c r="L852" s="5">
        <f t="shared" si="82"/>
        <v>-0.10553214381780687</v>
      </c>
      <c r="M852" s="4" t="str">
        <f t="shared" si="83"/>
        <v>Good Ratings</v>
      </c>
      <c r="N852" s="34">
        <f t="array" ref="N852">MEDIAN(_xlfn._xlws.FILTER(Table4[Original Price],Table4[Brand-Renamed] = Table4[[#This Row],[Brand]]))</f>
        <v>44990</v>
      </c>
      <c r="O852" s="35">
        <f t="array" ref="O852">MEDIAN(_xlfn._xlws.FILTER(Table4[Selling Price],Table4[Brand-Renamed] =Table4[[#This Row],[Brand-Renamed]]))</f>
        <v>33459</v>
      </c>
    </row>
    <row r="853" spans="1:15" ht="13.8" x14ac:dyDescent="0.25">
      <c r="A853" s="6" t="s">
        <v>129</v>
      </c>
      <c r="B853" s="4" t="str">
        <f t="shared" si="78"/>
        <v>Philips</v>
      </c>
      <c r="C853" s="6" t="s">
        <v>8</v>
      </c>
      <c r="D853" s="6">
        <v>22</v>
      </c>
      <c r="E853" s="6">
        <v>6649</v>
      </c>
      <c r="F853" s="6">
        <v>12990</v>
      </c>
      <c r="G853" s="6"/>
      <c r="H853" s="6">
        <v>3.9</v>
      </c>
      <c r="I853" s="6">
        <f t="shared" si="79"/>
        <v>6341</v>
      </c>
      <c r="J853">
        <f t="shared" si="80"/>
        <v>0.48814472671285603</v>
      </c>
      <c r="K853" s="6">
        <f t="shared" si="81"/>
        <v>-6341</v>
      </c>
      <c r="L853" s="7">
        <f t="shared" si="82"/>
        <v>-0.95367724469845094</v>
      </c>
      <c r="M853" s="6" t="str">
        <f t="shared" si="83"/>
        <v>Medium Ratings</v>
      </c>
      <c r="N853" s="34">
        <f t="array" ref="N853">MEDIAN(_xlfn._xlws.FILTER(Table4[Original Price],Table4[Brand-Renamed] = Table4[[#This Row],[Brand]]))</f>
        <v>44990</v>
      </c>
      <c r="O853" s="35">
        <f t="array" ref="O853">MEDIAN(_xlfn._xlws.FILTER(Table4[Selling Price],Table4[Brand-Renamed] =Table4[[#This Row],[Brand-Renamed]]))</f>
        <v>33459</v>
      </c>
    </row>
    <row r="854" spans="1:15" ht="13.8" x14ac:dyDescent="0.25">
      <c r="A854" s="4" t="s">
        <v>78</v>
      </c>
      <c r="B854" s="4" t="str">
        <f t="shared" si="78"/>
        <v>Power Guard</v>
      </c>
      <c r="C854" s="4" t="s">
        <v>19</v>
      </c>
      <c r="D854" s="4">
        <v>24</v>
      </c>
      <c r="E854" s="4">
        <v>10990</v>
      </c>
      <c r="F854" s="4">
        <v>12990</v>
      </c>
      <c r="G854" s="4" t="s">
        <v>62</v>
      </c>
      <c r="H854" s="4"/>
      <c r="I854" s="4">
        <f t="shared" si="79"/>
        <v>2000</v>
      </c>
      <c r="J854">
        <f t="shared" si="80"/>
        <v>0.15396458814472672</v>
      </c>
      <c r="K854" s="4">
        <f t="shared" si="81"/>
        <v>-2000</v>
      </c>
      <c r="L854" s="5">
        <f t="shared" si="82"/>
        <v>-0.18198362147406733</v>
      </c>
      <c r="M854" s="4" t="str">
        <f t="shared" si="83"/>
        <v>Ratings Not Given</v>
      </c>
      <c r="N854" s="34">
        <f t="array" ref="N854">MEDIAN(_xlfn._xlws.FILTER(Table4[Original Price],Table4[Brand-Renamed] = Table4[[#This Row],[Brand]]))</f>
        <v>28990</v>
      </c>
      <c r="O854" s="35">
        <f t="array" ref="O854">MEDIAN(_xlfn._xlws.FILTER(Table4[Selling Price],Table4[Brand-Renamed] =Table4[[#This Row],[Brand-Renamed]]))</f>
        <v>15650</v>
      </c>
    </row>
    <row r="855" spans="1:15" ht="13.8" x14ac:dyDescent="0.25">
      <c r="A855" s="6" t="s">
        <v>78</v>
      </c>
      <c r="B855" s="4" t="str">
        <f t="shared" si="78"/>
        <v>Power Guard</v>
      </c>
      <c r="C855" s="6" t="s">
        <v>19</v>
      </c>
      <c r="D855" s="6">
        <v>24</v>
      </c>
      <c r="E855" s="6">
        <v>11999</v>
      </c>
      <c r="F855" s="6">
        <v>14990</v>
      </c>
      <c r="G855" s="6" t="s">
        <v>54</v>
      </c>
      <c r="H855" s="6"/>
      <c r="I855" s="6">
        <f t="shared" si="79"/>
        <v>2991</v>
      </c>
      <c r="J855">
        <f t="shared" si="80"/>
        <v>0.19953302201467646</v>
      </c>
      <c r="K855" s="6">
        <f t="shared" si="81"/>
        <v>-2991</v>
      </c>
      <c r="L855" s="7">
        <f t="shared" si="82"/>
        <v>-0.24927077256438038</v>
      </c>
      <c r="M855" s="6" t="str">
        <f t="shared" si="83"/>
        <v>Ratings Not Given</v>
      </c>
      <c r="N855" s="34">
        <f t="array" ref="N855">MEDIAN(_xlfn._xlws.FILTER(Table4[Original Price],Table4[Brand-Renamed] = Table4[[#This Row],[Brand]]))</f>
        <v>28990</v>
      </c>
      <c r="O855" s="35">
        <f t="array" ref="O855">MEDIAN(_xlfn._xlws.FILTER(Table4[Selling Price],Table4[Brand-Renamed] =Table4[[#This Row],[Brand-Renamed]]))</f>
        <v>15650</v>
      </c>
    </row>
    <row r="856" spans="1:15" ht="13.8" x14ac:dyDescent="0.25">
      <c r="A856" s="4" t="s">
        <v>78</v>
      </c>
      <c r="B856" s="4" t="str">
        <f t="shared" si="78"/>
        <v>Power Guard</v>
      </c>
      <c r="C856" s="4" t="s">
        <v>19</v>
      </c>
      <c r="D856" s="4">
        <v>32</v>
      </c>
      <c r="E856" s="4">
        <v>13300</v>
      </c>
      <c r="F856" s="4">
        <v>19990</v>
      </c>
      <c r="G856" s="4" t="s">
        <v>62</v>
      </c>
      <c r="H856" s="4"/>
      <c r="I856" s="4">
        <f t="shared" si="79"/>
        <v>6690</v>
      </c>
      <c r="J856">
        <f t="shared" si="80"/>
        <v>0.33466733366683343</v>
      </c>
      <c r="K856" s="4">
        <f t="shared" si="81"/>
        <v>-6690</v>
      </c>
      <c r="L856" s="5">
        <f t="shared" si="82"/>
        <v>-0.50300751879699246</v>
      </c>
      <c r="M856" s="4" t="str">
        <f t="shared" si="83"/>
        <v>Ratings Not Given</v>
      </c>
      <c r="N856" s="34">
        <f t="array" ref="N856">MEDIAN(_xlfn._xlws.FILTER(Table4[Original Price],Table4[Brand-Renamed] = Table4[[#This Row],[Brand]]))</f>
        <v>28990</v>
      </c>
      <c r="O856" s="35">
        <f t="array" ref="O856">MEDIAN(_xlfn._xlws.FILTER(Table4[Selling Price],Table4[Brand-Renamed] =Table4[[#This Row],[Brand-Renamed]]))</f>
        <v>15650</v>
      </c>
    </row>
    <row r="857" spans="1:15" ht="13.8" x14ac:dyDescent="0.25">
      <c r="A857" s="6" t="s">
        <v>78</v>
      </c>
      <c r="B857" s="4" t="str">
        <f t="shared" si="78"/>
        <v>Power Guard</v>
      </c>
      <c r="C857" s="6" t="s">
        <v>19</v>
      </c>
      <c r="D857" s="6">
        <v>32</v>
      </c>
      <c r="E857" s="6">
        <v>15650</v>
      </c>
      <c r="F857" s="6">
        <v>28990</v>
      </c>
      <c r="G857" s="6" t="s">
        <v>54</v>
      </c>
      <c r="H857" s="6"/>
      <c r="I857" s="6">
        <f t="shared" si="79"/>
        <v>13340</v>
      </c>
      <c r="J857">
        <f t="shared" si="80"/>
        <v>0.46015867540531219</v>
      </c>
      <c r="K857" s="6">
        <f t="shared" si="81"/>
        <v>-13340</v>
      </c>
      <c r="L857" s="7">
        <f t="shared" si="82"/>
        <v>-0.85239616613418534</v>
      </c>
      <c r="M857" s="6" t="str">
        <f t="shared" si="83"/>
        <v>Ratings Not Given</v>
      </c>
      <c r="N857" s="34">
        <f t="array" ref="N857">MEDIAN(_xlfn._xlws.FILTER(Table4[Original Price],Table4[Brand-Renamed] = Table4[[#This Row],[Brand]]))</f>
        <v>28990</v>
      </c>
      <c r="O857" s="35">
        <f t="array" ref="O857">MEDIAN(_xlfn._xlws.FILTER(Table4[Selling Price],Table4[Brand-Renamed] =Table4[[#This Row],[Brand-Renamed]]))</f>
        <v>15650</v>
      </c>
    </row>
    <row r="858" spans="1:15" ht="13.8" x14ac:dyDescent="0.25">
      <c r="A858" s="4" t="s">
        <v>120</v>
      </c>
      <c r="B858" s="4" t="str">
        <f t="shared" si="78"/>
        <v xml:space="preserve">Realme </v>
      </c>
      <c r="C858" s="4" t="s">
        <v>19</v>
      </c>
      <c r="D858" s="4">
        <v>32</v>
      </c>
      <c r="E858" s="4">
        <v>11999</v>
      </c>
      <c r="F858" s="4">
        <v>21999</v>
      </c>
      <c r="G858" s="4" t="s">
        <v>60</v>
      </c>
      <c r="H858" s="4">
        <v>4.3</v>
      </c>
      <c r="I858" s="4">
        <f t="shared" si="79"/>
        <v>10000</v>
      </c>
      <c r="J858">
        <f t="shared" si="80"/>
        <v>0.45456611664166552</v>
      </c>
      <c r="K858" s="4">
        <f t="shared" si="81"/>
        <v>-10000</v>
      </c>
      <c r="L858" s="5">
        <f t="shared" si="82"/>
        <v>-0.83340278356529707</v>
      </c>
      <c r="M858" s="4" t="str">
        <f t="shared" si="83"/>
        <v>Medium Ratings</v>
      </c>
      <c r="N858" s="34">
        <f t="array" ref="N858">MEDIAN(_xlfn._xlws.FILTER(Table4[Original Price],Table4[Brand-Renamed] = Table4[[#This Row],[Brand]]))</f>
        <v>23999</v>
      </c>
      <c r="O858" s="35">
        <f t="array" ref="O858">MEDIAN(_xlfn._xlws.FILTER(Table4[Selling Price],Table4[Brand-Renamed] =Table4[[#This Row],[Brand-Renamed]]))</f>
        <v>17999</v>
      </c>
    </row>
    <row r="859" spans="1:15" ht="13.8" x14ac:dyDescent="0.25">
      <c r="A859" s="6" t="s">
        <v>120</v>
      </c>
      <c r="B859" s="4" t="str">
        <f t="shared" si="78"/>
        <v xml:space="preserve">Realme </v>
      </c>
      <c r="C859" s="6" t="s">
        <v>32</v>
      </c>
      <c r="D859" s="6">
        <v>55</v>
      </c>
      <c r="E859" s="6">
        <v>46999</v>
      </c>
      <c r="F859" s="6">
        <v>69999</v>
      </c>
      <c r="G859" s="6" t="s">
        <v>54</v>
      </c>
      <c r="H859" s="6">
        <v>4.3</v>
      </c>
      <c r="I859" s="6">
        <f t="shared" si="79"/>
        <v>23000</v>
      </c>
      <c r="J859">
        <f t="shared" si="80"/>
        <v>0.32857612251603596</v>
      </c>
      <c r="K859" s="6">
        <f t="shared" si="81"/>
        <v>-23000</v>
      </c>
      <c r="L859" s="7">
        <f t="shared" si="82"/>
        <v>-0.48937211430030425</v>
      </c>
      <c r="M859" s="6" t="str">
        <f t="shared" si="83"/>
        <v>Medium Ratings</v>
      </c>
      <c r="N859" s="34">
        <f t="array" ref="N859">MEDIAN(_xlfn._xlws.FILTER(Table4[Original Price],Table4[Brand-Renamed] = Table4[[#This Row],[Brand]]))</f>
        <v>23999</v>
      </c>
      <c r="O859" s="35">
        <f t="array" ref="O859">MEDIAN(_xlfn._xlws.FILTER(Table4[Selling Price],Table4[Brand-Renamed] =Table4[[#This Row],[Brand-Renamed]]))</f>
        <v>17999</v>
      </c>
    </row>
    <row r="860" spans="1:15" ht="13.8" x14ac:dyDescent="0.25">
      <c r="A860" s="4" t="s">
        <v>130</v>
      </c>
      <c r="B860" s="4" t="str">
        <f t="shared" si="78"/>
        <v xml:space="preserve">Rgl </v>
      </c>
      <c r="C860" s="4" t="s">
        <v>8</v>
      </c>
      <c r="D860" s="4">
        <v>20</v>
      </c>
      <c r="E860" s="4">
        <v>4849</v>
      </c>
      <c r="F860" s="4">
        <v>8990</v>
      </c>
      <c r="G860" s="4" t="s">
        <v>62</v>
      </c>
      <c r="H860" s="4">
        <v>3.9</v>
      </c>
      <c r="I860" s="4">
        <f t="shared" si="79"/>
        <v>4141</v>
      </c>
      <c r="J860">
        <f t="shared" si="80"/>
        <v>0.46062291434927699</v>
      </c>
      <c r="K860" s="4">
        <f t="shared" si="81"/>
        <v>-4141</v>
      </c>
      <c r="L860" s="5">
        <f t="shared" si="82"/>
        <v>-0.85399051350793975</v>
      </c>
      <c r="M860" s="4" t="str">
        <f t="shared" si="83"/>
        <v>Medium Ratings</v>
      </c>
      <c r="N860" s="34">
        <f t="array" ref="N860">MEDIAN(_xlfn._xlws.FILTER(Table4[Original Price],Table4[Brand-Renamed] = Table4[[#This Row],[Brand]]))</f>
        <v>12000</v>
      </c>
      <c r="O860" s="35">
        <f t="array" ref="O860">MEDIAN(_xlfn._xlws.FILTER(Table4[Selling Price],Table4[Brand-Renamed] =Table4[[#This Row],[Brand-Renamed]]))</f>
        <v>5490</v>
      </c>
    </row>
    <row r="861" spans="1:15" ht="13.8" x14ac:dyDescent="0.25">
      <c r="A861" s="6" t="s">
        <v>130</v>
      </c>
      <c r="B861" s="4" t="str">
        <f t="shared" si="78"/>
        <v xml:space="preserve">Rgl </v>
      </c>
      <c r="C861" s="6" t="s">
        <v>8</v>
      </c>
      <c r="D861" s="6">
        <v>21</v>
      </c>
      <c r="E861" s="6">
        <v>5200</v>
      </c>
      <c r="F861" s="6">
        <v>9420</v>
      </c>
      <c r="G861" s="6" t="s">
        <v>62</v>
      </c>
      <c r="H861" s="6">
        <v>3.9</v>
      </c>
      <c r="I861" s="6">
        <f t="shared" si="79"/>
        <v>4220</v>
      </c>
      <c r="J861">
        <f t="shared" si="80"/>
        <v>0.44798301486199577</v>
      </c>
      <c r="K861" s="6">
        <f t="shared" si="81"/>
        <v>-4220</v>
      </c>
      <c r="L861" s="7">
        <f t="shared" si="82"/>
        <v>-0.81153846153846154</v>
      </c>
      <c r="M861" s="6" t="str">
        <f t="shared" si="83"/>
        <v>Medium Ratings</v>
      </c>
      <c r="N861" s="34">
        <f t="array" ref="N861">MEDIAN(_xlfn._xlws.FILTER(Table4[Original Price],Table4[Brand-Renamed] = Table4[[#This Row],[Brand]]))</f>
        <v>12000</v>
      </c>
      <c r="O861" s="35">
        <f t="array" ref="O861">MEDIAN(_xlfn._xlws.FILTER(Table4[Selling Price],Table4[Brand-Renamed] =Table4[[#This Row],[Brand-Renamed]]))</f>
        <v>5490</v>
      </c>
    </row>
    <row r="862" spans="1:15" ht="13.8" x14ac:dyDescent="0.25">
      <c r="A862" s="4" t="s">
        <v>130</v>
      </c>
      <c r="B862" s="4" t="str">
        <f t="shared" si="78"/>
        <v xml:space="preserve">Rgl </v>
      </c>
      <c r="C862" s="4" t="s">
        <v>8</v>
      </c>
      <c r="D862" s="4">
        <v>24</v>
      </c>
      <c r="E862" s="4">
        <v>5459</v>
      </c>
      <c r="F862" s="4">
        <v>12000</v>
      </c>
      <c r="G862" s="4" t="s">
        <v>62</v>
      </c>
      <c r="H862" s="4">
        <v>3.9</v>
      </c>
      <c r="I862" s="4">
        <f t="shared" si="79"/>
        <v>6541</v>
      </c>
      <c r="J862">
        <f t="shared" si="80"/>
        <v>0.54508333333333336</v>
      </c>
      <c r="K862" s="4">
        <f t="shared" si="81"/>
        <v>-6541</v>
      </c>
      <c r="L862" s="5">
        <f t="shared" si="82"/>
        <v>-1.1982047994138121</v>
      </c>
      <c r="M862" s="4" t="str">
        <f t="shared" si="83"/>
        <v>Medium Ratings</v>
      </c>
      <c r="N862" s="34">
        <f t="array" ref="N862">MEDIAN(_xlfn._xlws.FILTER(Table4[Original Price],Table4[Brand-Renamed] = Table4[[#This Row],[Brand]]))</f>
        <v>12000</v>
      </c>
      <c r="O862" s="35">
        <f t="array" ref="O862">MEDIAN(_xlfn._xlws.FILTER(Table4[Selling Price],Table4[Brand-Renamed] =Table4[[#This Row],[Brand-Renamed]]))</f>
        <v>5490</v>
      </c>
    </row>
    <row r="863" spans="1:15" ht="13.8" x14ac:dyDescent="0.25">
      <c r="A863" s="6" t="s">
        <v>130</v>
      </c>
      <c r="B863" s="4" t="str">
        <f t="shared" si="78"/>
        <v xml:space="preserve">Rgl </v>
      </c>
      <c r="C863" s="6" t="s">
        <v>19</v>
      </c>
      <c r="D863" s="6">
        <v>32</v>
      </c>
      <c r="E863" s="6">
        <v>11290</v>
      </c>
      <c r="F863" s="6">
        <v>16990</v>
      </c>
      <c r="G863" s="6" t="s">
        <v>62</v>
      </c>
      <c r="H863" s="6">
        <v>3.7</v>
      </c>
      <c r="I863" s="6">
        <f t="shared" si="79"/>
        <v>5700</v>
      </c>
      <c r="J863">
        <f t="shared" si="80"/>
        <v>0.33549146556798115</v>
      </c>
      <c r="K863" s="6">
        <f t="shared" si="81"/>
        <v>-5700</v>
      </c>
      <c r="L863" s="7">
        <f t="shared" si="82"/>
        <v>-0.50487156775907882</v>
      </c>
      <c r="M863" s="6" t="str">
        <f t="shared" si="83"/>
        <v>Bad Ratings</v>
      </c>
      <c r="N863" s="34">
        <f t="array" ref="N863">MEDIAN(_xlfn._xlws.FILTER(Table4[Original Price],Table4[Brand-Renamed] = Table4[[#This Row],[Brand]]))</f>
        <v>12000</v>
      </c>
      <c r="O863" s="35">
        <f t="array" ref="O863">MEDIAN(_xlfn._xlws.FILTER(Table4[Selling Price],Table4[Brand-Renamed] =Table4[[#This Row],[Brand-Renamed]]))</f>
        <v>5490</v>
      </c>
    </row>
    <row r="864" spans="1:15" ht="13.8" x14ac:dyDescent="0.25">
      <c r="A864" s="4" t="s">
        <v>92</v>
      </c>
      <c r="B864" s="4" t="str">
        <f t="shared" si="78"/>
        <v xml:space="preserve">Weston </v>
      </c>
      <c r="C864" s="4" t="s">
        <v>8</v>
      </c>
      <c r="D864" s="4">
        <v>40</v>
      </c>
      <c r="E864" s="4">
        <v>27990</v>
      </c>
      <c r="F864" s="4">
        <v>27990</v>
      </c>
      <c r="G864" s="4" t="s">
        <v>54</v>
      </c>
      <c r="H864" s="4">
        <v>4.4000000000000004</v>
      </c>
      <c r="I864" s="4">
        <f t="shared" si="79"/>
        <v>0</v>
      </c>
      <c r="J864" t="str">
        <f t="shared" si="80"/>
        <v>Discount Not Applied</v>
      </c>
      <c r="K864" s="4">
        <f t="shared" si="81"/>
        <v>0</v>
      </c>
      <c r="L864" s="5">
        <f t="shared" si="82"/>
        <v>0</v>
      </c>
      <c r="M864" s="4" t="str">
        <f t="shared" si="83"/>
        <v>Medium Ratings</v>
      </c>
      <c r="N864" s="34">
        <f t="array" ref="N864">MEDIAN(_xlfn._xlws.FILTER(Table4[Original Price],Table4[Brand-Renamed] = Table4[[#This Row],[Brand]]))</f>
        <v>40990</v>
      </c>
      <c r="O864" s="35">
        <f t="array" ref="O864">MEDIAN(_xlfn._xlws.FILTER(Table4[Selling Price],Table4[Brand-Renamed] =Table4[[#This Row],[Brand-Renamed]]))</f>
        <v>40990</v>
      </c>
    </row>
    <row r="865" spans="1:15" ht="13.8" x14ac:dyDescent="0.25">
      <c r="A865" s="6" t="s">
        <v>92</v>
      </c>
      <c r="B865" s="4" t="str">
        <f t="shared" si="78"/>
        <v xml:space="preserve">Weston </v>
      </c>
      <c r="C865" s="6" t="s">
        <v>8</v>
      </c>
      <c r="D865" s="6">
        <v>43</v>
      </c>
      <c r="E865" s="6">
        <v>37990</v>
      </c>
      <c r="F865" s="6">
        <v>37990</v>
      </c>
      <c r="G865" s="6" t="s">
        <v>54</v>
      </c>
      <c r="H865" s="6">
        <v>3.9</v>
      </c>
      <c r="I865" s="6">
        <f t="shared" si="79"/>
        <v>0</v>
      </c>
      <c r="J865" t="str">
        <f t="shared" si="80"/>
        <v>Discount Not Applied</v>
      </c>
      <c r="K865" s="6">
        <f t="shared" si="81"/>
        <v>0</v>
      </c>
      <c r="L865" s="7">
        <f t="shared" si="82"/>
        <v>0</v>
      </c>
      <c r="M865" s="6" t="str">
        <f t="shared" si="83"/>
        <v>Medium Ratings</v>
      </c>
      <c r="N865" s="34">
        <f t="array" ref="N865">MEDIAN(_xlfn._xlws.FILTER(Table4[Original Price],Table4[Brand-Renamed] = Table4[[#This Row],[Brand]]))</f>
        <v>40990</v>
      </c>
      <c r="O865" s="35">
        <f t="array" ref="O865">MEDIAN(_xlfn._xlws.FILTER(Table4[Selling Price],Table4[Brand-Renamed] =Table4[[#This Row],[Brand-Renamed]]))</f>
        <v>40990</v>
      </c>
    </row>
    <row r="866" spans="1:15" ht="13.8" x14ac:dyDescent="0.25">
      <c r="A866" s="4" t="s">
        <v>92</v>
      </c>
      <c r="B866" s="4" t="str">
        <f t="shared" si="78"/>
        <v xml:space="preserve">Weston </v>
      </c>
      <c r="C866" s="4" t="s">
        <v>32</v>
      </c>
      <c r="D866" s="4">
        <v>43</v>
      </c>
      <c r="E866" s="4">
        <v>40990</v>
      </c>
      <c r="F866" s="4">
        <v>40990</v>
      </c>
      <c r="G866" s="4" t="s">
        <v>54</v>
      </c>
      <c r="H866" s="4">
        <v>4.3</v>
      </c>
      <c r="I866" s="4">
        <f t="shared" si="79"/>
        <v>0</v>
      </c>
      <c r="J866" t="str">
        <f t="shared" si="80"/>
        <v>Discount Not Applied</v>
      </c>
      <c r="K866" s="4">
        <f t="shared" si="81"/>
        <v>0</v>
      </c>
      <c r="L866" s="5">
        <f t="shared" si="82"/>
        <v>0</v>
      </c>
      <c r="M866" s="4" t="str">
        <f t="shared" si="83"/>
        <v>Medium Ratings</v>
      </c>
      <c r="N866" s="34">
        <f t="array" ref="N866">MEDIAN(_xlfn._xlws.FILTER(Table4[Original Price],Table4[Brand-Renamed] = Table4[[#This Row],[Brand]]))</f>
        <v>40990</v>
      </c>
      <c r="O866" s="35">
        <f t="array" ref="O866">MEDIAN(_xlfn._xlws.FILTER(Table4[Selling Price],Table4[Brand-Renamed] =Table4[[#This Row],[Brand-Renamed]]))</f>
        <v>40990</v>
      </c>
    </row>
    <row r="867" spans="1:15" ht="13.8" x14ac:dyDescent="0.25">
      <c r="A867" s="6" t="s">
        <v>92</v>
      </c>
      <c r="B867" s="4" t="str">
        <f t="shared" si="78"/>
        <v xml:space="preserve">Weston </v>
      </c>
      <c r="C867" s="6" t="s">
        <v>8</v>
      </c>
      <c r="D867" s="6">
        <v>49</v>
      </c>
      <c r="E867" s="6">
        <v>49990</v>
      </c>
      <c r="F867" s="6">
        <v>49990</v>
      </c>
      <c r="G867" s="6" t="s">
        <v>54</v>
      </c>
      <c r="H867" s="6">
        <v>4.4000000000000004</v>
      </c>
      <c r="I867" s="6">
        <f t="shared" si="79"/>
        <v>0</v>
      </c>
      <c r="J867" t="str">
        <f t="shared" si="80"/>
        <v>Discount Not Applied</v>
      </c>
      <c r="K867" s="6">
        <f t="shared" si="81"/>
        <v>0</v>
      </c>
      <c r="L867" s="7">
        <f t="shared" si="82"/>
        <v>0</v>
      </c>
      <c r="M867" s="6" t="str">
        <f t="shared" si="83"/>
        <v>Medium Ratings</v>
      </c>
      <c r="N867" s="34">
        <f t="array" ref="N867">MEDIAN(_xlfn._xlws.FILTER(Table4[Original Price],Table4[Brand-Renamed] = Table4[[#This Row],[Brand]]))</f>
        <v>40990</v>
      </c>
      <c r="O867" s="35">
        <f t="array" ref="O867">MEDIAN(_xlfn._xlws.FILTER(Table4[Selling Price],Table4[Brand-Renamed] =Table4[[#This Row],[Brand-Renamed]]))</f>
        <v>40990</v>
      </c>
    </row>
    <row r="868" spans="1:15" ht="13.8" x14ac:dyDescent="0.25">
      <c r="A868" s="4" t="s">
        <v>15</v>
      </c>
      <c r="B868" s="4" t="str">
        <f t="shared" si="78"/>
        <v>Vu</v>
      </c>
      <c r="C868" s="4" t="s">
        <v>32</v>
      </c>
      <c r="D868" s="4">
        <v>65</v>
      </c>
      <c r="E868" s="4">
        <v>116000</v>
      </c>
      <c r="F868" s="4">
        <v>116000</v>
      </c>
      <c r="G868" s="4" t="s">
        <v>60</v>
      </c>
      <c r="H868" s="4">
        <v>4.5</v>
      </c>
      <c r="I868" s="4">
        <f t="shared" si="79"/>
        <v>0</v>
      </c>
      <c r="J868" t="str">
        <f t="shared" si="80"/>
        <v>Discount Not Applied</v>
      </c>
      <c r="K868" s="4">
        <f t="shared" si="81"/>
        <v>0</v>
      </c>
      <c r="L868" s="5">
        <f t="shared" si="82"/>
        <v>0</v>
      </c>
      <c r="M868" s="4" t="str">
        <f t="shared" si="83"/>
        <v>Good Ratings</v>
      </c>
      <c r="N868" s="34">
        <f t="array" ref="N868">MEDIAN(_xlfn._xlws.FILTER(Table4[Original Price],Table4[Brand-Renamed] = Table4[[#This Row],[Brand]]))</f>
        <v>49990</v>
      </c>
      <c r="O868" s="35">
        <f t="array" ref="O868">MEDIAN(_xlfn._xlws.FILTER(Table4[Selling Price],Table4[Brand-Renamed] =Table4[[#This Row],[Brand-Renamed]]))</f>
        <v>30999</v>
      </c>
    </row>
    <row r="869" spans="1:15" ht="13.8" x14ac:dyDescent="0.25">
      <c r="A869" s="6" t="s">
        <v>15</v>
      </c>
      <c r="B869" s="4" t="str">
        <f t="shared" si="78"/>
        <v>Vu</v>
      </c>
      <c r="C869" s="6" t="s">
        <v>8</v>
      </c>
      <c r="D869" s="6">
        <v>40</v>
      </c>
      <c r="E869" s="6">
        <v>16999</v>
      </c>
      <c r="F869" s="6">
        <v>27000</v>
      </c>
      <c r="G869" s="6" t="s">
        <v>60</v>
      </c>
      <c r="H869" s="6">
        <v>4.4000000000000004</v>
      </c>
      <c r="I869" s="6">
        <f t="shared" si="79"/>
        <v>10001</v>
      </c>
      <c r="J869">
        <f t="shared" si="80"/>
        <v>0.37040740740740741</v>
      </c>
      <c r="K869" s="6">
        <f t="shared" si="81"/>
        <v>-10001</v>
      </c>
      <c r="L869" s="7">
        <f t="shared" si="82"/>
        <v>-0.58832872521913049</v>
      </c>
      <c r="M869" s="6" t="str">
        <f t="shared" si="83"/>
        <v>Medium Ratings</v>
      </c>
      <c r="N869" s="34">
        <f t="array" ref="N869">MEDIAN(_xlfn._xlws.FILTER(Table4[Original Price],Table4[Brand-Renamed] = Table4[[#This Row],[Brand]]))</f>
        <v>49990</v>
      </c>
      <c r="O869" s="35">
        <f t="array" ref="O869">MEDIAN(_xlfn._xlws.FILTER(Table4[Selling Price],Table4[Brand-Renamed] =Table4[[#This Row],[Brand-Renamed]]))</f>
        <v>30999</v>
      </c>
    </row>
    <row r="870" spans="1:15" ht="13.8" x14ac:dyDescent="0.25">
      <c r="A870" s="4" t="s">
        <v>15</v>
      </c>
      <c r="B870" s="4" t="str">
        <f t="shared" si="78"/>
        <v>Vu</v>
      </c>
      <c r="C870" s="4" t="s">
        <v>32</v>
      </c>
      <c r="D870" s="4">
        <v>43</v>
      </c>
      <c r="E870" s="4">
        <v>23999</v>
      </c>
      <c r="F870" s="4">
        <v>46165</v>
      </c>
      <c r="G870" s="4" t="s">
        <v>60</v>
      </c>
      <c r="H870" s="4">
        <v>4.3</v>
      </c>
      <c r="I870" s="4">
        <f t="shared" si="79"/>
        <v>22166</v>
      </c>
      <c r="J870">
        <f t="shared" si="80"/>
        <v>0.48014729773638037</v>
      </c>
      <c r="K870" s="4">
        <f t="shared" si="81"/>
        <v>-22166</v>
      </c>
      <c r="L870" s="5">
        <f t="shared" si="82"/>
        <v>-0.92362181757573236</v>
      </c>
      <c r="M870" s="4" t="str">
        <f t="shared" si="83"/>
        <v>Medium Ratings</v>
      </c>
      <c r="N870" s="34">
        <f t="array" ref="N870">MEDIAN(_xlfn._xlws.FILTER(Table4[Original Price],Table4[Brand-Renamed] = Table4[[#This Row],[Brand]]))</f>
        <v>49990</v>
      </c>
      <c r="O870" s="35">
        <f t="array" ref="O870">MEDIAN(_xlfn._xlws.FILTER(Table4[Selling Price],Table4[Brand-Renamed] =Table4[[#This Row],[Brand-Renamed]]))</f>
        <v>30999</v>
      </c>
    </row>
    <row r="871" spans="1:15" ht="13.8" x14ac:dyDescent="0.25">
      <c r="A871" s="6" t="s">
        <v>15</v>
      </c>
      <c r="B871" s="4" t="str">
        <f t="shared" si="78"/>
        <v>Vu</v>
      </c>
      <c r="C871" s="6" t="s">
        <v>32</v>
      </c>
      <c r="D871" s="6">
        <v>50</v>
      </c>
      <c r="E871" s="6">
        <v>26360</v>
      </c>
      <c r="F871" s="6">
        <v>41990</v>
      </c>
      <c r="G871" s="6" t="s">
        <v>60</v>
      </c>
      <c r="H871" s="6">
        <v>4.4000000000000004</v>
      </c>
      <c r="I871" s="6">
        <f t="shared" si="79"/>
        <v>15630</v>
      </c>
      <c r="J871">
        <f t="shared" si="80"/>
        <v>0.37223148368659204</v>
      </c>
      <c r="K871" s="6">
        <f t="shared" si="81"/>
        <v>-15630</v>
      </c>
      <c r="L871" s="7">
        <f t="shared" si="82"/>
        <v>-0.5929438543247344</v>
      </c>
      <c r="M871" s="6" t="str">
        <f t="shared" si="83"/>
        <v>Medium Ratings</v>
      </c>
      <c r="N871" s="34">
        <f t="array" ref="N871">MEDIAN(_xlfn._xlws.FILTER(Table4[Original Price],Table4[Brand-Renamed] = Table4[[#This Row],[Brand]]))</f>
        <v>49990</v>
      </c>
      <c r="O871" s="35">
        <f t="array" ref="O871">MEDIAN(_xlfn._xlws.FILTER(Table4[Selling Price],Table4[Brand-Renamed] =Table4[[#This Row],[Brand-Renamed]]))</f>
        <v>30999</v>
      </c>
    </row>
    <row r="872" spans="1:15" ht="13.8" x14ac:dyDescent="0.25">
      <c r="A872" s="4" t="s">
        <v>135</v>
      </c>
      <c r="B872" s="4" t="str">
        <f t="shared" si="78"/>
        <v xml:space="preserve">Vg </v>
      </c>
      <c r="C872" s="4" t="s">
        <v>19</v>
      </c>
      <c r="D872" s="4">
        <v>32</v>
      </c>
      <c r="E872" s="4">
        <v>15990</v>
      </c>
      <c r="F872" s="4">
        <v>20500</v>
      </c>
      <c r="G872" s="4" t="s">
        <v>54</v>
      </c>
      <c r="H872" s="4"/>
      <c r="I872" s="4">
        <f t="shared" si="79"/>
        <v>4510</v>
      </c>
      <c r="J872">
        <f t="shared" si="80"/>
        <v>0.22</v>
      </c>
      <c r="K872" s="4">
        <f t="shared" si="81"/>
        <v>-4510</v>
      </c>
      <c r="L872" s="5">
        <f t="shared" si="82"/>
        <v>-0.28205128205128205</v>
      </c>
      <c r="M872" s="4" t="str">
        <f t="shared" si="83"/>
        <v>Ratings Not Given</v>
      </c>
      <c r="N872" s="34">
        <f t="array" ref="N872">MEDIAN(_xlfn._xlws.FILTER(Table4[Original Price],Table4[Brand-Renamed] = Table4[[#This Row],[Brand]]))</f>
        <v>28500</v>
      </c>
      <c r="O872" s="35">
        <f t="array" ref="O872">MEDIAN(_xlfn._xlws.FILTER(Table4[Selling Price],Table4[Brand-Renamed] =Table4[[#This Row],[Brand-Renamed]]))</f>
        <v>18494.5</v>
      </c>
    </row>
    <row r="873" spans="1:15" ht="13.8" x14ac:dyDescent="0.25">
      <c r="A873" s="6" t="s">
        <v>135</v>
      </c>
      <c r="B873" s="4" t="str">
        <f t="shared" si="78"/>
        <v xml:space="preserve">Vg </v>
      </c>
      <c r="C873" s="6" t="s">
        <v>19</v>
      </c>
      <c r="D873" s="6">
        <v>39</v>
      </c>
      <c r="E873" s="6">
        <v>17999</v>
      </c>
      <c r="F873" s="6">
        <v>31000</v>
      </c>
      <c r="G873" s="6" t="s">
        <v>54</v>
      </c>
      <c r="H873" s="6"/>
      <c r="I873" s="6">
        <f t="shared" si="79"/>
        <v>13001</v>
      </c>
      <c r="J873">
        <f t="shared" si="80"/>
        <v>0.41938709677419356</v>
      </c>
      <c r="K873" s="6">
        <f t="shared" si="81"/>
        <v>-13001</v>
      </c>
      <c r="L873" s="7">
        <f t="shared" si="82"/>
        <v>-0.72231790655036388</v>
      </c>
      <c r="M873" s="6" t="str">
        <f t="shared" si="83"/>
        <v>Ratings Not Given</v>
      </c>
      <c r="N873" s="34">
        <f t="array" ref="N873">MEDIAN(_xlfn._xlws.FILTER(Table4[Original Price],Table4[Brand-Renamed] = Table4[[#This Row],[Brand]]))</f>
        <v>28500</v>
      </c>
      <c r="O873" s="35">
        <f t="array" ref="O873">MEDIAN(_xlfn._xlws.FILTER(Table4[Selling Price],Table4[Brand-Renamed] =Table4[[#This Row],[Brand-Renamed]]))</f>
        <v>18494.5</v>
      </c>
    </row>
    <row r="874" spans="1:15" ht="13.8" x14ac:dyDescent="0.25">
      <c r="A874" s="4" t="s">
        <v>90</v>
      </c>
      <c r="B874" s="4" t="str">
        <f t="shared" si="78"/>
        <v>T-Series</v>
      </c>
      <c r="C874" s="4" t="s">
        <v>19</v>
      </c>
      <c r="D874" s="4">
        <v>32</v>
      </c>
      <c r="E874" s="4">
        <v>12499</v>
      </c>
      <c r="F874" s="4">
        <v>17990</v>
      </c>
      <c r="G874" s="4" t="s">
        <v>60</v>
      </c>
      <c r="H874" s="4"/>
      <c r="I874" s="4">
        <f t="shared" si="79"/>
        <v>5491</v>
      </c>
      <c r="J874">
        <f t="shared" si="80"/>
        <v>0.30522512506948307</v>
      </c>
      <c r="K874" s="4">
        <f t="shared" si="81"/>
        <v>-5491</v>
      </c>
      <c r="L874" s="5">
        <f t="shared" si="82"/>
        <v>-0.43931514521161691</v>
      </c>
      <c r="M874" s="4" t="str">
        <f t="shared" si="83"/>
        <v>Ratings Not Given</v>
      </c>
      <c r="N874" s="34">
        <f t="array" ref="N874">MEDIAN(_xlfn._xlws.FILTER(Table4[Original Price],Table4[Brand-Renamed] = Table4[[#This Row],[Brand]]))</f>
        <v>20990</v>
      </c>
      <c r="O874" s="35">
        <f t="array" ref="O874">MEDIAN(_xlfn._xlws.FILTER(Table4[Selling Price],Table4[Brand-Renamed] =Table4[[#This Row],[Brand-Renamed]]))</f>
        <v>16499</v>
      </c>
    </row>
    <row r="875" spans="1:15" ht="13.8" x14ac:dyDescent="0.25">
      <c r="A875" s="6" t="s">
        <v>90</v>
      </c>
      <c r="B875" s="4" t="str">
        <f t="shared" si="78"/>
        <v>T-Series</v>
      </c>
      <c r="C875" s="6" t="s">
        <v>19</v>
      </c>
      <c r="D875" s="6">
        <v>32</v>
      </c>
      <c r="E875" s="6">
        <v>16499</v>
      </c>
      <c r="F875" s="6">
        <v>18990</v>
      </c>
      <c r="G875" s="6" t="s">
        <v>54</v>
      </c>
      <c r="H875" s="6">
        <v>3.9</v>
      </c>
      <c r="I875" s="6">
        <f t="shared" si="79"/>
        <v>2491</v>
      </c>
      <c r="J875">
        <f t="shared" si="80"/>
        <v>0.13117430226434965</v>
      </c>
      <c r="K875" s="6">
        <f t="shared" si="81"/>
        <v>-2491</v>
      </c>
      <c r="L875" s="7">
        <f t="shared" si="82"/>
        <v>-0.15097884720286078</v>
      </c>
      <c r="M875" s="6" t="str">
        <f t="shared" si="83"/>
        <v>Medium Ratings</v>
      </c>
      <c r="N875" s="34">
        <f t="array" ref="N875">MEDIAN(_xlfn._xlws.FILTER(Table4[Original Price],Table4[Brand-Renamed] = Table4[[#This Row],[Brand]]))</f>
        <v>20990</v>
      </c>
      <c r="O875" s="35">
        <f t="array" ref="O875">MEDIAN(_xlfn._xlws.FILTER(Table4[Selling Price],Table4[Brand-Renamed] =Table4[[#This Row],[Brand-Renamed]]))</f>
        <v>16499</v>
      </c>
    </row>
    <row r="876" spans="1:15" ht="13.8" x14ac:dyDescent="0.25">
      <c r="A876" s="4" t="s">
        <v>90</v>
      </c>
      <c r="B876" s="4" t="str">
        <f t="shared" si="78"/>
        <v>T-Series</v>
      </c>
      <c r="C876" s="4" t="s">
        <v>19</v>
      </c>
      <c r="D876" s="4">
        <v>32</v>
      </c>
      <c r="E876" s="4">
        <v>15999</v>
      </c>
      <c r="F876" s="4">
        <v>20990</v>
      </c>
      <c r="G876" s="4" t="s">
        <v>54</v>
      </c>
      <c r="H876" s="4"/>
      <c r="I876" s="4">
        <f t="shared" si="79"/>
        <v>4991</v>
      </c>
      <c r="J876">
        <f t="shared" si="80"/>
        <v>0.23777989518818485</v>
      </c>
      <c r="K876" s="4">
        <f t="shared" si="81"/>
        <v>-4991</v>
      </c>
      <c r="L876" s="5">
        <f t="shared" si="82"/>
        <v>-0.31195699731233201</v>
      </c>
      <c r="M876" s="4" t="str">
        <f t="shared" si="83"/>
        <v>Ratings Not Given</v>
      </c>
      <c r="N876" s="34">
        <f t="array" ref="N876">MEDIAN(_xlfn._xlws.FILTER(Table4[Original Price],Table4[Brand-Renamed] = Table4[[#This Row],[Brand]]))</f>
        <v>20990</v>
      </c>
      <c r="O876" s="35">
        <f t="array" ref="O876">MEDIAN(_xlfn._xlws.FILTER(Table4[Selling Price],Table4[Brand-Renamed] =Table4[[#This Row],[Brand-Renamed]]))</f>
        <v>16499</v>
      </c>
    </row>
    <row r="877" spans="1:15" ht="13.8" x14ac:dyDescent="0.25">
      <c r="A877" s="6" t="s">
        <v>90</v>
      </c>
      <c r="B877" s="4" t="str">
        <f t="shared" si="78"/>
        <v>T-Series</v>
      </c>
      <c r="C877" s="6" t="s">
        <v>8</v>
      </c>
      <c r="D877" s="6">
        <v>40</v>
      </c>
      <c r="E877" s="6">
        <v>18499</v>
      </c>
      <c r="F877" s="6">
        <v>25990</v>
      </c>
      <c r="G877" s="6" t="s">
        <v>54</v>
      </c>
      <c r="H877" s="6"/>
      <c r="I877" s="6">
        <f t="shared" si="79"/>
        <v>7491</v>
      </c>
      <c r="J877">
        <f t="shared" si="80"/>
        <v>0.28822624086186993</v>
      </c>
      <c r="K877" s="6">
        <f t="shared" si="81"/>
        <v>-7491</v>
      </c>
      <c r="L877" s="7">
        <f t="shared" si="82"/>
        <v>-0.40494080761122225</v>
      </c>
      <c r="M877" s="6" t="str">
        <f t="shared" si="83"/>
        <v>Ratings Not Given</v>
      </c>
      <c r="N877" s="34">
        <f t="array" ref="N877">MEDIAN(_xlfn._xlws.FILTER(Table4[Original Price],Table4[Brand-Renamed] = Table4[[#This Row],[Brand]]))</f>
        <v>20990</v>
      </c>
      <c r="O877" s="35">
        <f t="array" ref="O877">MEDIAN(_xlfn._xlws.FILTER(Table4[Selling Price],Table4[Brand-Renamed] =Table4[[#This Row],[Brand-Renamed]]))</f>
        <v>16499</v>
      </c>
    </row>
    <row r="878" spans="1:15" ht="13.8" x14ac:dyDescent="0.25">
      <c r="A878" s="4" t="s">
        <v>118</v>
      </c>
      <c r="B878" s="4" t="str">
        <f t="shared" si="78"/>
        <v>Toshiba</v>
      </c>
      <c r="C878" s="4" t="s">
        <v>8</v>
      </c>
      <c r="D878" s="4">
        <v>43</v>
      </c>
      <c r="E878" s="4">
        <v>24999</v>
      </c>
      <c r="F878" s="4">
        <v>31990</v>
      </c>
      <c r="G878" s="4" t="s">
        <v>64</v>
      </c>
      <c r="H878" s="4"/>
      <c r="I878" s="4">
        <f t="shared" si="79"/>
        <v>6991</v>
      </c>
      <c r="J878">
        <f t="shared" si="80"/>
        <v>0.2185370428258831</v>
      </c>
      <c r="K878" s="4">
        <f t="shared" si="81"/>
        <v>-6991</v>
      </c>
      <c r="L878" s="5">
        <f t="shared" si="82"/>
        <v>-0.27965118604744188</v>
      </c>
      <c r="M878" s="4" t="str">
        <f t="shared" si="83"/>
        <v>Ratings Not Given</v>
      </c>
      <c r="N878" s="34">
        <f t="array" ref="N878">MEDIAN(_xlfn._xlws.FILTER(Table4[Original Price],Table4[Brand-Renamed] = Table4[[#This Row],[Brand]]))</f>
        <v>46990</v>
      </c>
      <c r="O878" s="35">
        <f t="array" ref="O878">MEDIAN(_xlfn._xlws.FILTER(Table4[Selling Price],Table4[Brand-Renamed] =Table4[[#This Row],[Brand-Renamed]]))</f>
        <v>29999</v>
      </c>
    </row>
    <row r="879" spans="1:15" ht="13.8" x14ac:dyDescent="0.25">
      <c r="A879" s="6" t="s">
        <v>118</v>
      </c>
      <c r="B879" s="4" t="str">
        <f t="shared" si="78"/>
        <v>Toshiba</v>
      </c>
      <c r="C879" s="6" t="s">
        <v>32</v>
      </c>
      <c r="D879" s="6">
        <v>65</v>
      </c>
      <c r="E879" s="6">
        <v>66999</v>
      </c>
      <c r="F879" s="6">
        <v>84990</v>
      </c>
      <c r="G879" s="6" t="s">
        <v>64</v>
      </c>
      <c r="H879" s="6">
        <v>4.5</v>
      </c>
      <c r="I879" s="6">
        <f t="shared" si="79"/>
        <v>17991</v>
      </c>
      <c r="J879">
        <f t="shared" si="80"/>
        <v>0.21168372749735262</v>
      </c>
      <c r="K879" s="6">
        <f t="shared" si="81"/>
        <v>-17991</v>
      </c>
      <c r="L879" s="7">
        <f t="shared" si="82"/>
        <v>-0.26852639591635696</v>
      </c>
      <c r="M879" s="6" t="str">
        <f t="shared" si="83"/>
        <v>Good Ratings</v>
      </c>
      <c r="N879" s="34">
        <f t="array" ref="N879">MEDIAN(_xlfn._xlws.FILTER(Table4[Original Price],Table4[Brand-Renamed] = Table4[[#This Row],[Brand]]))</f>
        <v>46990</v>
      </c>
      <c r="O879" s="35">
        <f t="array" ref="O879">MEDIAN(_xlfn._xlws.FILTER(Table4[Selling Price],Table4[Brand-Renamed] =Table4[[#This Row],[Brand-Renamed]]))</f>
        <v>29999</v>
      </c>
    </row>
    <row r="880" spans="1:15" ht="13.8" x14ac:dyDescent="0.25">
      <c r="A880" s="4" t="s">
        <v>118</v>
      </c>
      <c r="B880" s="4" t="str">
        <f t="shared" si="78"/>
        <v>Toshiba</v>
      </c>
      <c r="C880" s="4" t="s">
        <v>8</v>
      </c>
      <c r="D880" s="4">
        <v>49</v>
      </c>
      <c r="E880" s="4">
        <v>29999</v>
      </c>
      <c r="F880" s="4">
        <v>51999</v>
      </c>
      <c r="G880" s="4" t="s">
        <v>64</v>
      </c>
      <c r="H880" s="4"/>
      <c r="I880" s="4">
        <f t="shared" si="79"/>
        <v>22000</v>
      </c>
      <c r="J880">
        <f t="shared" si="80"/>
        <v>0.42308505932806401</v>
      </c>
      <c r="K880" s="4">
        <f t="shared" si="81"/>
        <v>-22000</v>
      </c>
      <c r="L880" s="5">
        <f t="shared" si="82"/>
        <v>-0.73335777859261975</v>
      </c>
      <c r="M880" s="4" t="str">
        <f t="shared" si="83"/>
        <v>Ratings Not Given</v>
      </c>
      <c r="N880" s="34">
        <f t="array" ref="N880">MEDIAN(_xlfn._xlws.FILTER(Table4[Original Price],Table4[Brand-Renamed] = Table4[[#This Row],[Brand]]))</f>
        <v>46990</v>
      </c>
      <c r="O880" s="35">
        <f t="array" ref="O880">MEDIAN(_xlfn._xlws.FILTER(Table4[Selling Price],Table4[Brand-Renamed] =Table4[[#This Row],[Brand-Renamed]]))</f>
        <v>29999</v>
      </c>
    </row>
    <row r="881" spans="1:15" ht="13.8" x14ac:dyDescent="0.25">
      <c r="A881" s="6" t="s">
        <v>118</v>
      </c>
      <c r="B881" s="4" t="str">
        <f t="shared" si="78"/>
        <v>Toshiba</v>
      </c>
      <c r="C881" s="6" t="s">
        <v>32</v>
      </c>
      <c r="D881" s="6">
        <v>65</v>
      </c>
      <c r="E881" s="6">
        <v>96999</v>
      </c>
      <c r="F881" s="6">
        <v>133990</v>
      </c>
      <c r="G881" s="6" t="s">
        <v>64</v>
      </c>
      <c r="H881" s="6"/>
      <c r="I881" s="6">
        <f t="shared" si="79"/>
        <v>36991</v>
      </c>
      <c r="J881">
        <f t="shared" si="80"/>
        <v>0.2760728412568102</v>
      </c>
      <c r="K881" s="6">
        <f t="shared" si="81"/>
        <v>-36991</v>
      </c>
      <c r="L881" s="7">
        <f t="shared" si="82"/>
        <v>-0.38135444695306137</v>
      </c>
      <c r="M881" s="6" t="str">
        <f t="shared" si="83"/>
        <v>Ratings Not Given</v>
      </c>
      <c r="N881" s="34">
        <f t="array" ref="N881">MEDIAN(_xlfn._xlws.FILTER(Table4[Original Price],Table4[Brand-Renamed] = Table4[[#This Row],[Brand]]))</f>
        <v>46990</v>
      </c>
      <c r="O881" s="35">
        <f t="array" ref="O881">MEDIAN(_xlfn._xlws.FILTER(Table4[Selling Price],Table4[Brand-Renamed] =Table4[[#This Row],[Brand-Renamed]]))</f>
        <v>29999</v>
      </c>
    </row>
    <row r="882" spans="1:15" ht="13.8" x14ac:dyDescent="0.25">
      <c r="A882" s="4" t="s">
        <v>119</v>
      </c>
      <c r="B882" s="4" t="str">
        <f t="shared" si="78"/>
        <v xml:space="preserve">Tcl </v>
      </c>
      <c r="C882" s="4" t="s">
        <v>19</v>
      </c>
      <c r="D882" s="4">
        <v>32</v>
      </c>
      <c r="E882" s="4">
        <v>6166</v>
      </c>
      <c r="F882" s="4">
        <v>19990</v>
      </c>
      <c r="G882" s="4" t="s">
        <v>62</v>
      </c>
      <c r="H882" s="4">
        <v>4.2</v>
      </c>
      <c r="I882" s="4">
        <f t="shared" si="79"/>
        <v>13824</v>
      </c>
      <c r="J882">
        <f t="shared" si="80"/>
        <v>0.69154577288644326</v>
      </c>
      <c r="K882" s="4">
        <f t="shared" si="81"/>
        <v>-13824</v>
      </c>
      <c r="L882" s="5">
        <f t="shared" si="82"/>
        <v>-2.2419721050924424</v>
      </c>
      <c r="M882" s="4" t="str">
        <f t="shared" si="83"/>
        <v>Medium Ratings</v>
      </c>
      <c r="N882" s="34">
        <f t="array" ref="N882">MEDIAN(_xlfn._xlws.FILTER(Table4[Original Price],Table4[Brand-Renamed] = Table4[[#This Row],[Brand]]))</f>
        <v>77990</v>
      </c>
      <c r="O882" s="35">
        <f t="array" ref="O882">MEDIAN(_xlfn._xlws.FILTER(Table4[Selling Price],Table4[Brand-Renamed] =Table4[[#This Row],[Brand-Renamed]]))</f>
        <v>40999</v>
      </c>
    </row>
    <row r="883" spans="1:15" ht="13.8" x14ac:dyDescent="0.25">
      <c r="A883" s="6" t="s">
        <v>119</v>
      </c>
      <c r="B883" s="4" t="str">
        <f t="shared" si="78"/>
        <v xml:space="preserve">Tcl </v>
      </c>
      <c r="C883" s="6" t="s">
        <v>19</v>
      </c>
      <c r="D883" s="6">
        <v>24</v>
      </c>
      <c r="E883" s="6">
        <v>6940</v>
      </c>
      <c r="F883" s="6">
        <v>15490</v>
      </c>
      <c r="G883" s="6" t="s">
        <v>62</v>
      </c>
      <c r="H883" s="6">
        <v>4.2</v>
      </c>
      <c r="I883" s="6">
        <f t="shared" si="79"/>
        <v>8550</v>
      </c>
      <c r="J883">
        <f t="shared" si="80"/>
        <v>0.55196901226597805</v>
      </c>
      <c r="K883" s="6">
        <f t="shared" si="81"/>
        <v>-8550</v>
      </c>
      <c r="L883" s="7">
        <f t="shared" si="82"/>
        <v>-1.2319884726224783</v>
      </c>
      <c r="M883" s="6" t="str">
        <f t="shared" si="83"/>
        <v>Medium Ratings</v>
      </c>
      <c r="N883" s="34">
        <f t="array" ref="N883">MEDIAN(_xlfn._xlws.FILTER(Table4[Original Price],Table4[Brand-Renamed] = Table4[[#This Row],[Brand]]))</f>
        <v>77990</v>
      </c>
      <c r="O883" s="35">
        <f t="array" ref="O883">MEDIAN(_xlfn._xlws.FILTER(Table4[Selling Price],Table4[Brand-Renamed] =Table4[[#This Row],[Brand-Renamed]]))</f>
        <v>40999</v>
      </c>
    </row>
    <row r="884" spans="1:15" ht="13.8" x14ac:dyDescent="0.25">
      <c r="A884" s="4" t="s">
        <v>119</v>
      </c>
      <c r="B884" s="4" t="str">
        <f t="shared" si="78"/>
        <v xml:space="preserve">Tcl </v>
      </c>
      <c r="C884" s="4" t="s">
        <v>19</v>
      </c>
      <c r="D884" s="4">
        <v>40</v>
      </c>
      <c r="E884" s="4">
        <v>8679</v>
      </c>
      <c r="F884" s="4">
        <v>29990</v>
      </c>
      <c r="G884" s="4" t="s">
        <v>62</v>
      </c>
      <c r="H884" s="4">
        <v>4</v>
      </c>
      <c r="I884" s="4">
        <f t="shared" si="79"/>
        <v>21311</v>
      </c>
      <c r="J884">
        <f t="shared" si="80"/>
        <v>0.71060353451150382</v>
      </c>
      <c r="K884" s="4">
        <f t="shared" si="81"/>
        <v>-21311</v>
      </c>
      <c r="L884" s="5">
        <f t="shared" si="82"/>
        <v>-2.455467219725775</v>
      </c>
      <c r="M884" s="4" t="str">
        <f t="shared" si="83"/>
        <v>Medium Ratings</v>
      </c>
      <c r="N884" s="34">
        <f t="array" ref="N884">MEDIAN(_xlfn._xlws.FILTER(Table4[Original Price],Table4[Brand-Renamed] = Table4[[#This Row],[Brand]]))</f>
        <v>77990</v>
      </c>
      <c r="O884" s="35">
        <f t="array" ref="O884">MEDIAN(_xlfn._xlws.FILTER(Table4[Selling Price],Table4[Brand-Renamed] =Table4[[#This Row],[Brand-Renamed]]))</f>
        <v>40999</v>
      </c>
    </row>
    <row r="885" spans="1:15" ht="13.8" x14ac:dyDescent="0.25">
      <c r="A885" s="6" t="s">
        <v>83</v>
      </c>
      <c r="B885" s="4" t="str">
        <f t="shared" si="78"/>
        <v xml:space="preserve">Sharp </v>
      </c>
      <c r="C885" s="6" t="s">
        <v>8</v>
      </c>
      <c r="D885" s="6">
        <v>60</v>
      </c>
      <c r="E885" s="6">
        <v>229900</v>
      </c>
      <c r="F885" s="6">
        <v>229900</v>
      </c>
      <c r="G885" s="6" t="s">
        <v>60</v>
      </c>
      <c r="H885" s="6"/>
      <c r="I885" s="6">
        <f t="shared" si="79"/>
        <v>0</v>
      </c>
      <c r="J885" t="str">
        <f t="shared" si="80"/>
        <v>Discount Not Applied</v>
      </c>
      <c r="K885" s="6">
        <f t="shared" si="81"/>
        <v>0</v>
      </c>
      <c r="L885" s="7">
        <f t="shared" si="82"/>
        <v>0</v>
      </c>
      <c r="M885" s="6" t="str">
        <f t="shared" si="83"/>
        <v>Ratings Not Given</v>
      </c>
      <c r="N885" s="34">
        <f t="array" ref="N885">MEDIAN(_xlfn._xlws.FILTER(Table4[Original Price],Table4[Brand-Renamed] = Table4[[#This Row],[Brand]]))</f>
        <v>127990</v>
      </c>
      <c r="O885" s="35">
        <f t="array" ref="O885">MEDIAN(_xlfn._xlws.FILTER(Table4[Selling Price],Table4[Brand-Renamed] =Table4[[#This Row],[Brand-Renamed]]))</f>
        <v>127990</v>
      </c>
    </row>
    <row r="886" spans="1:15" ht="13.8" x14ac:dyDescent="0.25">
      <c r="A886" s="4" t="s">
        <v>83</v>
      </c>
      <c r="B886" s="4" t="str">
        <f t="shared" si="78"/>
        <v xml:space="preserve">Sharp </v>
      </c>
      <c r="C886" s="4" t="s">
        <v>8</v>
      </c>
      <c r="D886" s="4">
        <v>46</v>
      </c>
      <c r="E886" s="4">
        <v>151990</v>
      </c>
      <c r="F886" s="4">
        <v>151990</v>
      </c>
      <c r="G886" s="4" t="s">
        <v>60</v>
      </c>
      <c r="H886" s="4"/>
      <c r="I886" s="4">
        <f t="shared" si="79"/>
        <v>0</v>
      </c>
      <c r="J886" t="str">
        <f t="shared" si="80"/>
        <v>Discount Not Applied</v>
      </c>
      <c r="K886" s="4">
        <f t="shared" si="81"/>
        <v>0</v>
      </c>
      <c r="L886" s="5">
        <f t="shared" si="82"/>
        <v>0</v>
      </c>
      <c r="M886" s="4" t="str">
        <f t="shared" si="83"/>
        <v>Ratings Not Given</v>
      </c>
      <c r="N886" s="34">
        <f t="array" ref="N886">MEDIAN(_xlfn._xlws.FILTER(Table4[Original Price],Table4[Brand-Renamed] = Table4[[#This Row],[Brand]]))</f>
        <v>127990</v>
      </c>
      <c r="O886" s="35">
        <f t="array" ref="O886">MEDIAN(_xlfn._xlws.FILTER(Table4[Selling Price],Table4[Brand-Renamed] =Table4[[#This Row],[Brand-Renamed]]))</f>
        <v>127990</v>
      </c>
    </row>
    <row r="887" spans="1:15" ht="13.8" x14ac:dyDescent="0.25">
      <c r="A887" s="6" t="s">
        <v>83</v>
      </c>
      <c r="B887" s="4" t="str">
        <f t="shared" si="78"/>
        <v xml:space="preserve">Sharp </v>
      </c>
      <c r="C887" s="6" t="s">
        <v>8</v>
      </c>
      <c r="D887" s="6">
        <v>70</v>
      </c>
      <c r="E887" s="6">
        <v>449900</v>
      </c>
      <c r="F887" s="6">
        <v>449900</v>
      </c>
      <c r="G887" s="6" t="s">
        <v>60</v>
      </c>
      <c r="H887" s="6"/>
      <c r="I887" s="6">
        <f t="shared" si="79"/>
        <v>0</v>
      </c>
      <c r="J887" t="str">
        <f t="shared" si="80"/>
        <v>Discount Not Applied</v>
      </c>
      <c r="K887" s="6">
        <f t="shared" si="81"/>
        <v>0</v>
      </c>
      <c r="L887" s="7">
        <f t="shared" si="82"/>
        <v>0</v>
      </c>
      <c r="M887" s="6" t="str">
        <f t="shared" si="83"/>
        <v>Ratings Not Given</v>
      </c>
      <c r="N887" s="34">
        <f t="array" ref="N887">MEDIAN(_xlfn._xlws.FILTER(Table4[Original Price],Table4[Brand-Renamed] = Table4[[#This Row],[Brand]]))</f>
        <v>127990</v>
      </c>
      <c r="O887" s="35">
        <f t="array" ref="O887">MEDIAN(_xlfn._xlws.FILTER(Table4[Selling Price],Table4[Brand-Renamed] =Table4[[#This Row],[Brand-Renamed]]))</f>
        <v>127990</v>
      </c>
    </row>
    <row r="888" spans="1:15" ht="13.8" x14ac:dyDescent="0.25">
      <c r="A888" s="4" t="s">
        <v>83</v>
      </c>
      <c r="B888" s="4" t="str">
        <f t="shared" si="78"/>
        <v xml:space="preserve">Sharp </v>
      </c>
      <c r="C888" s="4" t="s">
        <v>8</v>
      </c>
      <c r="D888" s="4">
        <v>52</v>
      </c>
      <c r="E888" s="4">
        <v>199990</v>
      </c>
      <c r="F888" s="4">
        <v>199990</v>
      </c>
      <c r="G888" s="4" t="s">
        <v>60</v>
      </c>
      <c r="H888" s="4"/>
      <c r="I888" s="4">
        <f t="shared" si="79"/>
        <v>0</v>
      </c>
      <c r="J888" t="str">
        <f t="shared" si="80"/>
        <v>Discount Not Applied</v>
      </c>
      <c r="K888" s="4">
        <f t="shared" si="81"/>
        <v>0</v>
      </c>
      <c r="L888" s="5">
        <f t="shared" si="82"/>
        <v>0</v>
      </c>
      <c r="M888" s="4" t="str">
        <f t="shared" si="83"/>
        <v>Ratings Not Given</v>
      </c>
      <c r="N888" s="34">
        <f t="array" ref="N888">MEDIAN(_xlfn._xlws.FILTER(Table4[Original Price],Table4[Brand-Renamed] = Table4[[#This Row],[Brand]]))</f>
        <v>127990</v>
      </c>
      <c r="O888" s="35">
        <f t="array" ref="O888">MEDIAN(_xlfn._xlws.FILTER(Table4[Selling Price],Table4[Brand-Renamed] =Table4[[#This Row],[Brand-Renamed]]))</f>
        <v>127990</v>
      </c>
    </row>
    <row r="889" spans="1:15" ht="13.8" x14ac:dyDescent="0.25">
      <c r="A889" s="6" t="s">
        <v>83</v>
      </c>
      <c r="B889" s="4" t="str">
        <f t="shared" si="78"/>
        <v xml:space="preserve">Sharp </v>
      </c>
      <c r="C889" s="6" t="s">
        <v>8</v>
      </c>
      <c r="D889" s="6">
        <v>40</v>
      </c>
      <c r="E889" s="6">
        <v>103990</v>
      </c>
      <c r="F889" s="6">
        <v>103990</v>
      </c>
      <c r="G889" s="6" t="s">
        <v>60</v>
      </c>
      <c r="H889" s="6"/>
      <c r="I889" s="6">
        <f t="shared" si="79"/>
        <v>0</v>
      </c>
      <c r="J889" t="str">
        <f t="shared" si="80"/>
        <v>Discount Not Applied</v>
      </c>
      <c r="K889" s="6">
        <f t="shared" si="81"/>
        <v>0</v>
      </c>
      <c r="L889" s="7">
        <f t="shared" si="82"/>
        <v>0</v>
      </c>
      <c r="M889" s="6" t="str">
        <f t="shared" si="83"/>
        <v>Ratings Not Given</v>
      </c>
      <c r="N889" s="34">
        <f t="array" ref="N889">MEDIAN(_xlfn._xlws.FILTER(Table4[Original Price],Table4[Brand-Renamed] = Table4[[#This Row],[Brand]]))</f>
        <v>127990</v>
      </c>
      <c r="O889" s="35">
        <f t="array" ref="O889">MEDIAN(_xlfn._xlws.FILTER(Table4[Selling Price],Table4[Brand-Renamed] =Table4[[#This Row],[Brand-Renamed]]))</f>
        <v>127990</v>
      </c>
    </row>
    <row r="890" spans="1:15" ht="13.8" x14ac:dyDescent="0.25">
      <c r="A890" s="4" t="s">
        <v>83</v>
      </c>
      <c r="B890" s="4" t="str">
        <f t="shared" si="78"/>
        <v xml:space="preserve">Sharp </v>
      </c>
      <c r="C890" s="4" t="s">
        <v>19</v>
      </c>
      <c r="D890" s="4">
        <v>32</v>
      </c>
      <c r="E890" s="4">
        <v>15990</v>
      </c>
      <c r="F890" s="4">
        <v>22500</v>
      </c>
      <c r="G890" s="4" t="s">
        <v>60</v>
      </c>
      <c r="H890" s="4">
        <v>3</v>
      </c>
      <c r="I890" s="4">
        <f t="shared" si="79"/>
        <v>6510</v>
      </c>
      <c r="J890">
        <f t="shared" si="80"/>
        <v>0.28933333333333333</v>
      </c>
      <c r="K890" s="4">
        <f t="shared" si="81"/>
        <v>-6510</v>
      </c>
      <c r="L890" s="5">
        <f t="shared" si="82"/>
        <v>-0.4071294559099437</v>
      </c>
      <c r="M890" s="4" t="str">
        <f t="shared" si="83"/>
        <v>Bad Ratings</v>
      </c>
      <c r="N890" s="34">
        <f t="array" ref="N890">MEDIAN(_xlfn._xlws.FILTER(Table4[Original Price],Table4[Brand-Renamed] = Table4[[#This Row],[Brand]]))</f>
        <v>127990</v>
      </c>
      <c r="O890" s="35">
        <f t="array" ref="O890">MEDIAN(_xlfn._xlws.FILTER(Table4[Selling Price],Table4[Brand-Renamed] =Table4[[#This Row],[Brand-Renamed]]))</f>
        <v>127990</v>
      </c>
    </row>
    <row r="891" spans="1:15" ht="13.8" x14ac:dyDescent="0.25">
      <c r="A891" s="6" t="s">
        <v>83</v>
      </c>
      <c r="B891" s="4" t="str">
        <f t="shared" si="78"/>
        <v xml:space="preserve">Sharp </v>
      </c>
      <c r="C891" s="6" t="s">
        <v>19</v>
      </c>
      <c r="D891" s="6">
        <v>24</v>
      </c>
      <c r="E891" s="6">
        <v>8220</v>
      </c>
      <c r="F891" s="6">
        <v>14990</v>
      </c>
      <c r="G891" s="6" t="s">
        <v>60</v>
      </c>
      <c r="H891" s="6">
        <v>3.7</v>
      </c>
      <c r="I891" s="6">
        <f t="shared" si="79"/>
        <v>6770</v>
      </c>
      <c r="J891">
        <f t="shared" si="80"/>
        <v>0.45163442294863243</v>
      </c>
      <c r="K891" s="6">
        <f t="shared" si="81"/>
        <v>-6770</v>
      </c>
      <c r="L891" s="7">
        <f t="shared" si="82"/>
        <v>-0.82360097323600978</v>
      </c>
      <c r="M891" s="6" t="str">
        <f t="shared" si="83"/>
        <v>Bad Ratings</v>
      </c>
      <c r="N891" s="34">
        <f t="array" ref="N891">MEDIAN(_xlfn._xlws.FILTER(Table4[Original Price],Table4[Brand-Renamed] = Table4[[#This Row],[Brand]]))</f>
        <v>127990</v>
      </c>
      <c r="O891" s="35">
        <f t="array" ref="O891">MEDIAN(_xlfn._xlws.FILTER(Table4[Selling Price],Table4[Brand-Renamed] =Table4[[#This Row],[Brand-Renamed]]))</f>
        <v>127990</v>
      </c>
    </row>
    <row r="892" spans="1:15" ht="13.8" x14ac:dyDescent="0.25">
      <c r="A892" s="4" t="s">
        <v>81</v>
      </c>
      <c r="B892" s="4" t="str">
        <f t="shared" si="78"/>
        <v xml:space="preserve">Sansui </v>
      </c>
      <c r="C892" s="4" t="s">
        <v>32</v>
      </c>
      <c r="D892" s="4">
        <v>43</v>
      </c>
      <c r="E892" s="4">
        <v>30490</v>
      </c>
      <c r="F892" s="4">
        <v>35350</v>
      </c>
      <c r="G892" s="4" t="s">
        <v>60</v>
      </c>
      <c r="H892" s="4">
        <v>4.0999999999999996</v>
      </c>
      <c r="I892" s="4">
        <f t="shared" si="79"/>
        <v>4860</v>
      </c>
      <c r="J892">
        <f t="shared" si="80"/>
        <v>0.13748231966053748</v>
      </c>
      <c r="K892" s="4">
        <f t="shared" si="81"/>
        <v>-4860</v>
      </c>
      <c r="L892" s="5">
        <f t="shared" si="82"/>
        <v>-0.15939652345031158</v>
      </c>
      <c r="M892" s="4" t="str">
        <f t="shared" si="83"/>
        <v>Medium Ratings</v>
      </c>
      <c r="N892" s="34">
        <f t="array" ref="N892">MEDIAN(_xlfn._xlws.FILTER(Table4[Original Price],Table4[Brand-Renamed] = Table4[[#This Row],[Brand]]))</f>
        <v>35174.5</v>
      </c>
      <c r="O892" s="35">
        <f t="array" ref="O892">MEDIAN(_xlfn._xlws.FILTER(Table4[Selling Price],Table4[Brand-Renamed] =Table4[[#This Row],[Brand-Renamed]]))</f>
        <v>29990</v>
      </c>
    </row>
    <row r="893" spans="1:15" ht="13.8" x14ac:dyDescent="0.25">
      <c r="A893" s="6" t="s">
        <v>81</v>
      </c>
      <c r="B893" s="4" t="str">
        <f t="shared" si="78"/>
        <v xml:space="preserve">Sansui </v>
      </c>
      <c r="C893" s="6" t="s">
        <v>32</v>
      </c>
      <c r="D893" s="6">
        <v>55</v>
      </c>
      <c r="E893" s="6">
        <v>40999</v>
      </c>
      <c r="F893" s="6">
        <v>53290</v>
      </c>
      <c r="G893" s="6" t="s">
        <v>60</v>
      </c>
      <c r="H893" s="6">
        <v>4.2</v>
      </c>
      <c r="I893" s="6">
        <f t="shared" si="79"/>
        <v>12291</v>
      </c>
      <c r="J893">
        <f t="shared" si="80"/>
        <v>0.23064364796397072</v>
      </c>
      <c r="K893" s="6">
        <f t="shared" si="81"/>
        <v>-12291</v>
      </c>
      <c r="L893" s="7">
        <f t="shared" si="82"/>
        <v>-0.29978779970243175</v>
      </c>
      <c r="M893" s="6" t="str">
        <f t="shared" si="83"/>
        <v>Medium Ratings</v>
      </c>
      <c r="N893" s="34">
        <f t="array" ref="N893">MEDIAN(_xlfn._xlws.FILTER(Table4[Original Price],Table4[Brand-Renamed] = Table4[[#This Row],[Brand]]))</f>
        <v>35174.5</v>
      </c>
      <c r="O893" s="35">
        <f t="array" ref="O893">MEDIAN(_xlfn._xlws.FILTER(Table4[Selling Price],Table4[Brand-Renamed] =Table4[[#This Row],[Brand-Renamed]]))</f>
        <v>29990</v>
      </c>
    </row>
    <row r="894" spans="1:15" ht="13.8" x14ac:dyDescent="0.25">
      <c r="A894" s="4" t="s">
        <v>81</v>
      </c>
      <c r="B894" s="4" t="str">
        <f t="shared" si="78"/>
        <v xml:space="preserve">Sansui </v>
      </c>
      <c r="C894" s="4" t="s">
        <v>19</v>
      </c>
      <c r="D894" s="4">
        <v>32</v>
      </c>
      <c r="E894" s="4">
        <v>15290</v>
      </c>
      <c r="F894" s="4">
        <v>20990</v>
      </c>
      <c r="G894" s="4" t="s">
        <v>60</v>
      </c>
      <c r="H894" s="4"/>
      <c r="I894" s="4">
        <f t="shared" si="79"/>
        <v>5700</v>
      </c>
      <c r="J894">
        <f t="shared" si="80"/>
        <v>0.27155788470700332</v>
      </c>
      <c r="K894" s="4">
        <f t="shared" si="81"/>
        <v>-5700</v>
      </c>
      <c r="L894" s="5">
        <f t="shared" si="82"/>
        <v>-0.37279267495094831</v>
      </c>
      <c r="M894" s="4" t="str">
        <f t="shared" si="83"/>
        <v>Ratings Not Given</v>
      </c>
      <c r="N894" s="34">
        <f t="array" ref="N894">MEDIAN(_xlfn._xlws.FILTER(Table4[Original Price],Table4[Brand-Renamed] = Table4[[#This Row],[Brand]]))</f>
        <v>35174.5</v>
      </c>
      <c r="O894" s="35">
        <f t="array" ref="O894">MEDIAN(_xlfn._xlws.FILTER(Table4[Selling Price],Table4[Brand-Renamed] =Table4[[#This Row],[Brand-Renamed]]))</f>
        <v>29990</v>
      </c>
    </row>
    <row r="895" spans="1:15" ht="13.8" x14ac:dyDescent="0.25">
      <c r="A895" s="6" t="s">
        <v>81</v>
      </c>
      <c r="B895" s="4" t="str">
        <f t="shared" si="78"/>
        <v xml:space="preserve">Sansui </v>
      </c>
      <c r="C895" s="6" t="s">
        <v>29</v>
      </c>
      <c r="D895" s="6">
        <v>55</v>
      </c>
      <c r="E895" s="6">
        <v>49900</v>
      </c>
      <c r="F895" s="6">
        <v>72590</v>
      </c>
      <c r="G895" s="6" t="s">
        <v>60</v>
      </c>
      <c r="H895" s="6">
        <v>4.3</v>
      </c>
      <c r="I895" s="6">
        <f t="shared" si="79"/>
        <v>22690</v>
      </c>
      <c r="J895">
        <f t="shared" si="80"/>
        <v>0.31257749001239843</v>
      </c>
      <c r="K895" s="6">
        <f t="shared" si="81"/>
        <v>-22690</v>
      </c>
      <c r="L895" s="7">
        <f t="shared" si="82"/>
        <v>-0.45470941883767535</v>
      </c>
      <c r="M895" s="6" t="str">
        <f t="shared" si="83"/>
        <v>Medium Ratings</v>
      </c>
      <c r="N895" s="34">
        <f t="array" ref="N895">MEDIAN(_xlfn._xlws.FILTER(Table4[Original Price],Table4[Brand-Renamed] = Table4[[#This Row],[Brand]]))</f>
        <v>35174.5</v>
      </c>
      <c r="O895" s="35">
        <f t="array" ref="O895">MEDIAN(_xlfn._xlws.FILTER(Table4[Selling Price],Table4[Brand-Renamed] =Table4[[#This Row],[Brand-Renamed]]))</f>
        <v>29990</v>
      </c>
    </row>
    <row r="896" spans="1:15" ht="13.8" x14ac:dyDescent="0.25">
      <c r="A896" s="4" t="s">
        <v>81</v>
      </c>
      <c r="B896" s="4" t="str">
        <f t="shared" si="78"/>
        <v xml:space="preserve">Sansui </v>
      </c>
      <c r="C896" s="4" t="s">
        <v>32</v>
      </c>
      <c r="D896" s="4">
        <v>65</v>
      </c>
      <c r="E896" s="4">
        <v>47999</v>
      </c>
      <c r="F896" s="4">
        <v>70290</v>
      </c>
      <c r="G896" s="4" t="s">
        <v>60</v>
      </c>
      <c r="H896" s="4">
        <v>4.0999999999999996</v>
      </c>
      <c r="I896" s="4">
        <f t="shared" si="79"/>
        <v>22291</v>
      </c>
      <c r="J896">
        <f t="shared" si="80"/>
        <v>0.31712903684734672</v>
      </c>
      <c r="K896" s="4">
        <f t="shared" si="81"/>
        <v>-22291</v>
      </c>
      <c r="L896" s="5">
        <f t="shared" si="82"/>
        <v>-0.46440550844809264</v>
      </c>
      <c r="M896" s="4" t="str">
        <f t="shared" si="83"/>
        <v>Medium Ratings</v>
      </c>
      <c r="N896" s="34">
        <f t="array" ref="N896">MEDIAN(_xlfn._xlws.FILTER(Table4[Original Price],Table4[Brand-Renamed] = Table4[[#This Row],[Brand]]))</f>
        <v>35174.5</v>
      </c>
      <c r="O896" s="35">
        <f t="array" ref="O896">MEDIAN(_xlfn._xlws.FILTER(Table4[Selling Price],Table4[Brand-Renamed] =Table4[[#This Row],[Brand-Renamed]]))</f>
        <v>29990</v>
      </c>
    </row>
    <row r="897" spans="1:15" ht="13.8" x14ac:dyDescent="0.25">
      <c r="A897" s="6" t="s">
        <v>81</v>
      </c>
      <c r="B897" s="4" t="str">
        <f t="shared" si="78"/>
        <v xml:space="preserve">Sansui </v>
      </c>
      <c r="C897" s="6" t="s">
        <v>8</v>
      </c>
      <c r="D897" s="6">
        <v>49</v>
      </c>
      <c r="E897" s="6">
        <v>25999</v>
      </c>
      <c r="F897" s="6">
        <v>49999</v>
      </c>
      <c r="G897" s="6" t="s">
        <v>54</v>
      </c>
      <c r="H897" s="6">
        <v>4.3</v>
      </c>
      <c r="I897" s="6">
        <f t="shared" si="79"/>
        <v>24000</v>
      </c>
      <c r="J897">
        <f t="shared" si="80"/>
        <v>0.48000960019200384</v>
      </c>
      <c r="K897" s="6">
        <f t="shared" si="81"/>
        <v>-24000</v>
      </c>
      <c r="L897" s="7">
        <f t="shared" si="82"/>
        <v>-0.92311242740105393</v>
      </c>
      <c r="M897" s="6" t="str">
        <f t="shared" si="83"/>
        <v>Medium Ratings</v>
      </c>
      <c r="N897" s="34">
        <f t="array" ref="N897">MEDIAN(_xlfn._xlws.FILTER(Table4[Original Price],Table4[Brand-Renamed] = Table4[[#This Row],[Brand]]))</f>
        <v>35174.5</v>
      </c>
      <c r="O897" s="35">
        <f t="array" ref="O897">MEDIAN(_xlfn._xlws.FILTER(Table4[Selling Price],Table4[Brand-Renamed] =Table4[[#This Row],[Brand-Renamed]]))</f>
        <v>29990</v>
      </c>
    </row>
    <row r="898" spans="1:15" ht="13.8" x14ac:dyDescent="0.25">
      <c r="A898" s="4" t="s">
        <v>81</v>
      </c>
      <c r="B898" s="4" t="str">
        <f t="shared" ref="B898:B913" si="84">PROPER(A898)</f>
        <v xml:space="preserve">Sansui </v>
      </c>
      <c r="C898" s="4" t="s">
        <v>32</v>
      </c>
      <c r="D898" s="4">
        <v>49</v>
      </c>
      <c r="E898" s="4">
        <v>59990</v>
      </c>
      <c r="F898" s="4">
        <v>59990</v>
      </c>
      <c r="G898" s="4" t="s">
        <v>60</v>
      </c>
      <c r="H898" s="4"/>
      <c r="I898" s="4">
        <f t="shared" ref="I898:I913" si="85">F898-E898</f>
        <v>0</v>
      </c>
      <c r="J898" t="str">
        <f t="shared" ref="J898:J913" si="86">IF((F898-E898)/F898 = 0, "Discount Not Applied", (F898-E898)/F898)</f>
        <v>Discount Not Applied</v>
      </c>
      <c r="K898" s="4">
        <f t="shared" ref="K898:K913" si="87">E898-F898</f>
        <v>0</v>
      </c>
      <c r="L898" s="5">
        <f t="shared" ref="L898:L913" si="88">(E898-F898)/E898</f>
        <v>0</v>
      </c>
      <c r="M898" s="4" t="str">
        <f t="shared" ref="M898:M913" si="89">IF(ISBLANK(H898),"Ratings Not Given",IF(H898&gt;=4.5,"Good Ratings",IF(H898&lt;=3.7,"Bad Ratings","Medium Ratings")))</f>
        <v>Ratings Not Given</v>
      </c>
      <c r="N898" s="34">
        <f t="array" ref="N898">MEDIAN(_xlfn._xlws.FILTER(Table4[Original Price],Table4[Brand-Renamed] = Table4[[#This Row],[Brand]]))</f>
        <v>35174.5</v>
      </c>
      <c r="O898" s="35">
        <f t="array" ref="O898">MEDIAN(_xlfn._xlws.FILTER(Table4[Selling Price],Table4[Brand-Renamed] =Table4[[#This Row],[Brand-Renamed]]))</f>
        <v>29990</v>
      </c>
    </row>
    <row r="899" spans="1:15" ht="13.8" x14ac:dyDescent="0.25">
      <c r="A899" s="6" t="s">
        <v>81</v>
      </c>
      <c r="B899" s="4" t="str">
        <f t="shared" si="84"/>
        <v xml:space="preserve">Sansui </v>
      </c>
      <c r="C899" s="6" t="s">
        <v>19</v>
      </c>
      <c r="D899" s="6">
        <v>24</v>
      </c>
      <c r="E899" s="6">
        <v>10500</v>
      </c>
      <c r="F899" s="6">
        <v>14900</v>
      </c>
      <c r="G899" s="6" t="s">
        <v>54</v>
      </c>
      <c r="H899" s="6"/>
      <c r="I899" s="6">
        <f t="shared" si="85"/>
        <v>4400</v>
      </c>
      <c r="J899">
        <f t="shared" si="86"/>
        <v>0.29530201342281881</v>
      </c>
      <c r="K899" s="6">
        <f t="shared" si="87"/>
        <v>-4400</v>
      </c>
      <c r="L899" s="7">
        <f t="shared" si="88"/>
        <v>-0.41904761904761906</v>
      </c>
      <c r="M899" s="6" t="str">
        <f t="shared" si="89"/>
        <v>Ratings Not Given</v>
      </c>
      <c r="N899" s="34">
        <f t="array" ref="N899">MEDIAN(_xlfn._xlws.FILTER(Table4[Original Price],Table4[Brand-Renamed] = Table4[[#This Row],[Brand]]))</f>
        <v>35174.5</v>
      </c>
      <c r="O899" s="35">
        <f t="array" ref="O899">MEDIAN(_xlfn._xlws.FILTER(Table4[Selling Price],Table4[Brand-Renamed] =Table4[[#This Row],[Brand-Renamed]]))</f>
        <v>29990</v>
      </c>
    </row>
    <row r="900" spans="1:15" ht="13.8" x14ac:dyDescent="0.25">
      <c r="A900" s="4" t="s">
        <v>126</v>
      </c>
      <c r="B900" s="4" t="str">
        <f t="shared" si="84"/>
        <v xml:space="preserve">Sony </v>
      </c>
      <c r="C900" s="4" t="s">
        <v>32</v>
      </c>
      <c r="D900" s="4">
        <v>55</v>
      </c>
      <c r="E900" s="4">
        <v>79290</v>
      </c>
      <c r="F900" s="4">
        <v>109900</v>
      </c>
      <c r="G900" s="4" t="s">
        <v>60</v>
      </c>
      <c r="H900" s="4">
        <v>4.7</v>
      </c>
      <c r="I900" s="4">
        <f t="shared" si="85"/>
        <v>30610</v>
      </c>
      <c r="J900">
        <f t="shared" si="86"/>
        <v>0.27852593266606007</v>
      </c>
      <c r="K900" s="4">
        <f t="shared" si="87"/>
        <v>-30610</v>
      </c>
      <c r="L900" s="5">
        <f t="shared" si="88"/>
        <v>-0.38605120443939966</v>
      </c>
      <c r="M900" s="4" t="str">
        <f t="shared" si="89"/>
        <v>Good Ratings</v>
      </c>
      <c r="N900" s="34">
        <f t="array" ref="N900">MEDIAN(_xlfn._xlws.FILTER(Table4[Original Price],Table4[Brand-Renamed] = Table4[[#This Row],[Brand]]))</f>
        <v>87400</v>
      </c>
      <c r="O900" s="35">
        <f t="array" ref="O900">MEDIAN(_xlfn._xlws.FILTER(Table4[Selling Price],Table4[Brand-Renamed] =Table4[[#This Row],[Brand-Renamed]]))</f>
        <v>64294.5</v>
      </c>
    </row>
    <row r="901" spans="1:15" ht="13.8" x14ac:dyDescent="0.25">
      <c r="A901" s="6" t="s">
        <v>126</v>
      </c>
      <c r="B901" s="4" t="str">
        <f t="shared" si="84"/>
        <v xml:space="preserve">Sony </v>
      </c>
      <c r="C901" s="6" t="s">
        <v>8</v>
      </c>
      <c r="D901" s="6">
        <v>43</v>
      </c>
      <c r="E901" s="6">
        <v>44900</v>
      </c>
      <c r="F901" s="6">
        <v>44900</v>
      </c>
      <c r="G901" s="6" t="s">
        <v>60</v>
      </c>
      <c r="H901" s="6">
        <v>4.5999999999999996</v>
      </c>
      <c r="I901" s="6">
        <f t="shared" si="85"/>
        <v>0</v>
      </c>
      <c r="J901" t="str">
        <f t="shared" si="86"/>
        <v>Discount Not Applied</v>
      </c>
      <c r="K901" s="6">
        <f t="shared" si="87"/>
        <v>0</v>
      </c>
      <c r="L901" s="7">
        <f t="shared" si="88"/>
        <v>0</v>
      </c>
      <c r="M901" s="6" t="str">
        <f t="shared" si="89"/>
        <v>Good Ratings</v>
      </c>
      <c r="N901" s="34">
        <f t="array" ref="N901">MEDIAN(_xlfn._xlws.FILTER(Table4[Original Price],Table4[Brand-Renamed] = Table4[[#This Row],[Brand]]))</f>
        <v>87400</v>
      </c>
      <c r="O901" s="35">
        <f t="array" ref="O901">MEDIAN(_xlfn._xlws.FILTER(Table4[Selling Price],Table4[Brand-Renamed] =Table4[[#This Row],[Brand-Renamed]]))</f>
        <v>64294.5</v>
      </c>
    </row>
    <row r="902" spans="1:15" ht="13.8" x14ac:dyDescent="0.25">
      <c r="A902" s="4" t="s">
        <v>126</v>
      </c>
      <c r="B902" s="4" t="str">
        <f t="shared" si="84"/>
        <v xml:space="preserve">Sony </v>
      </c>
      <c r="C902" s="4" t="s">
        <v>32</v>
      </c>
      <c r="D902" s="4">
        <v>65</v>
      </c>
      <c r="E902" s="4">
        <v>118641</v>
      </c>
      <c r="F902" s="4">
        <v>183249</v>
      </c>
      <c r="G902" s="4" t="s">
        <v>60</v>
      </c>
      <c r="H902" s="4">
        <v>4.7</v>
      </c>
      <c r="I902" s="4">
        <f t="shared" si="85"/>
        <v>64608</v>
      </c>
      <c r="J902">
        <f t="shared" si="86"/>
        <v>0.35256945467642387</v>
      </c>
      <c r="K902" s="4">
        <f t="shared" si="87"/>
        <v>-64608</v>
      </c>
      <c r="L902" s="5">
        <f t="shared" si="88"/>
        <v>-0.54456722380964417</v>
      </c>
      <c r="M902" s="4" t="str">
        <f t="shared" si="89"/>
        <v>Good Ratings</v>
      </c>
      <c r="N902" s="34">
        <f t="array" ref="N902">MEDIAN(_xlfn._xlws.FILTER(Table4[Original Price],Table4[Brand-Renamed] = Table4[[#This Row],[Brand]]))</f>
        <v>87400</v>
      </c>
      <c r="O902" s="35">
        <f t="array" ref="O902">MEDIAN(_xlfn._xlws.FILTER(Table4[Selling Price],Table4[Brand-Renamed] =Table4[[#This Row],[Brand-Renamed]]))</f>
        <v>64294.5</v>
      </c>
    </row>
    <row r="903" spans="1:15" ht="13.8" x14ac:dyDescent="0.25">
      <c r="A903" s="6" t="s">
        <v>126</v>
      </c>
      <c r="B903" s="4" t="str">
        <f t="shared" si="84"/>
        <v xml:space="preserve">Sony </v>
      </c>
      <c r="C903" s="6" t="s">
        <v>32</v>
      </c>
      <c r="D903" s="6">
        <v>50</v>
      </c>
      <c r="E903" s="6">
        <v>83491</v>
      </c>
      <c r="F903" s="6">
        <v>99913</v>
      </c>
      <c r="G903" s="6" t="s">
        <v>60</v>
      </c>
      <c r="H903" s="6">
        <v>4.7</v>
      </c>
      <c r="I903" s="6">
        <f t="shared" si="85"/>
        <v>16422</v>
      </c>
      <c r="J903">
        <f t="shared" si="86"/>
        <v>0.16436299580635153</v>
      </c>
      <c r="K903" s="6">
        <f t="shared" si="87"/>
        <v>-16422</v>
      </c>
      <c r="L903" s="7">
        <f t="shared" si="88"/>
        <v>-0.19669185900276676</v>
      </c>
      <c r="M903" s="6" t="str">
        <f t="shared" si="89"/>
        <v>Good Ratings</v>
      </c>
      <c r="N903" s="34">
        <f t="array" ref="N903">MEDIAN(_xlfn._xlws.FILTER(Table4[Original Price],Table4[Brand-Renamed] = Table4[[#This Row],[Brand]]))</f>
        <v>87400</v>
      </c>
      <c r="O903" s="35">
        <f t="array" ref="O903">MEDIAN(_xlfn._xlws.FILTER(Table4[Selling Price],Table4[Brand-Renamed] =Table4[[#This Row],[Brand-Renamed]]))</f>
        <v>64294.5</v>
      </c>
    </row>
    <row r="904" spans="1:15" ht="13.8" x14ac:dyDescent="0.25">
      <c r="A904" s="4" t="s">
        <v>126</v>
      </c>
      <c r="B904" s="4" t="str">
        <f t="shared" si="84"/>
        <v xml:space="preserve">Sony </v>
      </c>
      <c r="C904" s="4" t="s">
        <v>8</v>
      </c>
      <c r="D904" s="4">
        <v>43</v>
      </c>
      <c r="E904" s="4">
        <v>53423</v>
      </c>
      <c r="F904" s="4">
        <v>53423</v>
      </c>
      <c r="G904" s="4" t="s">
        <v>60</v>
      </c>
      <c r="H904" s="4">
        <v>4.4000000000000004</v>
      </c>
      <c r="I904" s="4">
        <f t="shared" si="85"/>
        <v>0</v>
      </c>
      <c r="J904" t="str">
        <f t="shared" si="86"/>
        <v>Discount Not Applied</v>
      </c>
      <c r="K904" s="4">
        <f t="shared" si="87"/>
        <v>0</v>
      </c>
      <c r="L904" s="5">
        <f t="shared" si="88"/>
        <v>0</v>
      </c>
      <c r="M904" s="4" t="str">
        <f t="shared" si="89"/>
        <v>Medium Ratings</v>
      </c>
      <c r="N904" s="34">
        <f t="array" ref="N904">MEDIAN(_xlfn._xlws.FILTER(Table4[Original Price],Table4[Brand-Renamed] = Table4[[#This Row],[Brand]]))</f>
        <v>87400</v>
      </c>
      <c r="O904" s="35">
        <f t="array" ref="O904">MEDIAN(_xlfn._xlws.FILTER(Table4[Selling Price],Table4[Brand-Renamed] =Table4[[#This Row],[Brand-Renamed]]))</f>
        <v>64294.5</v>
      </c>
    </row>
    <row r="905" spans="1:15" ht="13.8" x14ac:dyDescent="0.25">
      <c r="A905" s="6" t="s">
        <v>126</v>
      </c>
      <c r="B905" s="4" t="str">
        <f t="shared" si="84"/>
        <v xml:space="preserve">Sony </v>
      </c>
      <c r="C905" s="6" t="s">
        <v>8</v>
      </c>
      <c r="D905" s="6">
        <v>40</v>
      </c>
      <c r="E905" s="6">
        <v>29999</v>
      </c>
      <c r="F905" s="6">
        <v>49900</v>
      </c>
      <c r="G905" s="6" t="s">
        <v>60</v>
      </c>
      <c r="H905" s="6">
        <v>4.4000000000000004</v>
      </c>
      <c r="I905" s="6">
        <f t="shared" si="85"/>
        <v>19901</v>
      </c>
      <c r="J905">
        <f t="shared" si="86"/>
        <v>0.39881763527054109</v>
      </c>
      <c r="K905" s="6">
        <f t="shared" si="87"/>
        <v>-19901</v>
      </c>
      <c r="L905" s="7">
        <f t="shared" si="88"/>
        <v>-0.66338877962598752</v>
      </c>
      <c r="M905" s="6" t="str">
        <f t="shared" si="89"/>
        <v>Medium Ratings</v>
      </c>
      <c r="N905" s="34">
        <f t="array" ref="N905">MEDIAN(_xlfn._xlws.FILTER(Table4[Original Price],Table4[Brand-Renamed] = Table4[[#This Row],[Brand]]))</f>
        <v>87400</v>
      </c>
      <c r="O905" s="35">
        <f t="array" ref="O905">MEDIAN(_xlfn._xlws.FILTER(Table4[Selling Price],Table4[Brand-Renamed] =Table4[[#This Row],[Brand-Renamed]]))</f>
        <v>64294.5</v>
      </c>
    </row>
    <row r="906" spans="1:15" ht="13.8" x14ac:dyDescent="0.25">
      <c r="A906" s="4" t="s">
        <v>126</v>
      </c>
      <c r="B906" s="4" t="str">
        <f t="shared" si="84"/>
        <v xml:space="preserve">Sony </v>
      </c>
      <c r="C906" s="4" t="s">
        <v>19</v>
      </c>
      <c r="D906" s="4">
        <v>32</v>
      </c>
      <c r="E906" s="4">
        <v>25990</v>
      </c>
      <c r="F906" s="4">
        <v>31990</v>
      </c>
      <c r="G906" s="4" t="s">
        <v>60</v>
      </c>
      <c r="H906" s="4">
        <v>4.4000000000000004</v>
      </c>
      <c r="I906" s="4">
        <f t="shared" si="85"/>
        <v>6000</v>
      </c>
      <c r="J906">
        <f t="shared" si="86"/>
        <v>0.1875586120662707</v>
      </c>
      <c r="K906" s="4">
        <f t="shared" si="87"/>
        <v>-6000</v>
      </c>
      <c r="L906" s="5">
        <f t="shared" si="88"/>
        <v>-0.2308580223162755</v>
      </c>
      <c r="M906" s="4" t="str">
        <f t="shared" si="89"/>
        <v>Medium Ratings</v>
      </c>
      <c r="N906" s="34">
        <f t="array" ref="N906">MEDIAN(_xlfn._xlws.FILTER(Table4[Original Price],Table4[Brand-Renamed] = Table4[[#This Row],[Brand]]))</f>
        <v>87400</v>
      </c>
      <c r="O906" s="35">
        <f t="array" ref="O906">MEDIAN(_xlfn._xlws.FILTER(Table4[Selling Price],Table4[Brand-Renamed] =Table4[[#This Row],[Brand-Renamed]]))</f>
        <v>64294.5</v>
      </c>
    </row>
    <row r="907" spans="1:15" ht="13.8" x14ac:dyDescent="0.25">
      <c r="A907" s="6" t="s">
        <v>126</v>
      </c>
      <c r="B907" s="4" t="str">
        <f t="shared" si="84"/>
        <v xml:space="preserve">Sony </v>
      </c>
      <c r="C907" s="6" t="s">
        <v>8</v>
      </c>
      <c r="D907" s="6">
        <v>32</v>
      </c>
      <c r="E907" s="6">
        <v>21223</v>
      </c>
      <c r="F907" s="6">
        <v>33900</v>
      </c>
      <c r="G907" s="6" t="s">
        <v>60</v>
      </c>
      <c r="H907" s="6">
        <v>4.5</v>
      </c>
      <c r="I907" s="6">
        <f t="shared" si="85"/>
        <v>12677</v>
      </c>
      <c r="J907">
        <f t="shared" si="86"/>
        <v>0.37395280235988199</v>
      </c>
      <c r="K907" s="6">
        <f t="shared" si="87"/>
        <v>-12677</v>
      </c>
      <c r="L907" s="7">
        <f t="shared" si="88"/>
        <v>-0.5973236582952457</v>
      </c>
      <c r="M907" s="6" t="str">
        <f t="shared" si="89"/>
        <v>Good Ratings</v>
      </c>
      <c r="N907" s="34">
        <f t="array" ref="N907">MEDIAN(_xlfn._xlws.FILTER(Table4[Original Price],Table4[Brand-Renamed] = Table4[[#This Row],[Brand]]))</f>
        <v>87400</v>
      </c>
      <c r="O907" s="35">
        <f t="array" ref="O907">MEDIAN(_xlfn._xlws.FILTER(Table4[Selling Price],Table4[Brand-Renamed] =Table4[[#This Row],[Brand-Renamed]]))</f>
        <v>64294.5</v>
      </c>
    </row>
    <row r="908" spans="1:15" ht="13.8" x14ac:dyDescent="0.25">
      <c r="A908" s="4" t="s">
        <v>126</v>
      </c>
      <c r="B908" s="4" t="str">
        <f t="shared" si="84"/>
        <v xml:space="preserve">Sony </v>
      </c>
      <c r="C908" s="4" t="s">
        <v>32</v>
      </c>
      <c r="D908" s="4">
        <v>49</v>
      </c>
      <c r="E908" s="4">
        <v>54999</v>
      </c>
      <c r="F908" s="4">
        <v>114900</v>
      </c>
      <c r="G908" s="4" t="s">
        <v>60</v>
      </c>
      <c r="H908" s="4">
        <v>4.5999999999999996</v>
      </c>
      <c r="I908" s="4">
        <f t="shared" si="85"/>
        <v>59901</v>
      </c>
      <c r="J908">
        <f t="shared" si="86"/>
        <v>0.52133159268929508</v>
      </c>
      <c r="K908" s="4">
        <f t="shared" si="87"/>
        <v>-59901</v>
      </c>
      <c r="L908" s="5">
        <f t="shared" si="88"/>
        <v>-1.0891288932526046</v>
      </c>
      <c r="M908" s="4" t="str">
        <f t="shared" si="89"/>
        <v>Good Ratings</v>
      </c>
      <c r="N908" s="34">
        <f t="array" ref="N908">MEDIAN(_xlfn._xlws.FILTER(Table4[Original Price],Table4[Brand-Renamed] = Table4[[#This Row],[Brand]]))</f>
        <v>87400</v>
      </c>
      <c r="O908" s="35">
        <f t="array" ref="O908">MEDIAN(_xlfn._xlws.FILTER(Table4[Selling Price],Table4[Brand-Renamed] =Table4[[#This Row],[Brand-Renamed]]))</f>
        <v>64294.5</v>
      </c>
    </row>
    <row r="909" spans="1:15" ht="13.8" x14ac:dyDescent="0.25">
      <c r="A909" s="6" t="s">
        <v>126</v>
      </c>
      <c r="B909" s="4" t="str">
        <f t="shared" si="84"/>
        <v xml:space="preserve">Sony </v>
      </c>
      <c r="C909" s="6" t="s">
        <v>8</v>
      </c>
      <c r="D909" s="6">
        <v>43</v>
      </c>
      <c r="E909" s="6">
        <v>44999</v>
      </c>
      <c r="F909" s="6">
        <v>57900</v>
      </c>
      <c r="G909" s="6" t="s">
        <v>60</v>
      </c>
      <c r="H909" s="6">
        <v>4.4000000000000004</v>
      </c>
      <c r="I909" s="6">
        <f t="shared" si="85"/>
        <v>12901</v>
      </c>
      <c r="J909">
        <f t="shared" si="86"/>
        <v>0.22281519861830743</v>
      </c>
      <c r="K909" s="6">
        <f t="shared" si="87"/>
        <v>-12901</v>
      </c>
      <c r="L909" s="7">
        <f t="shared" si="88"/>
        <v>-0.28669525989466432</v>
      </c>
      <c r="M909" s="6" t="str">
        <f t="shared" si="89"/>
        <v>Medium Ratings</v>
      </c>
      <c r="N909" s="34">
        <f t="array" ref="N909">MEDIAN(_xlfn._xlws.FILTER(Table4[Original Price],Table4[Brand-Renamed] = Table4[[#This Row],[Brand]]))</f>
        <v>87400</v>
      </c>
      <c r="O909" s="35">
        <f t="array" ref="O909">MEDIAN(_xlfn._xlws.FILTER(Table4[Selling Price],Table4[Brand-Renamed] =Table4[[#This Row],[Brand-Renamed]]))</f>
        <v>64294.5</v>
      </c>
    </row>
    <row r="910" spans="1:15" ht="13.8" x14ac:dyDescent="0.25">
      <c r="A910" s="4" t="s">
        <v>126</v>
      </c>
      <c r="B910" s="4" t="str">
        <f t="shared" si="84"/>
        <v xml:space="preserve">Sony </v>
      </c>
      <c r="C910" s="4" t="s">
        <v>8</v>
      </c>
      <c r="D910" s="4">
        <v>40</v>
      </c>
      <c r="E910" s="4">
        <v>41499</v>
      </c>
      <c r="F910" s="4">
        <v>51900</v>
      </c>
      <c r="G910" s="4" t="s">
        <v>60</v>
      </c>
      <c r="H910" s="4">
        <v>4.5999999999999996</v>
      </c>
      <c r="I910" s="4">
        <f t="shared" si="85"/>
        <v>10401</v>
      </c>
      <c r="J910">
        <f t="shared" si="86"/>
        <v>0.20040462427745664</v>
      </c>
      <c r="K910" s="4">
        <f t="shared" si="87"/>
        <v>-10401</v>
      </c>
      <c r="L910" s="5">
        <f t="shared" si="88"/>
        <v>-0.25063254536253887</v>
      </c>
      <c r="M910" s="4" t="str">
        <f t="shared" si="89"/>
        <v>Good Ratings</v>
      </c>
      <c r="N910" s="34">
        <f t="array" ref="N910">MEDIAN(_xlfn._xlws.FILTER(Table4[Original Price],Table4[Brand-Renamed] = Table4[[#This Row],[Brand]]))</f>
        <v>87400</v>
      </c>
      <c r="O910" s="35">
        <f t="array" ref="O910">MEDIAN(_xlfn._xlws.FILTER(Table4[Selling Price],Table4[Brand-Renamed] =Table4[[#This Row],[Brand-Renamed]]))</f>
        <v>64294.5</v>
      </c>
    </row>
    <row r="911" spans="1:15" ht="13.8" x14ac:dyDescent="0.25">
      <c r="A911" s="6" t="s">
        <v>126</v>
      </c>
      <c r="B911" s="4" t="str">
        <f t="shared" si="84"/>
        <v xml:space="preserve">Sony </v>
      </c>
      <c r="C911" s="6" t="s">
        <v>32</v>
      </c>
      <c r="D911" s="6">
        <v>65</v>
      </c>
      <c r="E911" s="6">
        <v>149990</v>
      </c>
      <c r="F911" s="6">
        <v>184990</v>
      </c>
      <c r="G911" s="6" t="s">
        <v>60</v>
      </c>
      <c r="H911" s="6">
        <v>4.3</v>
      </c>
      <c r="I911" s="6">
        <f t="shared" si="85"/>
        <v>35000</v>
      </c>
      <c r="J911">
        <f t="shared" si="86"/>
        <v>0.18919941618465863</v>
      </c>
      <c r="K911" s="6">
        <f t="shared" si="87"/>
        <v>-35000</v>
      </c>
      <c r="L911" s="7">
        <f t="shared" si="88"/>
        <v>-0.23334888992599506</v>
      </c>
      <c r="M911" s="6" t="str">
        <f t="shared" si="89"/>
        <v>Medium Ratings</v>
      </c>
      <c r="N911" s="34">
        <f t="array" ref="N911">MEDIAN(_xlfn._xlws.FILTER(Table4[Original Price],Table4[Brand-Renamed] = Table4[[#This Row],[Brand]]))</f>
        <v>87400</v>
      </c>
      <c r="O911" s="35">
        <f t="array" ref="O911">MEDIAN(_xlfn._xlws.FILTER(Table4[Selling Price],Table4[Brand-Renamed] =Table4[[#This Row],[Brand-Renamed]]))</f>
        <v>64294.5</v>
      </c>
    </row>
    <row r="912" spans="1:15" ht="13.8" x14ac:dyDescent="0.25">
      <c r="A912" s="4" t="s">
        <v>126</v>
      </c>
      <c r="B912" s="4" t="str">
        <f t="shared" si="84"/>
        <v xml:space="preserve">Sony </v>
      </c>
      <c r="C912" s="4" t="s">
        <v>19</v>
      </c>
      <c r="D912" s="4">
        <v>32</v>
      </c>
      <c r="E912" s="4">
        <v>32900</v>
      </c>
      <c r="F912" s="4">
        <v>32900</v>
      </c>
      <c r="G912" s="4" t="s">
        <v>60</v>
      </c>
      <c r="H912" s="4">
        <v>4.4000000000000004</v>
      </c>
      <c r="I912" s="4">
        <f t="shared" si="85"/>
        <v>0</v>
      </c>
      <c r="J912" t="str">
        <f t="shared" si="86"/>
        <v>Discount Not Applied</v>
      </c>
      <c r="K912" s="4">
        <f t="shared" si="87"/>
        <v>0</v>
      </c>
      <c r="L912" s="5">
        <f t="shared" si="88"/>
        <v>0</v>
      </c>
      <c r="M912" s="4" t="str">
        <f t="shared" si="89"/>
        <v>Medium Ratings</v>
      </c>
      <c r="N912" s="34">
        <f t="array" ref="N912">MEDIAN(_xlfn._xlws.FILTER(Table4[Original Price],Table4[Brand-Renamed] = Table4[[#This Row],[Brand]]))</f>
        <v>87400</v>
      </c>
      <c r="O912" s="35">
        <f t="array" ref="O912">MEDIAN(_xlfn._xlws.FILTER(Table4[Selling Price],Table4[Brand-Renamed] =Table4[[#This Row],[Brand-Renamed]]))</f>
        <v>64294.5</v>
      </c>
    </row>
    <row r="913" spans="1:15" ht="13.8" x14ac:dyDescent="0.25">
      <c r="A913" s="1" t="s">
        <v>126</v>
      </c>
      <c r="B913" s="4" t="str">
        <f t="shared" si="84"/>
        <v xml:space="preserve">Sony </v>
      </c>
      <c r="C913" s="1" t="s">
        <v>8</v>
      </c>
      <c r="D913" s="1">
        <v>43</v>
      </c>
      <c r="E913" s="1">
        <v>56900</v>
      </c>
      <c r="F913" s="1">
        <v>56900</v>
      </c>
      <c r="G913" s="1" t="s">
        <v>60</v>
      </c>
      <c r="H913" s="1">
        <v>4.5999999999999996</v>
      </c>
      <c r="I913" s="1">
        <f t="shared" si="85"/>
        <v>0</v>
      </c>
      <c r="J913" t="str">
        <f t="shared" si="86"/>
        <v>Discount Not Applied</v>
      </c>
      <c r="K913" s="1">
        <f t="shared" si="87"/>
        <v>0</v>
      </c>
      <c r="L913" s="8">
        <f t="shared" si="88"/>
        <v>0</v>
      </c>
      <c r="M913" s="1" t="str">
        <f t="shared" si="89"/>
        <v>Good Ratings</v>
      </c>
      <c r="N913" s="34">
        <f t="array" ref="N913">MEDIAN(_xlfn._xlws.FILTER(Table4[Original Price],Table4[Brand-Renamed] = Table4[[#This Row],[Brand]]))</f>
        <v>87400</v>
      </c>
      <c r="O913" s="35">
        <f t="array" ref="O913">MEDIAN(_xlfn._xlws.FILTER(Table4[Selling Price],Table4[Brand-Renamed] =Table4[[#This Row],[Brand-Renamed]]))</f>
        <v>64294.5</v>
      </c>
    </row>
    <row r="1048540" spans="18:20" ht="14.25" customHeight="1" x14ac:dyDescent="0.25">
      <c r="R1048540" s="51"/>
      <c r="S1048540" s="52"/>
      <c r="T1048540" s="53"/>
    </row>
    <row r="1048541" spans="18:20" ht="14.25" customHeight="1" x14ac:dyDescent="0.25">
      <c r="R1048541" s="54"/>
      <c r="S1048541" s="55"/>
      <c r="T1048541" s="56"/>
    </row>
    <row r="1048542" spans="18:20" ht="14.25" customHeight="1" x14ac:dyDescent="0.25">
      <c r="R1048542" s="54"/>
      <c r="S1048542" s="55"/>
      <c r="T1048542" s="56"/>
    </row>
    <row r="1048543" spans="18:20" ht="14.25" customHeight="1" x14ac:dyDescent="0.25">
      <c r="R1048543" s="54"/>
      <c r="S1048543" s="55"/>
      <c r="T1048543" s="56"/>
    </row>
    <row r="1048544" spans="18:20" ht="14.25" customHeight="1" x14ac:dyDescent="0.25">
      <c r="R1048544" s="54"/>
      <c r="S1048544" s="55"/>
      <c r="T1048544" s="56"/>
    </row>
    <row r="1048545" spans="18:20" ht="14.25" customHeight="1" x14ac:dyDescent="0.25">
      <c r="R1048545" s="54"/>
      <c r="S1048545" s="55"/>
      <c r="T1048545" s="56"/>
    </row>
    <row r="1048546" spans="18:20" ht="14.25" customHeight="1" x14ac:dyDescent="0.25">
      <c r="R1048546" s="54"/>
      <c r="S1048546" s="55"/>
      <c r="T1048546" s="56"/>
    </row>
    <row r="1048547" spans="18:20" ht="14.25" customHeight="1" x14ac:dyDescent="0.25">
      <c r="R1048547" s="54"/>
      <c r="S1048547" s="55"/>
      <c r="T1048547" s="56"/>
    </row>
    <row r="1048548" spans="18:20" ht="14.25" customHeight="1" x14ac:dyDescent="0.25">
      <c r="R1048548" s="54"/>
      <c r="S1048548" s="55"/>
      <c r="T1048548" s="56"/>
    </row>
    <row r="1048549" spans="18:20" ht="14.25" customHeight="1" x14ac:dyDescent="0.25">
      <c r="R1048549" s="54"/>
      <c r="S1048549" s="55"/>
      <c r="T1048549" s="56"/>
    </row>
    <row r="1048550" spans="18:20" ht="14.25" customHeight="1" x14ac:dyDescent="0.25">
      <c r="R1048550" s="54"/>
      <c r="S1048550" s="55"/>
      <c r="T1048550" s="56"/>
    </row>
    <row r="1048551" spans="18:20" ht="14.25" customHeight="1" x14ac:dyDescent="0.25">
      <c r="R1048551" s="54"/>
      <c r="S1048551" s="55"/>
      <c r="T1048551" s="56"/>
    </row>
    <row r="1048552" spans="18:20" ht="14.25" customHeight="1" x14ac:dyDescent="0.25">
      <c r="R1048552" s="54"/>
      <c r="S1048552" s="55"/>
      <c r="T1048552" s="56"/>
    </row>
    <row r="1048553" spans="18:20" ht="14.25" customHeight="1" x14ac:dyDescent="0.25">
      <c r="R1048553" s="54"/>
      <c r="S1048553" s="55"/>
      <c r="T1048553" s="56"/>
    </row>
    <row r="1048554" spans="18:20" ht="14.25" customHeight="1" x14ac:dyDescent="0.25">
      <c r="R1048554" s="54"/>
      <c r="S1048554" s="55"/>
      <c r="T1048554" s="56"/>
    </row>
    <row r="1048555" spans="18:20" ht="14.25" customHeight="1" x14ac:dyDescent="0.25">
      <c r="R1048555" s="54"/>
      <c r="S1048555" s="55"/>
      <c r="T1048555" s="56"/>
    </row>
    <row r="1048556" spans="18:20" ht="14.25" customHeight="1" x14ac:dyDescent="0.25">
      <c r="R1048556" s="54"/>
      <c r="S1048556" s="55"/>
      <c r="T1048556" s="56"/>
    </row>
    <row r="1048557" spans="18:20" ht="14.25" customHeight="1" x14ac:dyDescent="0.25">
      <c r="R1048557" s="57"/>
      <c r="S1048557" s="58"/>
      <c r="T1048557" s="59"/>
    </row>
  </sheetData>
  <phoneticPr fontId="18" type="noConversion"/>
  <pageMargins left="0.7" right="0.7" top="0.75" bottom="0.75" header="0.3" footer="0.3"/>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B7969-FD39-435D-AFFF-C69B217C23B6}">
  <dimension ref="A1:Y207"/>
  <sheetViews>
    <sheetView showGridLines="0" zoomScale="59" zoomScaleNormal="59" workbookViewId="0">
      <selection activeCell="M22" sqref="M22"/>
    </sheetView>
  </sheetViews>
  <sheetFormatPr defaultRowHeight="13.8" x14ac:dyDescent="0.25"/>
  <cols>
    <col min="1" max="1" width="15.59765625" customWidth="1"/>
    <col min="4" max="4" width="8.69921875" customWidth="1"/>
    <col min="5" max="5" width="10" customWidth="1"/>
    <col min="6" max="6" width="14.59765625" customWidth="1"/>
    <col min="7" max="7" width="15" customWidth="1"/>
    <col min="8" max="8" width="15.69921875" customWidth="1"/>
    <col min="9" max="9" width="18.19921875" customWidth="1"/>
    <col min="10" max="10" width="26" customWidth="1"/>
    <col min="11" max="11" width="26.69921875" customWidth="1"/>
    <col min="12" max="12" width="29.3984375" customWidth="1"/>
    <col min="13" max="13" width="30.296875" customWidth="1"/>
    <col min="14" max="14" width="27.09765625" customWidth="1"/>
    <col min="15" max="15" width="24" customWidth="1"/>
    <col min="16" max="16" width="27" customWidth="1"/>
    <col min="19" max="19" width="8.19921875" customWidth="1"/>
    <col min="20" max="20" width="15.19921875" customWidth="1"/>
    <col min="21" max="21" width="12.59765625" customWidth="1"/>
    <col min="22" max="22" width="13.19921875" customWidth="1"/>
    <col min="23" max="23" width="5.19921875" hidden="1" customWidth="1"/>
    <col min="24" max="24" width="2.3984375" hidden="1" customWidth="1"/>
    <col min="25" max="25" width="28.19921875" customWidth="1"/>
  </cols>
  <sheetData>
    <row r="1" spans="1:25" ht="14.4" thickTop="1" x14ac:dyDescent="0.25">
      <c r="A1" s="25"/>
      <c r="B1" s="26"/>
      <c r="C1" s="26"/>
      <c r="D1" s="27"/>
      <c r="E1" s="13"/>
      <c r="F1" s="13"/>
      <c r="G1" s="13"/>
      <c r="H1" s="13"/>
      <c r="I1" s="13"/>
      <c r="J1" s="13"/>
      <c r="K1" s="13"/>
      <c r="L1" s="13"/>
      <c r="M1" s="13"/>
      <c r="N1" s="13"/>
      <c r="O1" s="13"/>
      <c r="P1" s="13"/>
      <c r="Q1" s="13"/>
      <c r="R1" s="13"/>
      <c r="S1" s="13"/>
      <c r="T1" s="13"/>
      <c r="U1" s="13"/>
      <c r="V1" s="14"/>
      <c r="W1" s="14"/>
      <c r="X1" s="15"/>
      <c r="Y1" s="16"/>
    </row>
    <row r="2" spans="1:25" x14ac:dyDescent="0.25">
      <c r="A2" s="28"/>
      <c r="B2" s="14"/>
      <c r="C2" s="14"/>
      <c r="D2" s="15"/>
      <c r="E2" s="14"/>
      <c r="F2" s="14"/>
      <c r="G2" s="14"/>
      <c r="H2" s="14"/>
      <c r="I2" s="14"/>
      <c r="J2" s="14"/>
      <c r="K2" s="14"/>
      <c r="L2" s="14"/>
      <c r="M2" s="14"/>
      <c r="N2" s="14"/>
      <c r="O2" s="14"/>
      <c r="P2" s="14"/>
      <c r="Q2" s="14"/>
      <c r="R2" s="14"/>
      <c r="S2" s="14"/>
      <c r="T2" s="14"/>
      <c r="U2" s="14"/>
      <c r="V2" s="14"/>
      <c r="W2" s="14"/>
      <c r="X2" s="15"/>
      <c r="Y2" s="17"/>
    </row>
    <row r="3" spans="1:25" x14ac:dyDescent="0.25">
      <c r="A3" s="28"/>
      <c r="B3" s="14"/>
      <c r="C3" s="14"/>
      <c r="D3" s="15"/>
      <c r="E3" s="14"/>
      <c r="F3" s="14"/>
      <c r="G3" s="14"/>
      <c r="H3" s="14"/>
      <c r="I3" s="14"/>
      <c r="J3" s="14"/>
      <c r="K3" s="14"/>
      <c r="L3" s="14"/>
      <c r="M3" s="14"/>
      <c r="N3" s="14"/>
      <c r="O3" s="14"/>
      <c r="P3" s="14"/>
      <c r="Q3" s="14"/>
      <c r="R3" s="14"/>
      <c r="S3" s="14"/>
      <c r="T3" s="14"/>
      <c r="U3" s="14"/>
      <c r="V3" s="14"/>
      <c r="W3" s="14"/>
      <c r="X3" s="15"/>
      <c r="Y3" s="17"/>
    </row>
    <row r="4" spans="1:25" x14ac:dyDescent="0.25">
      <c r="A4" s="14"/>
      <c r="B4" s="14"/>
      <c r="C4" s="14"/>
      <c r="D4" s="15"/>
      <c r="E4" s="14"/>
      <c r="F4" s="14"/>
      <c r="G4" s="14"/>
      <c r="H4" s="14"/>
      <c r="I4" s="14"/>
      <c r="J4" s="14"/>
      <c r="K4" s="14"/>
      <c r="L4" s="14"/>
      <c r="M4" s="14"/>
      <c r="N4" s="14"/>
      <c r="O4" s="14"/>
      <c r="P4" s="14"/>
      <c r="Q4" s="14"/>
      <c r="R4" s="14"/>
      <c r="S4" s="14"/>
      <c r="T4" s="14"/>
      <c r="U4" s="14"/>
      <c r="V4" s="14"/>
      <c r="W4" s="14"/>
      <c r="X4" s="15"/>
      <c r="Y4" s="17"/>
    </row>
    <row r="5" spans="1:25" x14ac:dyDescent="0.25">
      <c r="A5" s="28"/>
      <c r="B5" s="14"/>
      <c r="C5" s="14"/>
      <c r="D5" s="15"/>
      <c r="E5" s="14"/>
      <c r="F5" s="14"/>
      <c r="G5" s="14"/>
      <c r="H5" s="14"/>
      <c r="I5" s="14"/>
      <c r="J5" s="14"/>
      <c r="K5" s="14"/>
      <c r="L5" s="14"/>
      <c r="M5" s="14"/>
      <c r="N5" s="14"/>
      <c r="O5" s="14"/>
      <c r="P5" s="14"/>
      <c r="Q5" s="14"/>
      <c r="R5" s="14"/>
      <c r="S5" s="14"/>
      <c r="T5" s="14"/>
      <c r="U5" s="14"/>
      <c r="V5" s="14"/>
      <c r="W5" s="14"/>
      <c r="X5" s="15"/>
      <c r="Y5" s="17"/>
    </row>
    <row r="6" spans="1:25" x14ac:dyDescent="0.25">
      <c r="A6" s="28"/>
      <c r="B6" s="14"/>
      <c r="C6" s="14"/>
      <c r="D6" s="15"/>
      <c r="E6" s="14"/>
      <c r="F6" s="14"/>
      <c r="G6" s="14"/>
      <c r="H6" s="14"/>
      <c r="I6" s="14"/>
      <c r="J6" s="14"/>
      <c r="K6" s="14"/>
      <c r="L6" s="14"/>
      <c r="M6" s="14"/>
      <c r="N6" s="14"/>
      <c r="O6" s="14"/>
      <c r="P6" s="14"/>
      <c r="Q6" s="14"/>
      <c r="R6" s="14"/>
      <c r="S6" s="14"/>
      <c r="T6" s="14"/>
      <c r="U6" s="14"/>
      <c r="V6" s="14"/>
      <c r="W6" s="14"/>
      <c r="X6" s="15"/>
      <c r="Y6" s="17"/>
    </row>
    <row r="7" spans="1:25" ht="14.4" thickBot="1" x14ac:dyDescent="0.3">
      <c r="A7" s="28"/>
      <c r="B7" s="14"/>
      <c r="C7" s="14"/>
      <c r="D7" s="15"/>
      <c r="E7" s="14"/>
      <c r="F7" s="14"/>
      <c r="G7" s="14"/>
      <c r="H7" s="14"/>
      <c r="I7" s="14"/>
      <c r="J7" s="14"/>
      <c r="K7" s="14"/>
      <c r="L7" s="14"/>
      <c r="M7" s="14"/>
      <c r="N7" s="14"/>
      <c r="O7" s="14"/>
      <c r="P7" s="14"/>
      <c r="Q7" s="14"/>
      <c r="R7" s="14"/>
      <c r="S7" s="14"/>
      <c r="T7" s="14"/>
      <c r="U7" s="14"/>
      <c r="V7" s="14"/>
      <c r="W7" s="14"/>
      <c r="X7" s="15"/>
      <c r="Y7" s="18"/>
    </row>
    <row r="8" spans="1:25" ht="14.4" thickTop="1" x14ac:dyDescent="0.25">
      <c r="A8" s="28"/>
      <c r="B8" s="14"/>
      <c r="C8" s="14"/>
      <c r="D8" s="15"/>
      <c r="E8" s="41"/>
      <c r="F8" s="41"/>
      <c r="G8" s="41"/>
      <c r="H8" s="41"/>
      <c r="I8" s="41"/>
      <c r="J8" s="41"/>
      <c r="K8" s="41"/>
      <c r="L8" s="41"/>
      <c r="M8" s="41"/>
      <c r="N8" s="41"/>
      <c r="O8" s="41"/>
      <c r="P8" s="41"/>
      <c r="Q8" s="41"/>
      <c r="R8" s="41"/>
      <c r="S8" s="41"/>
      <c r="T8" s="41"/>
      <c r="U8" s="41"/>
      <c r="V8" s="41"/>
      <c r="W8" s="19"/>
      <c r="X8" s="17"/>
    </row>
    <row r="9" spans="1:25" x14ac:dyDescent="0.25">
      <c r="A9" s="28"/>
      <c r="B9" s="14"/>
      <c r="C9" s="14"/>
      <c r="D9" s="15"/>
      <c r="E9" s="41"/>
      <c r="F9" s="41"/>
      <c r="G9" s="41"/>
      <c r="H9" s="41"/>
      <c r="I9" s="41"/>
      <c r="J9" s="41"/>
      <c r="K9" s="41"/>
      <c r="L9" s="41"/>
      <c r="M9" s="41"/>
      <c r="N9" s="41"/>
      <c r="O9" s="41"/>
      <c r="P9" s="41"/>
      <c r="Q9" s="41"/>
      <c r="R9" s="41"/>
      <c r="S9" s="41"/>
      <c r="T9" s="41"/>
      <c r="U9" s="41"/>
      <c r="V9" s="41"/>
    </row>
    <row r="10" spans="1:25" x14ac:dyDescent="0.25">
      <c r="A10" s="28"/>
      <c r="B10" s="14"/>
      <c r="C10" s="14"/>
      <c r="D10" s="15"/>
      <c r="E10" s="41"/>
      <c r="F10" s="41"/>
      <c r="G10" s="41"/>
      <c r="H10" s="41"/>
      <c r="I10" s="41"/>
      <c r="J10" s="41"/>
      <c r="K10" s="41"/>
      <c r="L10" s="41"/>
      <c r="M10" s="41"/>
      <c r="N10" s="41"/>
      <c r="O10" s="41"/>
      <c r="P10" s="41"/>
      <c r="Q10" s="41"/>
      <c r="R10" s="41"/>
      <c r="S10" s="41"/>
      <c r="T10" s="41"/>
      <c r="U10" s="41"/>
      <c r="V10" s="41"/>
    </row>
    <row r="11" spans="1:25" ht="14.4" thickBot="1" x14ac:dyDescent="0.3">
      <c r="A11" s="28"/>
      <c r="B11" s="14"/>
      <c r="C11" s="14"/>
      <c r="D11" s="15"/>
      <c r="E11" s="41"/>
      <c r="F11" s="41"/>
      <c r="G11" s="41"/>
      <c r="H11" s="41"/>
      <c r="I11" s="41"/>
      <c r="J11" s="41"/>
      <c r="K11" s="41"/>
      <c r="L11" s="41"/>
      <c r="M11" s="41"/>
      <c r="N11" s="41"/>
      <c r="O11" s="41"/>
      <c r="P11" s="41"/>
      <c r="Q11" s="41"/>
      <c r="R11" s="41"/>
      <c r="S11" s="41"/>
      <c r="T11" s="41"/>
      <c r="U11" s="41"/>
      <c r="V11" s="41"/>
    </row>
    <row r="12" spans="1:25" ht="16.2" thickBot="1" x14ac:dyDescent="0.4">
      <c r="A12" s="28"/>
      <c r="B12" s="14"/>
      <c r="C12" s="14"/>
      <c r="D12" s="15"/>
      <c r="E12" s="41"/>
      <c r="F12" s="41"/>
      <c r="G12" s="41"/>
      <c r="H12" s="41"/>
      <c r="I12" s="41"/>
      <c r="J12" s="41"/>
      <c r="K12" s="46" t="s">
        <v>99</v>
      </c>
      <c r="L12" s="49" t="s">
        <v>143</v>
      </c>
      <c r="M12" s="50" t="s">
        <v>144</v>
      </c>
      <c r="N12" s="48" t="s">
        <v>145</v>
      </c>
      <c r="O12" s="47" t="s">
        <v>146</v>
      </c>
      <c r="P12" s="49" t="s">
        <v>147</v>
      </c>
      <c r="Q12" s="41"/>
      <c r="R12" s="41"/>
      <c r="S12" s="41"/>
      <c r="T12" s="41"/>
      <c r="U12" s="41"/>
      <c r="V12" s="41"/>
    </row>
    <row r="13" spans="1:25" ht="15.6" x14ac:dyDescent="0.35">
      <c r="A13" s="28"/>
      <c r="B13" s="14"/>
      <c r="C13" s="14"/>
      <c r="D13" s="15"/>
      <c r="E13" s="41"/>
      <c r="F13" s="41"/>
      <c r="G13" s="41"/>
      <c r="H13" s="41"/>
      <c r="I13" s="41"/>
      <c r="J13" s="41"/>
      <c r="K13" s="43" t="str">
        <f>Sheet3!A4</f>
        <v xml:space="preserve">Lg </v>
      </c>
      <c r="L13" s="44">
        <f>GETPIVOTDATA("Average of Selling price of Ultra",Sheet3!$A$3,"Brand","Lg ")</f>
        <v>9311841</v>
      </c>
      <c r="M13" s="45">
        <f>GETPIVOTDATA("Average of Selling price of QLED",Sheet3!$A$3,"Brand","Lg ")</f>
        <v>0</v>
      </c>
      <c r="N13" s="45">
        <f>GETPIVOTDATA("Sum of Selling price of HD",Sheet3!$A$3,"Brand","Lg ")</f>
        <v>264715</v>
      </c>
      <c r="O13" s="44">
        <f>GETPIVOTDATA("Average of Selling price of Full Hd",Sheet3!$A$3,"Brand","Samsung")</f>
        <v>3787655</v>
      </c>
      <c r="P13" s="44">
        <f>GETPIVOTDATA("Average of Selling price of HD plasma",Sheet3!$A$3,"Brand","Lg ")</f>
        <v>115980</v>
      </c>
      <c r="Q13" s="41"/>
      <c r="R13" s="41"/>
      <c r="S13" s="41"/>
      <c r="T13" s="41"/>
      <c r="U13" s="41"/>
      <c r="V13" s="41"/>
    </row>
    <row r="14" spans="1:25" ht="15.6" x14ac:dyDescent="0.35">
      <c r="A14" s="28"/>
      <c r="B14" s="14"/>
      <c r="C14" s="14"/>
      <c r="D14" s="15"/>
      <c r="E14" s="41"/>
      <c r="F14" s="41"/>
      <c r="G14" s="41"/>
      <c r="H14" s="41"/>
      <c r="I14" s="41"/>
      <c r="J14" s="41"/>
      <c r="K14" s="43" t="str">
        <f>Sheet3!A5</f>
        <v>Samsung</v>
      </c>
      <c r="L14" s="45">
        <f>GETPIVOTDATA("Average of Selling price of Ultra",Sheet3!$A$3,"Brand","Samsung")</f>
        <v>6159657</v>
      </c>
      <c r="M14" s="45">
        <f>GETPIVOTDATA("Average of Selling price of QLED",Sheet3!$A$3,"Brand","Samsung")</f>
        <v>5194394</v>
      </c>
      <c r="N14" s="45">
        <f>GETPIVOTDATA("Sum of Selling price of HD",Sheet3!$A$3,"Brand","Samsung")</f>
        <v>372366</v>
      </c>
      <c r="O14" s="45">
        <f>GETPIVOTDATA("Average of Selling price of Full Hd",Sheet3!$A$3,"Brand","Lg ")</f>
        <v>2131021</v>
      </c>
      <c r="P14" s="44">
        <f>GETPIVOTDATA("Average of Selling price of HD plasma",Sheet3!$A$3,"Brand","Samsung")</f>
        <v>113000</v>
      </c>
      <c r="Q14" s="41"/>
      <c r="R14" s="41"/>
      <c r="S14" s="41"/>
      <c r="T14" s="41"/>
      <c r="U14" s="41"/>
      <c r="V14" s="41"/>
    </row>
    <row r="15" spans="1:25" ht="15.6" x14ac:dyDescent="0.35">
      <c r="A15" s="28"/>
      <c r="B15" s="14"/>
      <c r="C15" s="14"/>
      <c r="D15" s="15"/>
      <c r="E15" s="41"/>
      <c r="F15" s="41"/>
      <c r="G15" s="41"/>
      <c r="H15" s="41"/>
      <c r="I15" s="41"/>
      <c r="J15" s="41"/>
      <c r="K15" s="43" t="str">
        <f>Sheet3!A6</f>
        <v xml:space="preserve">Sony </v>
      </c>
      <c r="L15" s="44">
        <f>GETPIVOTDATA("Average of Selling price of Ultra",Sheet3!$A$3,"Brand","Sony ")</f>
        <v>4655442</v>
      </c>
      <c r="M15" s="45">
        <f>GETPIVOTDATA("Average of Selling price of QLED",Sheet3!$A$3,"Brand","Sony ")</f>
        <v>0</v>
      </c>
      <c r="N15" s="45">
        <f>GETPIVOTDATA("Sum of Selling price of HD",Sheet3!$A$3,"Brand","Sony ")</f>
        <v>195504</v>
      </c>
      <c r="O15" s="45">
        <f>GETPIVOTDATA("Average of Selling price of Full Hd",Sheet3!$A$3,"Brand","Sony ")</f>
        <v>688310</v>
      </c>
      <c r="P15" s="44">
        <f>GETPIVOTDATA("Average of Selling price of HD plasma",Sheet3!$A$3,"Brand","Sony ")</f>
        <v>0</v>
      </c>
      <c r="Q15" s="41"/>
      <c r="R15" s="41"/>
      <c r="S15" s="41"/>
      <c r="T15" s="41"/>
      <c r="U15" s="41"/>
      <c r="V15" s="41"/>
    </row>
    <row r="16" spans="1:25" ht="15.6" x14ac:dyDescent="0.35">
      <c r="A16" s="28"/>
      <c r="B16" s="14"/>
      <c r="C16" s="14"/>
      <c r="D16" s="15"/>
      <c r="E16" s="41"/>
      <c r="F16" s="41"/>
      <c r="G16" s="41"/>
      <c r="H16" s="41"/>
      <c r="I16" s="41"/>
      <c r="J16" s="41"/>
      <c r="K16" s="43" t="str">
        <f>Sheet3!A7</f>
        <v xml:space="preserve">Tcl </v>
      </c>
      <c r="L16" s="44">
        <f>GETPIVOTDATA("Average of Selling price of Ultra",Sheet3!$A$3,"Brand","Tcl ")</f>
        <v>1542574</v>
      </c>
      <c r="M16" s="45">
        <f>GETPIVOTDATA("Average of Selling price of QLED",Sheet3!$A$3,"Brand","Tcl ")</f>
        <v>446976</v>
      </c>
      <c r="N16" s="45">
        <f>GETPIVOTDATA("Sum of Selling price of HD",Sheet3!$A$3,"Brand","Tcl ")</f>
        <v>106120</v>
      </c>
      <c r="O16" s="44">
        <f>GETPIVOTDATA("Average of Selling price of Full Hd",Sheet3!$A$3,"Brand","Panasonic")</f>
        <v>393002</v>
      </c>
      <c r="P16" s="44">
        <f>GETPIVOTDATA("Average of Selling price of HD plasma",Sheet3!$A$3,"Brand","Tcl ")</f>
        <v>0</v>
      </c>
      <c r="Q16" s="41"/>
      <c r="R16" s="41"/>
      <c r="S16" s="41"/>
      <c r="T16" s="41"/>
      <c r="U16" s="41"/>
      <c r="V16" s="41"/>
    </row>
    <row r="17" spans="1:23" ht="15.6" x14ac:dyDescent="0.35">
      <c r="A17" s="28"/>
      <c r="B17" s="14"/>
      <c r="C17" s="14"/>
      <c r="D17" s="15"/>
      <c r="E17" s="41"/>
      <c r="F17" s="41"/>
      <c r="G17" s="41"/>
      <c r="H17" s="41"/>
      <c r="I17" s="41"/>
      <c r="J17" s="41"/>
      <c r="K17" s="43" t="str">
        <f>Sheet3!A8</f>
        <v>Panasonic</v>
      </c>
      <c r="L17" s="44">
        <f>GETPIVOTDATA("Average of Selling price of Ultra",Sheet3!$A$3,"Brand","Panasonic")</f>
        <v>1080943</v>
      </c>
      <c r="M17" s="45">
        <f>GETPIVOTDATA("Average of Selling price of QLED",Sheet3!$A$3,"Brand","Panasonic")</f>
        <v>0</v>
      </c>
      <c r="N17" s="45">
        <f>GETPIVOTDATA("Sum of Selling price of HD",Sheet3!$A$3,"Brand","Panasonic")</f>
        <v>130874</v>
      </c>
      <c r="O17" s="44">
        <f>GETPIVOTDATA("Average of Selling price of Full Hd",Sheet3!$A$3,"Brand","Tcl ")</f>
        <v>359456</v>
      </c>
      <c r="P17" s="44">
        <f>GETPIVOTDATA("Average of Selling price of HD plasma",Sheet3!$A$3,"Brand","Panasonic")</f>
        <v>0</v>
      </c>
      <c r="Q17" s="41"/>
      <c r="R17" s="41"/>
      <c r="S17" s="41"/>
      <c r="T17" s="41"/>
      <c r="U17" s="41"/>
      <c r="V17" s="41"/>
    </row>
    <row r="18" spans="1:23" ht="15.6" x14ac:dyDescent="0.35">
      <c r="A18" s="28"/>
      <c r="B18" s="14"/>
      <c r="C18" s="14"/>
      <c r="D18" s="15"/>
      <c r="E18" s="41"/>
      <c r="F18" s="41"/>
      <c r="G18" s="41"/>
      <c r="H18" s="41"/>
      <c r="I18" s="41"/>
      <c r="J18" s="41"/>
      <c r="K18" s="43" t="str">
        <f>Sheet3!A9</f>
        <v>Vu</v>
      </c>
      <c r="L18" s="44">
        <f>GETPIVOTDATA("Average of Selling price of Ultra",Sheet3!$A$3,"Brand","Vu")</f>
        <v>716454</v>
      </c>
      <c r="M18" s="45">
        <f>GETPIVOTDATA("Average of Selling price of QLED",Sheet3!$A$3,"Brand","Vu")</f>
        <v>259999</v>
      </c>
      <c r="N18" s="45">
        <f>GETPIVOTDATA("Sum of Selling price of HD",Sheet3!$A$3,"Brand","Vu")</f>
        <v>39997</v>
      </c>
      <c r="O18" s="44">
        <f>GETPIVOTDATA("Average of Selling price of Full Hd",Sheet3!$A$3,"Brand","Haier ")</f>
        <v>189308</v>
      </c>
      <c r="P18" s="44">
        <f>GETPIVOTDATA("Average of Selling price of HD plasma",Sheet3!$A$3,"Brand","Vu")</f>
        <v>0</v>
      </c>
      <c r="Q18" s="41"/>
      <c r="R18" s="41"/>
      <c r="S18" s="41"/>
      <c r="T18" s="41"/>
      <c r="U18" s="41"/>
      <c r="V18" s="41"/>
    </row>
    <row r="19" spans="1:23" ht="15.6" x14ac:dyDescent="0.35">
      <c r="A19" s="28"/>
      <c r="B19" s="14"/>
      <c r="C19" s="14"/>
      <c r="D19" s="15"/>
      <c r="E19" s="41"/>
      <c r="F19" s="41"/>
      <c r="G19" s="41"/>
      <c r="H19" s="41"/>
      <c r="I19" s="41"/>
      <c r="J19" s="41"/>
      <c r="K19" s="43" t="str">
        <f>Sheet3!A10</f>
        <v>Iffalcon By Tcl</v>
      </c>
      <c r="L19" s="44">
        <f>GETPIVOTDATA("Average of Selling price of Ultra",Sheet3!$A$3,"Brand","Iffalcon By Tcl")</f>
        <v>687478</v>
      </c>
      <c r="M19" s="45">
        <f>GETPIVOTDATA("Average of Selling price of QLED",Sheet3!$A$3,"Brand","Iffalcon By Tcl")</f>
        <v>286988</v>
      </c>
      <c r="N19" s="45">
        <f>GETPIVOTDATA("Sum of Selling price of HD",Sheet3!$A$3,"Brand","Iffalcon By Tcl")</f>
        <v>13990</v>
      </c>
      <c r="O19" s="44">
        <f>GETPIVOTDATA("Average of Selling price of Full Hd",Sheet3!$A$3,"Brand","Sansui ")</f>
        <v>78479</v>
      </c>
      <c r="P19" s="44">
        <f>GETPIVOTDATA("Average of Selling price of HD plasma",Sheet3!$A$3,"Brand","Iffalcon By Tcl")</f>
        <v>0</v>
      </c>
      <c r="Q19" s="41"/>
      <c r="R19" s="41"/>
      <c r="S19" s="41"/>
      <c r="T19" s="41"/>
      <c r="U19" s="41"/>
      <c r="V19" s="41"/>
    </row>
    <row r="20" spans="1:23" ht="15.6" x14ac:dyDescent="0.35">
      <c r="A20" s="28"/>
      <c r="B20" s="14"/>
      <c r="C20" s="14"/>
      <c r="D20" s="15"/>
      <c r="E20" s="41"/>
      <c r="F20" s="41"/>
      <c r="G20" s="41"/>
      <c r="H20" s="41"/>
      <c r="I20" s="41"/>
      <c r="J20" s="41"/>
      <c r="K20" s="43" t="str">
        <f>Sheet3!A11</f>
        <v xml:space="preserve">Sansui </v>
      </c>
      <c r="L20" s="44">
        <f>GETPIVOTDATA("Average of Selling price of Ultra",Sheet3!$A$3,"Brand","Sansui ")</f>
        <v>470147</v>
      </c>
      <c r="M20" s="45">
        <f>GETPIVOTDATA("Average of Selling price of QLED",Sheet3!$A$3,"Brand","Sansui ")</f>
        <v>49900</v>
      </c>
      <c r="N20" s="45">
        <f>GETPIVOTDATA("Sum of Selling price of HD",Sheet3!$A$3,"Brand","Sansui ")</f>
        <v>79569</v>
      </c>
      <c r="O20" s="44">
        <f>GETPIVOTDATA("Average of Selling price of Full Hd",Sheet3!$A$3,"Brand","Toshiba")</f>
        <v>77497</v>
      </c>
      <c r="P20" s="44">
        <f>GETPIVOTDATA("Average of Selling price of HD plasma",Sheet3!$A$3,"Brand","Sansui ")</f>
        <v>0</v>
      </c>
      <c r="Q20" s="41"/>
      <c r="R20" s="41"/>
      <c r="S20" s="41"/>
      <c r="T20" s="41"/>
      <c r="U20" s="41"/>
      <c r="V20" s="41"/>
    </row>
    <row r="21" spans="1:23" ht="15.6" x14ac:dyDescent="0.35">
      <c r="A21" s="28"/>
      <c r="B21" s="14"/>
      <c r="C21" s="14"/>
      <c r="D21" s="15"/>
      <c r="E21" s="41"/>
      <c r="F21" s="41"/>
      <c r="G21" s="41"/>
      <c r="H21" s="41"/>
      <c r="I21" s="41"/>
      <c r="J21" s="41"/>
      <c r="K21" s="43" t="str">
        <f>Sheet3!A12</f>
        <v>Toshiba</v>
      </c>
      <c r="L21" s="44">
        <f>GETPIVOTDATA("Average of Selling price of Ultra",Sheet3!$A$3,"Brand","Toshiba")</f>
        <v>397592</v>
      </c>
      <c r="M21" s="45">
        <f>GETPIVOTDATA("Average of Selling price of QLED",Sheet3!$A$3,"Brand","Toshiba")</f>
        <v>0</v>
      </c>
      <c r="N21" s="45">
        <f>GETPIVOTDATA("Sum of Selling price of HD",Sheet3!$A$3,"Brand","Toshiba")</f>
        <v>29998</v>
      </c>
      <c r="O21" s="44">
        <f>GETPIVOTDATA("Average of Selling price of Full Hd",Sheet3!$A$3,"Brand","Vu")</f>
        <v>56497</v>
      </c>
      <c r="P21" s="44">
        <f>GETPIVOTDATA("Average of Selling price of HD plasma",Sheet3!$A$3,"Brand","Toshiba")</f>
        <v>0</v>
      </c>
      <c r="Q21" s="41"/>
      <c r="R21" s="41"/>
      <c r="S21" s="41"/>
      <c r="T21" s="41"/>
      <c r="U21" s="41"/>
      <c r="V21" s="41"/>
    </row>
    <row r="22" spans="1:23" ht="16.2" thickBot="1" x14ac:dyDescent="0.4">
      <c r="A22" s="28"/>
      <c r="B22" s="14"/>
      <c r="C22" s="14"/>
      <c r="D22" s="15"/>
      <c r="E22" s="41"/>
      <c r="F22" s="41"/>
      <c r="G22" s="41"/>
      <c r="H22" s="41"/>
      <c r="I22" s="41"/>
      <c r="J22" s="41"/>
      <c r="K22" s="43" t="str">
        <f>Sheet3!A13</f>
        <v xml:space="preserve">Haier </v>
      </c>
      <c r="L22" s="44">
        <f>GETPIVOTDATA("Average of Selling price of Ultra",Sheet3!$A$3,"Brand","Haier ")</f>
        <v>387576</v>
      </c>
      <c r="M22" s="45">
        <f>GETPIVOTDATA("Average of Selling price of QLED",Sheet3!$A$3,"Brand","Haier ")</f>
        <v>0</v>
      </c>
      <c r="N22" s="45">
        <f>GETPIVOTDATA("Sum of Selling price of HD",Sheet3!$A$3,"Brand","Haier ")</f>
        <v>82208</v>
      </c>
      <c r="O22" s="44">
        <f>GETPIVOTDATA("Average of Selling price of Full Hd",Sheet3!$A$3,"Brand","Iffalcon By Tcl")</f>
        <v>41998</v>
      </c>
      <c r="P22" s="45">
        <f>GETPIVOTDATA("Average of Selling price of HD plasma",Sheet3!$A$3,"Brand","Haier ")</f>
        <v>0</v>
      </c>
      <c r="Q22" s="41"/>
      <c r="R22" s="41"/>
      <c r="S22" s="41"/>
      <c r="T22" s="41"/>
      <c r="U22" s="41"/>
      <c r="V22" s="41"/>
    </row>
    <row r="23" spans="1:23" ht="16.2" thickBot="1" x14ac:dyDescent="0.4">
      <c r="A23" s="28"/>
      <c r="B23" s="14"/>
      <c r="C23" s="14"/>
      <c r="D23" s="15"/>
      <c r="E23" s="41"/>
      <c r="F23" s="41"/>
      <c r="G23" s="41"/>
      <c r="H23" s="41"/>
      <c r="I23" s="41"/>
      <c r="J23" s="41"/>
      <c r="K23" s="42" t="str">
        <f>Sheet3!A14</f>
        <v>Grand Total</v>
      </c>
      <c r="L23" s="60">
        <f>GETPIVOTDATA("Average of Selling price of Ultra",Sheet3!$A$3)</f>
        <v>2540970.4</v>
      </c>
      <c r="M23" s="61">
        <f>GETPIVOTDATA("Average of Selling price of QLED",Sheet3!$A$3)</f>
        <v>623825.69999999995</v>
      </c>
      <c r="N23" s="62">
        <f>GETPIVOTDATA("Sum of Selling price of HD",Sheet3!$A$3)</f>
        <v>1315341</v>
      </c>
      <c r="O23" s="60">
        <f>GETPIVOTDATA("Average of Selling price of Full Hd",Sheet3!$A$3)</f>
        <v>780322.3</v>
      </c>
      <c r="P23" s="61">
        <f>GETPIVOTDATA("Average of Selling price of HD plasma",Sheet3!$A$3)</f>
        <v>22898</v>
      </c>
      <c r="Q23" s="41"/>
      <c r="R23" s="41"/>
      <c r="S23" s="41"/>
      <c r="T23" s="41"/>
      <c r="U23" s="41"/>
      <c r="V23" s="41"/>
    </row>
    <row r="24" spans="1:23" x14ac:dyDescent="0.25">
      <c r="A24" s="28"/>
      <c r="B24" s="14"/>
      <c r="C24" s="14"/>
      <c r="D24" s="15"/>
      <c r="E24" s="41"/>
      <c r="F24" s="41"/>
      <c r="G24" s="41"/>
      <c r="H24" s="41"/>
      <c r="I24" s="41"/>
      <c r="J24" s="41"/>
      <c r="K24" s="41"/>
      <c r="L24" s="41"/>
      <c r="M24" s="41"/>
      <c r="N24" s="41"/>
      <c r="O24" s="41"/>
      <c r="P24" s="41"/>
      <c r="Q24" s="41"/>
      <c r="R24" s="41"/>
      <c r="S24" s="41"/>
      <c r="T24" s="41"/>
      <c r="U24" s="41"/>
      <c r="V24" s="41"/>
    </row>
    <row r="25" spans="1:23" x14ac:dyDescent="0.25">
      <c r="A25" s="28"/>
      <c r="B25" s="14"/>
      <c r="C25" s="14"/>
      <c r="D25" s="15"/>
      <c r="E25" s="41"/>
      <c r="F25" s="41"/>
      <c r="G25" s="41"/>
      <c r="H25" s="41"/>
      <c r="I25" s="41"/>
      <c r="J25" s="41"/>
      <c r="K25" s="41"/>
      <c r="L25" s="41"/>
      <c r="M25" s="41"/>
      <c r="N25" s="41"/>
      <c r="O25" s="41"/>
      <c r="P25" s="41"/>
      <c r="Q25" s="41"/>
      <c r="R25" s="41"/>
      <c r="S25" s="41"/>
      <c r="T25" s="41"/>
      <c r="U25" s="41"/>
      <c r="V25" s="41"/>
    </row>
    <row r="26" spans="1:23" x14ac:dyDescent="0.25">
      <c r="A26" s="28"/>
      <c r="B26" s="14"/>
      <c r="C26" s="14"/>
      <c r="D26" s="15"/>
      <c r="E26" s="41"/>
      <c r="F26" s="41"/>
      <c r="G26" s="41"/>
      <c r="H26" s="41"/>
      <c r="I26" s="41"/>
      <c r="J26" s="41"/>
      <c r="K26" s="41"/>
      <c r="L26" s="41"/>
      <c r="M26" s="41"/>
      <c r="N26" s="41"/>
      <c r="O26" s="41"/>
      <c r="P26" s="41"/>
      <c r="Q26" s="41"/>
      <c r="R26" s="41"/>
      <c r="S26" s="41"/>
      <c r="T26" s="41"/>
      <c r="U26" s="41"/>
      <c r="V26" s="41"/>
    </row>
    <row r="27" spans="1:23" x14ac:dyDescent="0.25">
      <c r="A27" s="28"/>
      <c r="B27" s="14"/>
      <c r="C27" s="14"/>
      <c r="D27" s="15"/>
      <c r="E27" s="41"/>
      <c r="F27" s="41"/>
      <c r="G27" s="41"/>
      <c r="H27" s="41"/>
      <c r="I27" s="41"/>
      <c r="J27" s="41"/>
      <c r="K27" s="41"/>
      <c r="L27" s="41"/>
      <c r="M27" s="41"/>
      <c r="N27" s="41"/>
      <c r="O27" s="41"/>
      <c r="P27" s="41"/>
      <c r="Q27" s="41"/>
      <c r="R27" s="41"/>
      <c r="S27" s="41"/>
      <c r="T27" s="41"/>
      <c r="U27" s="41"/>
      <c r="V27" s="41"/>
    </row>
    <row r="28" spans="1:23" x14ac:dyDescent="0.25">
      <c r="A28" s="28"/>
      <c r="B28" s="14"/>
      <c r="C28" s="14"/>
      <c r="D28" s="15"/>
      <c r="E28" s="41"/>
      <c r="F28" s="41"/>
      <c r="G28" s="41"/>
      <c r="H28" s="41"/>
      <c r="I28" s="41"/>
      <c r="J28" s="41"/>
      <c r="K28" s="41"/>
      <c r="L28" s="41"/>
      <c r="M28" s="41"/>
      <c r="N28" s="41"/>
      <c r="O28" s="41"/>
      <c r="P28" s="41"/>
      <c r="Q28" s="41"/>
      <c r="R28" s="41"/>
      <c r="S28" s="41"/>
      <c r="T28" s="41"/>
      <c r="U28" s="41"/>
      <c r="V28" s="41"/>
      <c r="W28" s="19"/>
    </row>
    <row r="29" spans="1:23" x14ac:dyDescent="0.25">
      <c r="A29" s="28"/>
      <c r="B29" s="14"/>
      <c r="C29" s="14"/>
      <c r="D29" s="15"/>
      <c r="E29" s="41"/>
      <c r="F29" s="41"/>
      <c r="G29" s="41"/>
      <c r="H29" s="41"/>
      <c r="I29" s="41"/>
      <c r="J29" s="41"/>
      <c r="K29" s="41"/>
      <c r="L29" s="41"/>
      <c r="M29" s="41"/>
      <c r="N29" s="41"/>
      <c r="O29" s="41"/>
      <c r="P29" s="41"/>
      <c r="Q29" s="41"/>
      <c r="R29" s="41"/>
      <c r="S29" s="41"/>
      <c r="T29" s="41"/>
      <c r="U29" s="41"/>
      <c r="V29" s="41"/>
      <c r="W29" s="19"/>
    </row>
    <row r="30" spans="1:23" x14ac:dyDescent="0.25">
      <c r="A30" s="28"/>
      <c r="B30" s="14"/>
      <c r="C30" s="14"/>
      <c r="D30" s="15"/>
      <c r="E30" s="41"/>
      <c r="F30" s="41"/>
      <c r="G30" s="41"/>
      <c r="H30" s="41"/>
      <c r="I30" s="41"/>
      <c r="J30" s="41"/>
      <c r="K30" s="41"/>
      <c r="L30" s="41"/>
      <c r="M30" s="41"/>
      <c r="N30" s="41"/>
      <c r="O30" s="41"/>
      <c r="P30" s="41"/>
      <c r="Q30" s="41"/>
      <c r="R30" s="41"/>
      <c r="S30" s="41"/>
      <c r="T30" s="41"/>
      <c r="U30" s="41"/>
      <c r="V30" s="41"/>
      <c r="W30" s="19"/>
    </row>
    <row r="31" spans="1:23" x14ac:dyDescent="0.25">
      <c r="A31" s="28"/>
      <c r="B31" s="14"/>
      <c r="C31" s="14"/>
      <c r="D31" s="15"/>
      <c r="E31" s="41"/>
      <c r="F31" s="41"/>
      <c r="G31" s="41"/>
      <c r="H31" s="41"/>
      <c r="I31" s="41"/>
      <c r="J31" s="41"/>
      <c r="K31" s="41"/>
      <c r="L31" s="41"/>
      <c r="M31" s="41"/>
      <c r="N31" s="41"/>
      <c r="O31" s="41"/>
      <c r="P31" s="41"/>
      <c r="Q31" s="41"/>
      <c r="R31" s="41"/>
      <c r="S31" s="41"/>
      <c r="T31" s="41"/>
      <c r="U31" s="41"/>
      <c r="V31" s="41"/>
      <c r="W31" s="19"/>
    </row>
    <row r="32" spans="1:23" x14ac:dyDescent="0.25">
      <c r="A32" s="28"/>
      <c r="B32" s="14"/>
      <c r="C32" s="14"/>
      <c r="D32" s="15"/>
      <c r="E32" s="41"/>
      <c r="F32" s="41"/>
      <c r="G32" s="41"/>
      <c r="H32" s="41"/>
      <c r="I32" s="41"/>
      <c r="J32" s="41"/>
      <c r="K32" s="41"/>
      <c r="L32" s="41"/>
      <c r="M32" s="41"/>
      <c r="N32" s="41"/>
      <c r="O32" s="41"/>
      <c r="P32" s="41"/>
      <c r="Q32" s="41"/>
      <c r="R32" s="41"/>
      <c r="S32" s="41"/>
      <c r="T32" s="41"/>
      <c r="U32" s="41"/>
      <c r="V32" s="41"/>
      <c r="W32" s="19"/>
    </row>
    <row r="33" spans="1:23" x14ac:dyDescent="0.25">
      <c r="A33" s="28"/>
      <c r="B33" s="14"/>
      <c r="C33" s="14"/>
      <c r="D33" s="15"/>
      <c r="E33" s="41"/>
      <c r="F33" s="41"/>
      <c r="G33" s="41"/>
      <c r="H33" s="41"/>
      <c r="I33" s="41"/>
      <c r="J33" s="41"/>
      <c r="K33" s="41"/>
      <c r="L33" s="41"/>
      <c r="M33" s="41"/>
      <c r="N33" s="41"/>
      <c r="O33" s="41"/>
      <c r="P33" s="41"/>
      <c r="Q33" s="41"/>
      <c r="R33" s="41"/>
      <c r="S33" s="41"/>
      <c r="T33" s="41"/>
      <c r="U33" s="41"/>
      <c r="V33" s="41"/>
      <c r="W33" s="19"/>
    </row>
    <row r="34" spans="1:23" x14ac:dyDescent="0.25">
      <c r="A34" s="28"/>
      <c r="B34" s="14"/>
      <c r="C34" s="14"/>
      <c r="D34" s="15"/>
      <c r="E34" s="41"/>
      <c r="F34" s="41"/>
      <c r="G34" s="41"/>
      <c r="H34" s="41"/>
      <c r="I34" s="41"/>
      <c r="J34" s="41"/>
      <c r="K34" s="41"/>
      <c r="L34" s="41"/>
      <c r="M34" s="41"/>
      <c r="N34" s="41"/>
      <c r="O34" s="41"/>
      <c r="P34" s="41"/>
      <c r="Q34" s="41"/>
      <c r="R34" s="41"/>
      <c r="S34" s="41"/>
      <c r="T34" s="41"/>
      <c r="U34" s="41"/>
      <c r="V34" s="41"/>
      <c r="W34" s="19"/>
    </row>
    <row r="35" spans="1:23" x14ac:dyDescent="0.25">
      <c r="A35" s="28"/>
      <c r="B35" s="14"/>
      <c r="C35" s="14"/>
      <c r="D35" s="15"/>
      <c r="E35" s="41"/>
      <c r="F35" s="41"/>
      <c r="G35" s="41"/>
      <c r="H35" s="41"/>
      <c r="I35" s="41"/>
      <c r="J35" s="41"/>
      <c r="K35" s="41"/>
      <c r="L35" s="41"/>
      <c r="M35" s="41"/>
      <c r="N35" s="41"/>
      <c r="O35" s="41"/>
      <c r="P35" s="41"/>
      <c r="Q35" s="41"/>
      <c r="R35" s="41"/>
      <c r="S35" s="41"/>
      <c r="T35" s="41"/>
      <c r="U35" s="41"/>
      <c r="V35" s="41"/>
      <c r="W35" s="19"/>
    </row>
    <row r="36" spans="1:23" x14ac:dyDescent="0.25">
      <c r="A36" s="28"/>
      <c r="B36" s="14"/>
      <c r="C36" s="14"/>
      <c r="D36" s="15"/>
      <c r="E36" s="41"/>
      <c r="F36" s="41"/>
      <c r="G36" s="41"/>
      <c r="H36" s="41"/>
      <c r="I36" s="41"/>
      <c r="J36" s="41"/>
      <c r="K36" s="41"/>
      <c r="L36" s="41"/>
      <c r="M36" s="41"/>
      <c r="N36" s="41"/>
      <c r="O36" s="41"/>
      <c r="P36" s="41"/>
      <c r="Q36" s="41"/>
      <c r="R36" s="41"/>
      <c r="S36" s="41"/>
      <c r="T36" s="41"/>
      <c r="U36" s="41"/>
      <c r="V36" s="41"/>
      <c r="W36" s="19"/>
    </row>
    <row r="37" spans="1:23" x14ac:dyDescent="0.25">
      <c r="A37" s="28"/>
      <c r="B37" s="14"/>
      <c r="C37" s="14"/>
      <c r="D37" s="15"/>
      <c r="E37" s="41"/>
      <c r="F37" s="41"/>
      <c r="G37" s="41"/>
      <c r="H37" s="41"/>
      <c r="I37" s="41"/>
      <c r="J37" s="41"/>
      <c r="K37" s="41"/>
      <c r="L37" s="41"/>
      <c r="M37" s="41"/>
      <c r="N37" s="41"/>
      <c r="O37" s="41"/>
      <c r="P37" s="41"/>
      <c r="Q37" s="41"/>
      <c r="R37" s="41"/>
      <c r="S37" s="41"/>
      <c r="T37" s="41"/>
      <c r="U37" s="41"/>
      <c r="V37" s="41"/>
      <c r="W37" s="19"/>
    </row>
    <row r="38" spans="1:23" x14ac:dyDescent="0.25">
      <c r="A38" s="28"/>
      <c r="B38" s="14"/>
      <c r="C38" s="14"/>
      <c r="D38" s="15"/>
      <c r="E38" s="41"/>
      <c r="F38" s="41"/>
      <c r="G38" s="41"/>
      <c r="H38" s="41"/>
      <c r="I38" s="41"/>
      <c r="J38" s="41"/>
      <c r="K38" s="41"/>
      <c r="L38" s="41"/>
      <c r="M38" s="41"/>
      <c r="N38" s="41"/>
      <c r="O38" s="41"/>
      <c r="P38" s="41"/>
      <c r="Q38" s="41"/>
      <c r="R38" s="41"/>
      <c r="S38" s="41"/>
      <c r="T38" s="41"/>
      <c r="U38" s="41"/>
      <c r="V38" s="41"/>
      <c r="W38" s="19"/>
    </row>
    <row r="39" spans="1:23" x14ac:dyDescent="0.25">
      <c r="A39" s="28"/>
      <c r="B39" s="14"/>
      <c r="C39" s="14"/>
      <c r="D39" s="15"/>
      <c r="E39" s="41"/>
      <c r="F39" s="41"/>
      <c r="G39" s="41"/>
      <c r="H39" s="41"/>
      <c r="I39" s="41"/>
      <c r="J39" s="41"/>
      <c r="K39" s="41"/>
      <c r="L39" s="41"/>
      <c r="M39" s="41"/>
      <c r="N39" s="41"/>
      <c r="O39" s="41"/>
      <c r="P39" s="41"/>
      <c r="Q39" s="41"/>
      <c r="R39" s="41"/>
      <c r="S39" s="41"/>
      <c r="T39" s="41"/>
      <c r="U39" s="41"/>
      <c r="V39" s="41"/>
      <c r="W39" s="19"/>
    </row>
    <row r="40" spans="1:23" x14ac:dyDescent="0.25">
      <c r="A40" s="28"/>
      <c r="B40" s="14"/>
      <c r="C40" s="14"/>
      <c r="D40" s="15"/>
      <c r="E40" s="41"/>
      <c r="F40" s="41"/>
      <c r="G40" s="41"/>
      <c r="H40" s="41"/>
      <c r="I40" s="41"/>
      <c r="J40" s="41"/>
      <c r="K40" s="41"/>
      <c r="L40" s="41"/>
      <c r="M40" s="41"/>
      <c r="N40" s="41"/>
      <c r="O40" s="41"/>
      <c r="P40" s="41"/>
      <c r="Q40" s="41"/>
      <c r="R40" s="41"/>
      <c r="S40" s="41"/>
      <c r="T40" s="41"/>
      <c r="U40" s="41"/>
      <c r="V40" s="41"/>
      <c r="W40" s="19"/>
    </row>
    <row r="41" spans="1:23" x14ac:dyDescent="0.25">
      <c r="A41" s="28"/>
      <c r="B41" s="14"/>
      <c r="C41" s="14"/>
      <c r="D41" s="15"/>
      <c r="E41" s="41"/>
      <c r="F41" s="41"/>
      <c r="G41" s="41"/>
      <c r="H41" s="41"/>
      <c r="I41" s="41"/>
      <c r="J41" s="41"/>
      <c r="K41" s="41"/>
      <c r="L41" s="41"/>
      <c r="M41" s="41"/>
      <c r="N41" s="41"/>
      <c r="O41" s="41"/>
      <c r="P41" s="41"/>
      <c r="Q41" s="41"/>
      <c r="R41" s="41"/>
      <c r="S41" s="41"/>
      <c r="T41" s="41"/>
      <c r="U41" s="41"/>
      <c r="V41" s="41"/>
    </row>
    <row r="42" spans="1:23" x14ac:dyDescent="0.25">
      <c r="A42" s="28"/>
      <c r="B42" s="14"/>
      <c r="C42" s="14"/>
      <c r="D42" s="15"/>
      <c r="E42" s="41"/>
      <c r="F42" s="41"/>
      <c r="G42" s="41"/>
      <c r="H42" s="41"/>
      <c r="I42" s="41"/>
      <c r="J42" s="41"/>
      <c r="K42" s="41"/>
      <c r="L42" s="41"/>
      <c r="M42" s="41"/>
      <c r="N42" s="41"/>
      <c r="O42" s="41"/>
      <c r="P42" s="41"/>
      <c r="Q42" s="41"/>
      <c r="R42" s="41"/>
      <c r="S42" s="41"/>
      <c r="T42" s="41"/>
      <c r="U42" s="41"/>
      <c r="V42" s="41"/>
    </row>
    <row r="43" spans="1:23" x14ac:dyDescent="0.25">
      <c r="A43" s="28"/>
      <c r="B43" s="14"/>
      <c r="C43" s="14"/>
      <c r="D43" s="15"/>
      <c r="E43" s="41"/>
      <c r="F43" s="41"/>
      <c r="G43" s="41"/>
      <c r="H43" s="41"/>
      <c r="I43" s="41"/>
      <c r="J43" s="41"/>
      <c r="K43" s="41"/>
      <c r="L43" s="41"/>
      <c r="M43" s="41"/>
      <c r="N43" s="41"/>
      <c r="O43" s="41"/>
      <c r="P43" s="41"/>
      <c r="Q43" s="41"/>
      <c r="R43" s="41"/>
      <c r="S43" s="41"/>
      <c r="T43" s="41"/>
      <c r="U43" s="41"/>
      <c r="V43" s="41"/>
    </row>
    <row r="44" spans="1:23" x14ac:dyDescent="0.25">
      <c r="A44" s="28"/>
      <c r="B44" s="14"/>
      <c r="C44" s="14"/>
      <c r="D44" s="15"/>
      <c r="E44" s="41"/>
      <c r="F44" s="41"/>
      <c r="G44" s="41"/>
      <c r="H44" s="41"/>
      <c r="I44" s="41"/>
      <c r="J44" s="41"/>
      <c r="K44" s="41"/>
      <c r="L44" s="41"/>
      <c r="M44" s="41"/>
      <c r="N44" s="41"/>
      <c r="O44" s="41"/>
      <c r="P44" s="41"/>
      <c r="Q44" s="41"/>
      <c r="R44" s="41"/>
      <c r="S44" s="41"/>
      <c r="T44" s="41"/>
      <c r="U44" s="41"/>
      <c r="V44" s="41"/>
    </row>
    <row r="45" spans="1:23" x14ac:dyDescent="0.25">
      <c r="A45" s="28"/>
      <c r="B45" s="14"/>
      <c r="C45" s="14"/>
      <c r="D45" s="15"/>
      <c r="E45" s="41"/>
      <c r="F45" s="41"/>
      <c r="G45" s="41"/>
      <c r="H45" s="41"/>
      <c r="I45" s="41"/>
      <c r="J45" s="41"/>
      <c r="K45" s="41"/>
      <c r="L45" s="41"/>
      <c r="M45" s="41"/>
      <c r="N45" s="41"/>
      <c r="O45" s="41"/>
      <c r="P45" s="41"/>
      <c r="Q45" s="41"/>
      <c r="R45" s="41"/>
      <c r="S45" s="41"/>
      <c r="T45" s="41"/>
      <c r="U45" s="41"/>
      <c r="V45" s="41"/>
    </row>
    <row r="46" spans="1:23" x14ac:dyDescent="0.25">
      <c r="A46" s="28"/>
      <c r="B46" s="14"/>
      <c r="C46" s="14"/>
      <c r="D46" s="15"/>
      <c r="E46" s="41"/>
      <c r="F46" s="41"/>
      <c r="G46" s="41"/>
      <c r="H46" s="41"/>
      <c r="I46" s="41"/>
      <c r="J46" s="41"/>
      <c r="K46" s="41"/>
      <c r="L46" s="41"/>
      <c r="M46" s="41"/>
      <c r="N46" s="41"/>
      <c r="O46" s="41"/>
      <c r="P46" s="41"/>
      <c r="Q46" s="41"/>
      <c r="R46" s="41"/>
      <c r="S46" s="41"/>
      <c r="T46" s="41"/>
      <c r="U46" s="41"/>
      <c r="V46" s="41"/>
    </row>
    <row r="47" spans="1:23" x14ac:dyDescent="0.25">
      <c r="A47" s="28"/>
      <c r="B47" s="14"/>
      <c r="C47" s="14"/>
      <c r="D47" s="15"/>
      <c r="E47" s="41"/>
      <c r="F47" s="41"/>
      <c r="G47" s="41"/>
      <c r="H47" s="41"/>
      <c r="I47" s="41"/>
      <c r="J47" s="41"/>
      <c r="K47" s="41"/>
      <c r="L47" s="41"/>
      <c r="M47" s="41"/>
      <c r="N47" s="41"/>
      <c r="O47" s="41"/>
      <c r="P47" s="41"/>
      <c r="Q47" s="41"/>
      <c r="R47" s="41"/>
      <c r="S47" s="41"/>
      <c r="T47" s="41"/>
      <c r="U47" s="41"/>
      <c r="V47" s="41"/>
    </row>
    <row r="48" spans="1:23" x14ac:dyDescent="0.25">
      <c r="A48" s="28"/>
      <c r="B48" s="14"/>
      <c r="C48" s="14"/>
      <c r="D48" s="15"/>
      <c r="E48" s="41"/>
      <c r="F48" s="41"/>
      <c r="G48" s="41"/>
      <c r="H48" s="41"/>
      <c r="I48" s="41"/>
      <c r="J48" s="41"/>
      <c r="K48" s="41"/>
      <c r="L48" s="41"/>
      <c r="M48" s="41"/>
      <c r="N48" s="41"/>
      <c r="O48" s="41"/>
      <c r="P48" s="41"/>
      <c r="Q48" s="41"/>
      <c r="R48" s="41"/>
      <c r="S48" s="41"/>
      <c r="T48" s="41"/>
      <c r="U48" s="41"/>
      <c r="V48" s="41"/>
    </row>
    <row r="49" spans="1:22" x14ac:dyDescent="0.25">
      <c r="A49" s="28"/>
      <c r="B49" s="14"/>
      <c r="C49" s="14"/>
      <c r="D49" s="15"/>
      <c r="E49" s="41"/>
      <c r="F49" s="41"/>
      <c r="G49" s="41"/>
      <c r="H49" s="41"/>
      <c r="I49" s="41"/>
      <c r="J49" s="41"/>
      <c r="K49" s="41"/>
      <c r="L49" s="41"/>
      <c r="M49" s="41"/>
      <c r="N49" s="41"/>
      <c r="O49" s="41"/>
      <c r="P49" s="41"/>
      <c r="Q49" s="41"/>
      <c r="R49" s="41"/>
      <c r="S49" s="41"/>
      <c r="T49" s="41"/>
      <c r="U49" s="41"/>
      <c r="V49" s="41"/>
    </row>
    <row r="50" spans="1:22" x14ac:dyDescent="0.25">
      <c r="A50" s="28"/>
      <c r="B50" s="14"/>
      <c r="C50" s="14"/>
      <c r="D50" s="15"/>
      <c r="E50" s="41"/>
      <c r="F50" s="41"/>
      <c r="G50" s="41"/>
      <c r="H50" s="41"/>
      <c r="I50" s="41"/>
      <c r="J50" s="41"/>
      <c r="K50" s="41"/>
      <c r="L50" s="41"/>
      <c r="M50" s="41"/>
      <c r="N50" s="41"/>
      <c r="O50" s="41"/>
      <c r="P50" s="41"/>
      <c r="Q50" s="41"/>
      <c r="R50" s="41"/>
      <c r="S50" s="41"/>
      <c r="T50" s="41"/>
      <c r="U50" s="41"/>
      <c r="V50" s="41"/>
    </row>
    <row r="51" spans="1:22" x14ac:dyDescent="0.25">
      <c r="A51" s="28"/>
      <c r="B51" s="14"/>
      <c r="C51" s="14"/>
      <c r="D51" s="15"/>
      <c r="E51" s="41"/>
      <c r="F51" s="41"/>
      <c r="G51" s="41"/>
      <c r="H51" s="41"/>
      <c r="I51" s="41"/>
      <c r="J51" s="41"/>
      <c r="K51" s="41"/>
      <c r="L51" s="41"/>
      <c r="M51" s="41"/>
      <c r="N51" s="41"/>
      <c r="O51" s="41"/>
      <c r="P51" s="41"/>
      <c r="Q51" s="41"/>
      <c r="R51" s="41"/>
      <c r="S51" s="41"/>
      <c r="T51" s="41"/>
      <c r="U51" s="41"/>
      <c r="V51" s="41"/>
    </row>
    <row r="52" spans="1:22" x14ac:dyDescent="0.25">
      <c r="A52" s="28"/>
      <c r="B52" s="14"/>
      <c r="C52" s="14"/>
      <c r="D52" s="15"/>
      <c r="E52" s="41"/>
      <c r="F52" s="41"/>
      <c r="G52" s="41"/>
      <c r="H52" s="41"/>
      <c r="I52" s="41"/>
      <c r="J52" s="41"/>
      <c r="K52" s="41"/>
      <c r="L52" s="41"/>
      <c r="M52" s="41"/>
      <c r="N52" s="41"/>
      <c r="O52" s="41"/>
      <c r="P52" s="41"/>
      <c r="Q52" s="41"/>
      <c r="R52" s="41"/>
      <c r="S52" s="41"/>
      <c r="T52" s="41"/>
      <c r="U52" s="41"/>
      <c r="V52" s="41"/>
    </row>
    <row r="53" spans="1:22" x14ac:dyDescent="0.25">
      <c r="A53" s="28"/>
      <c r="B53" s="14"/>
      <c r="C53" s="14"/>
      <c r="D53" s="15"/>
      <c r="E53" s="41"/>
      <c r="F53" s="41"/>
      <c r="G53" s="41"/>
      <c r="H53" s="41"/>
      <c r="I53" s="41"/>
      <c r="J53" s="41"/>
      <c r="K53" s="41"/>
      <c r="L53" s="41"/>
      <c r="M53" s="41"/>
      <c r="N53" s="41"/>
      <c r="O53" s="41"/>
      <c r="P53" s="41"/>
      <c r="Q53" s="41"/>
      <c r="R53" s="41"/>
      <c r="S53" s="41"/>
      <c r="T53" s="41"/>
      <c r="U53" s="41"/>
      <c r="V53" s="41"/>
    </row>
    <row r="54" spans="1:22" x14ac:dyDescent="0.25">
      <c r="A54" s="28"/>
      <c r="B54" s="14"/>
      <c r="C54" s="14"/>
      <c r="D54" s="15"/>
      <c r="E54" s="41"/>
      <c r="F54" s="41"/>
      <c r="G54" s="41"/>
      <c r="H54" s="41"/>
      <c r="I54" s="41"/>
      <c r="J54" s="41"/>
      <c r="K54" s="41"/>
      <c r="L54" s="41"/>
      <c r="M54" s="41"/>
      <c r="N54" s="41"/>
      <c r="O54" s="41"/>
      <c r="P54" s="41"/>
      <c r="Q54" s="41"/>
      <c r="R54" s="41"/>
      <c r="S54" s="41"/>
      <c r="T54" s="41"/>
      <c r="U54" s="41"/>
      <c r="V54" s="41"/>
    </row>
    <row r="55" spans="1:22" ht="14.4" thickBot="1" x14ac:dyDescent="0.3">
      <c r="A55" s="40"/>
      <c r="B55" s="23"/>
      <c r="C55" s="23"/>
      <c r="D55" s="24"/>
    </row>
    <row r="56" spans="1:22" ht="14.4" thickTop="1" x14ac:dyDescent="0.25"/>
    <row r="97" spans="25:25" ht="22.8" x14ac:dyDescent="0.4">
      <c r="Y97" s="33">
        <f>GETPIVOTDATA("[Measures].[Average of Discount%]",'Pivot 1 '!$A$3)</f>
        <v>0.27686403508771978</v>
      </c>
    </row>
    <row r="100" spans="25:25" ht="22.8" x14ac:dyDescent="0.4">
      <c r="Y100" s="32">
        <f>GETPIVOTDATA("[Measures].[Sum of Selling Price]",'Pivot 1 '!$A$4)</f>
        <v>54135049</v>
      </c>
    </row>
    <row r="103" spans="25:25" ht="22.8" x14ac:dyDescent="0.4">
      <c r="Y103" s="32">
        <f>GETPIVOTDATA("[Measures].[Sum of Original Price]",'Pivot 1 '!$A$3)</f>
        <v>74761395</v>
      </c>
    </row>
    <row r="105" spans="25:25" ht="22.8" x14ac:dyDescent="0.4">
      <c r="Y105" s="36">
        <f>GETPIVOTDATA("[Measures].[Total Brands]",'Pivot 1 '!$D$26)</f>
        <v>58</v>
      </c>
    </row>
    <row r="106" spans="25:25" ht="22.8" x14ac:dyDescent="0.4">
      <c r="Y106" s="36">
        <f>GETPIVOTDATA("[Measures].[Resolution types]",'Pivot 1 '!$D$26)</f>
        <v>5</v>
      </c>
    </row>
    <row r="107" spans="25:25" ht="22.8" x14ac:dyDescent="0.4">
      <c r="Y107" s="32"/>
    </row>
    <row r="180" spans="9:11" ht="14.4" thickBot="1" x14ac:dyDescent="0.3"/>
    <row r="181" spans="9:11" ht="14.4" thickBot="1" x14ac:dyDescent="0.3">
      <c r="I181" s="29" t="s">
        <v>148</v>
      </c>
      <c r="J181" s="30" t="s">
        <v>108</v>
      </c>
      <c r="K181" s="31" t="s">
        <v>109</v>
      </c>
    </row>
    <row r="182" spans="9:11" x14ac:dyDescent="0.25">
      <c r="I182" s="20" t="str">
        <f>'Pivot 1 '!A8</f>
        <v>Samsung</v>
      </c>
      <c r="J182" s="21">
        <f>'Pivot 1 '!B8</f>
        <v>15627072</v>
      </c>
      <c r="K182" s="22">
        <f>'Pivot 1 '!C8</f>
        <v>19219045</v>
      </c>
    </row>
    <row r="183" spans="9:11" x14ac:dyDescent="0.25">
      <c r="I183" s="20" t="str">
        <f>'Pivot 1 '!A9</f>
        <v>Lg</v>
      </c>
      <c r="J183" s="21">
        <f>'Pivot 1 '!B9</f>
        <v>11823557</v>
      </c>
      <c r="K183" s="22">
        <f>'Pivot 1 '!C9</f>
        <v>16518545</v>
      </c>
    </row>
    <row r="184" spans="9:11" x14ac:dyDescent="0.25">
      <c r="I184" s="20" t="str">
        <f>'Pivot 1 '!A10</f>
        <v>Sony</v>
      </c>
      <c r="J184" s="21">
        <f>'Pivot 1 '!B10</f>
        <v>5539256</v>
      </c>
      <c r="K184" s="22">
        <f>'Pivot 1 '!C10</f>
        <v>8084395</v>
      </c>
    </row>
    <row r="185" spans="9:11" x14ac:dyDescent="0.25">
      <c r="I185" s="20" t="str">
        <f>'Pivot 1 '!A11</f>
        <v>Tcl</v>
      </c>
      <c r="J185" s="21">
        <f>'Pivot 1 '!B11</f>
        <v>2455126</v>
      </c>
      <c r="K185" s="22">
        <f>'Pivot 1 '!C11</f>
        <v>4371854</v>
      </c>
    </row>
    <row r="186" spans="9:11" x14ac:dyDescent="0.25">
      <c r="I186" s="20" t="str">
        <f>'Pivot 1 '!A12</f>
        <v>Panasonic</v>
      </c>
      <c r="J186" s="21">
        <f>'Pivot 1 '!B12</f>
        <v>1604819</v>
      </c>
      <c r="K186" s="22">
        <f>'Pivot 1 '!C12</f>
        <v>2258830</v>
      </c>
    </row>
    <row r="187" spans="9:11" x14ac:dyDescent="0.25">
      <c r="I187" s="20" t="str">
        <f>'Pivot 1 '!A13</f>
        <v>Sharp</v>
      </c>
      <c r="J187" s="21">
        <f>'Pivot 1 '!B13</f>
        <v>1197376</v>
      </c>
      <c r="K187" s="22">
        <f>'Pivot 1 '!C13</f>
        <v>1253250</v>
      </c>
    </row>
    <row r="188" spans="9:11" x14ac:dyDescent="0.25">
      <c r="I188" s="20" t="str">
        <f>'Pivot 1 '!A14</f>
        <v>Vu</v>
      </c>
      <c r="J188" s="21">
        <f>'Pivot 1 '!B14</f>
        <v>1072947</v>
      </c>
      <c r="K188" s="22">
        <f>'Pivot 1 '!C14</f>
        <v>1521484</v>
      </c>
    </row>
    <row r="189" spans="9:11" x14ac:dyDescent="0.25">
      <c r="I189" s="20" t="str">
        <f>'Pivot 1 '!A15</f>
        <v>Iffalcon By Tcl</v>
      </c>
      <c r="J189" s="21">
        <f>'Pivot 1 '!B15</f>
        <v>1030454</v>
      </c>
      <c r="K189" s="22">
        <f>'Pivot 1 '!C15</f>
        <v>1899819</v>
      </c>
    </row>
    <row r="190" spans="9:11" x14ac:dyDescent="0.25">
      <c r="I190" s="20" t="str">
        <f>'Pivot 1 '!A16</f>
        <v>Hisense</v>
      </c>
      <c r="J190" s="21">
        <f>'Pivot 1 '!B16</f>
        <v>897954</v>
      </c>
      <c r="K190" s="22">
        <f>'Pivot 1 '!C16</f>
        <v>1007900</v>
      </c>
    </row>
    <row r="191" spans="9:11" x14ac:dyDescent="0.25">
      <c r="I191" s="20" t="str">
        <f>'Pivot 1 '!A17</f>
        <v>Lloyd</v>
      </c>
      <c r="J191" s="21">
        <f>'Pivot 1 '!B17</f>
        <v>751560</v>
      </c>
      <c r="K191" s="22">
        <f>'Pivot 1 '!C17</f>
        <v>1160544</v>
      </c>
    </row>
    <row r="192" spans="9:11" x14ac:dyDescent="0.25">
      <c r="I192" s="20" t="str">
        <f>'Pivot 1 '!A18</f>
        <v>Sansui</v>
      </c>
      <c r="J192" s="21">
        <f>'Pivot 1 '!B18</f>
        <v>678095</v>
      </c>
      <c r="K192" s="22">
        <f>'Pivot 1 '!C18</f>
        <v>807318</v>
      </c>
    </row>
    <row r="193" spans="9:11" x14ac:dyDescent="0.25">
      <c r="I193" s="20" t="str">
        <f>'Pivot 1 '!A19</f>
        <v>Micromax</v>
      </c>
      <c r="J193" s="21">
        <f>'Pivot 1 '!B19</f>
        <v>671739</v>
      </c>
      <c r="K193" s="22">
        <f>'Pivot 1 '!C19</f>
        <v>837938</v>
      </c>
    </row>
    <row r="194" spans="9:11" x14ac:dyDescent="0.25">
      <c r="I194" s="20" t="str">
        <f>'Pivot 1 '!A20</f>
        <v>Haier</v>
      </c>
      <c r="J194" s="21">
        <f>'Pivot 1 '!B20</f>
        <v>659092</v>
      </c>
      <c r="K194" s="22">
        <f>'Pivot 1 '!C20</f>
        <v>989581</v>
      </c>
    </row>
    <row r="195" spans="9:11" x14ac:dyDescent="0.25">
      <c r="I195" s="20" t="str">
        <f>'Pivot 1 '!A21</f>
        <v>Mi</v>
      </c>
      <c r="J195" s="21">
        <f>'Pivot 1 '!B21</f>
        <v>584954</v>
      </c>
      <c r="K195" s="22">
        <f>'Pivot 1 '!C21</f>
        <v>713981</v>
      </c>
    </row>
    <row r="196" spans="9:11" ht="14.4" thickBot="1" x14ac:dyDescent="0.3">
      <c r="I196" s="20" t="str">
        <f>'Pivot 1 '!A22</f>
        <v>Philips</v>
      </c>
      <c r="J196" s="21">
        <f>'Pivot 1 '!B22</f>
        <v>579935</v>
      </c>
      <c r="K196" s="22">
        <f>'Pivot 1 '!C22</f>
        <v>1087840</v>
      </c>
    </row>
    <row r="197" spans="9:11" ht="14.4" thickBot="1" x14ac:dyDescent="0.3">
      <c r="I197" s="29" t="str">
        <f>'Pivot 1 '!A23</f>
        <v>Grand Total</v>
      </c>
      <c r="J197" s="30">
        <f>'Pivot 1 '!B23</f>
        <v>45173936</v>
      </c>
      <c r="K197" s="31">
        <f>'Pivot 1 '!C23</f>
        <v>61732324</v>
      </c>
    </row>
    <row r="199" spans="9:11" x14ac:dyDescent="0.25">
      <c r="I199" s="14" t="str">
        <f>"Total Selling Prices For : "&amp;'Pivot 1 '!E68</f>
        <v>Total Selling Prices For : Total Brand</v>
      </c>
    </row>
    <row r="201" spans="9:11" x14ac:dyDescent="0.25">
      <c r="K201" s="14" t="str">
        <f>"Average Discount For : "&amp;'Pivot 1 '!E68</f>
        <v>Average Discount For : Total Brand</v>
      </c>
    </row>
    <row r="202" spans="9:11" x14ac:dyDescent="0.25">
      <c r="I202" s="14" t="str">
        <f>"Total Original Prices For : "&amp;'Pivot 1 '!E68</f>
        <v>Total Original Prices For : Total Brand</v>
      </c>
    </row>
    <row r="204" spans="9:11" x14ac:dyDescent="0.25">
      <c r="K204" s="14" t="str">
        <f>"Total Brands : "&amp;'Pivot 1 '!E68</f>
        <v>Total Brands : Total Brand</v>
      </c>
    </row>
    <row r="207" spans="9:11" x14ac:dyDescent="0.25">
      <c r="I207" t="str">
        <f>"Total Selling &amp; Original Prices for :" &amp; 'Pivot 1 '!$E$66</f>
        <v>Total Selling &amp; Original Prices for :Total Brand</v>
      </c>
    </row>
  </sheetData>
  <sortState xmlns:xlrd2="http://schemas.microsoft.com/office/spreadsheetml/2017/richdata2" ref="O13:O22">
    <sortCondition descending="1" ref="O13:O22"/>
  </sortState>
  <conditionalFormatting sqref="L13:L22">
    <cfRule type="dataBar" priority="3">
      <dataBar>
        <cfvo type="min"/>
        <cfvo type="max"/>
        <color theme="3"/>
      </dataBar>
      <extLst>
        <ext xmlns:x14="http://schemas.microsoft.com/office/spreadsheetml/2009/9/main" uri="{B025F937-C7B1-47D3-B67F-A62EFF666E3E}">
          <x14:id>{C0359EC2-DD9C-4948-B7DF-5C538780119B}</x14:id>
        </ext>
      </extLst>
    </cfRule>
    <cfRule type="dataBar" priority="8">
      <dataBar>
        <cfvo type="min"/>
        <cfvo type="max"/>
        <color rgb="FFFFB628"/>
      </dataBar>
      <extLst>
        <ext xmlns:x14="http://schemas.microsoft.com/office/spreadsheetml/2009/9/main" uri="{B025F937-C7B1-47D3-B67F-A62EFF666E3E}">
          <x14:id>{CEEDDA40-EE9C-40BB-BFCD-394234A88C4D}</x14:id>
        </ext>
      </extLst>
    </cfRule>
  </conditionalFormatting>
  <conditionalFormatting sqref="M13:M22">
    <cfRule type="cellIs" dxfId="4" priority="4" operator="equal">
      <formula>0</formula>
    </cfRule>
  </conditionalFormatting>
  <conditionalFormatting sqref="O13:O22">
    <cfRule type="dataBar" priority="1">
      <dataBar>
        <cfvo type="min"/>
        <cfvo type="max"/>
        <color theme="3"/>
      </dataBar>
      <extLst>
        <ext xmlns:x14="http://schemas.microsoft.com/office/spreadsheetml/2009/9/main" uri="{B025F937-C7B1-47D3-B67F-A62EFF666E3E}">
          <x14:id>{F2F914F8-7325-41A5-93C8-70F0E71DA78B}</x14:id>
        </ext>
      </extLst>
    </cfRule>
    <cfRule type="dataBar" priority="2">
      <dataBar>
        <cfvo type="min"/>
        <cfvo type="max"/>
        <color rgb="FFFFB628"/>
      </dataBar>
      <extLst>
        <ext xmlns:x14="http://schemas.microsoft.com/office/spreadsheetml/2009/9/main" uri="{B025F937-C7B1-47D3-B67F-A62EFF666E3E}">
          <x14:id>{B16332C5-EA19-41EC-90DC-9606EB23292B}</x14:id>
        </ext>
      </extLst>
    </cfRule>
  </conditionalFormatting>
  <conditionalFormatting sqref="P13:P22">
    <cfRule type="cellIs" dxfId="3" priority="5" operator="equal">
      <formula>0</formula>
    </cfRule>
    <cfRule type="expression" dxfId="2" priority="9">
      <formula>IF(P13=0,"Red","Green")</formula>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C0359EC2-DD9C-4948-B7DF-5C538780119B}">
            <x14:dataBar minLength="0" maxLength="100" border="1" gradient="0">
              <x14:cfvo type="autoMin"/>
              <x14:cfvo type="autoMax"/>
              <x14:borderColor theme="0" tint="-0.249977111117893"/>
              <x14:negativeFillColor rgb="FFFF0000"/>
              <x14:axisColor rgb="FF000000"/>
            </x14:dataBar>
          </x14:cfRule>
          <x14:cfRule type="dataBar" id="{CEEDDA40-EE9C-40BB-BFCD-394234A88C4D}">
            <x14:dataBar minLength="0" maxLength="100" border="1" negativeBarBorderColorSameAsPositive="0">
              <x14:cfvo type="autoMin"/>
              <x14:cfvo type="autoMax"/>
              <x14:borderColor rgb="FFFFB628"/>
              <x14:negativeFillColor rgb="FFFF0000"/>
              <x14:negativeBorderColor rgb="FFFF0000"/>
              <x14:axisColor rgb="FF000000"/>
            </x14:dataBar>
          </x14:cfRule>
          <xm:sqref>L13:L22</xm:sqref>
        </x14:conditionalFormatting>
        <x14:conditionalFormatting xmlns:xm="http://schemas.microsoft.com/office/excel/2006/main">
          <x14:cfRule type="dataBar" id="{F2F914F8-7325-41A5-93C8-70F0E71DA78B}">
            <x14:dataBar minLength="0" maxLength="100" border="1" gradient="0">
              <x14:cfvo type="autoMin"/>
              <x14:cfvo type="autoMax"/>
              <x14:borderColor theme="0" tint="-0.14999847407452621"/>
              <x14:negativeFillColor rgb="FFFF0000"/>
              <x14:axisColor rgb="FF000000"/>
            </x14:dataBar>
          </x14:cfRule>
          <x14:cfRule type="dataBar" id="{B16332C5-EA19-41EC-90DC-9606EB23292B}">
            <x14:dataBar minLength="0" maxLength="100" border="1" negativeBarBorderColorSameAsPositive="0">
              <x14:cfvo type="autoMin"/>
              <x14:cfvo type="autoMax"/>
              <x14:borderColor rgb="FFFFB628"/>
              <x14:negativeFillColor rgb="FFFF0000"/>
              <x14:negativeBorderColor rgb="FFFF0000"/>
              <x14:axisColor rgb="FF000000"/>
            </x14:dataBar>
          </x14:cfRule>
          <xm:sqref>O13:O22</xm:sqref>
        </x14:conditionalFormatting>
      </x14:conditionalFormattings>
    </ext>
    <ext xmlns:x14="http://schemas.microsoft.com/office/spreadsheetml/2009/9/main" uri="{A8765BA9-456A-4dab-B4F3-ACF838C121DE}">
      <x14:slicerList>
        <x14:slicer r:id="rId2"/>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91741-EF51-4463-9696-C12776CD30C7}">
  <dimension ref="A1:T27"/>
  <sheetViews>
    <sheetView showGridLines="0" tabSelected="1" topLeftCell="C1" zoomScale="97" zoomScaleNormal="107" workbookViewId="0">
      <selection activeCell="C18" sqref="C18:K18"/>
    </sheetView>
  </sheetViews>
  <sheetFormatPr defaultRowHeight="13.8" x14ac:dyDescent="0.25"/>
  <cols>
    <col min="1" max="1" width="11.8984375" customWidth="1"/>
    <col min="2" max="2" width="6.69921875" customWidth="1"/>
    <col min="3" max="3" width="13.796875" customWidth="1"/>
    <col min="4" max="4" width="20.09765625" customWidth="1"/>
    <col min="5" max="5" width="12.8984375" customWidth="1"/>
    <col min="6" max="6" width="16.19921875" customWidth="1"/>
    <col min="7" max="7" width="13.69921875" customWidth="1"/>
    <col min="8" max="8" width="13.3984375" customWidth="1"/>
    <col min="9" max="9" width="17.59765625" customWidth="1"/>
    <col min="10" max="10" width="12.09765625" customWidth="1"/>
    <col min="11" max="11" width="12.69921875" customWidth="1"/>
    <col min="14" max="14" width="16.69921875" customWidth="1"/>
  </cols>
  <sheetData>
    <row r="1" spans="1:20" x14ac:dyDescent="0.25">
      <c r="A1" s="64"/>
      <c r="B1" s="64"/>
      <c r="C1" s="64"/>
      <c r="D1" s="64"/>
      <c r="E1" s="64"/>
      <c r="F1" s="64"/>
      <c r="G1" s="64"/>
      <c r="H1" s="64"/>
      <c r="I1" s="64"/>
      <c r="J1" s="64"/>
      <c r="K1" s="64"/>
      <c r="L1" s="64"/>
      <c r="M1" s="64"/>
      <c r="N1" s="64"/>
      <c r="O1" s="64"/>
      <c r="P1" s="64"/>
      <c r="Q1" s="64"/>
      <c r="R1" s="64"/>
      <c r="S1" s="64"/>
      <c r="T1" s="64"/>
    </row>
    <row r="2" spans="1:20" x14ac:dyDescent="0.25">
      <c r="A2" s="64"/>
      <c r="B2" s="64"/>
      <c r="C2" s="64"/>
      <c r="D2" s="64"/>
      <c r="E2" s="64"/>
      <c r="F2" s="64"/>
      <c r="G2" s="64"/>
      <c r="H2" s="64"/>
      <c r="I2" s="64"/>
      <c r="J2" s="64"/>
      <c r="K2" s="64"/>
      <c r="L2" s="64"/>
      <c r="M2" s="64"/>
      <c r="N2" s="64"/>
      <c r="O2" s="64"/>
      <c r="P2" s="64"/>
      <c r="Q2" s="64"/>
      <c r="R2" s="64"/>
      <c r="S2" s="64"/>
      <c r="T2" s="64"/>
    </row>
    <row r="3" spans="1:20" x14ac:dyDescent="0.25">
      <c r="A3" s="64"/>
      <c r="B3" s="64"/>
      <c r="C3" s="64"/>
      <c r="D3" s="64"/>
      <c r="E3" s="64"/>
      <c r="F3" s="64"/>
      <c r="G3" s="64"/>
      <c r="H3" s="64"/>
      <c r="I3" s="64"/>
      <c r="J3" s="64"/>
      <c r="K3" s="64"/>
      <c r="L3" s="64"/>
      <c r="M3" s="64"/>
      <c r="N3" s="64"/>
      <c r="O3" s="64"/>
      <c r="P3" s="64"/>
      <c r="Q3" s="64"/>
      <c r="R3" s="64"/>
      <c r="S3" s="64"/>
      <c r="T3" s="64"/>
    </row>
    <row r="4" spans="1:20" x14ac:dyDescent="0.25">
      <c r="A4" s="64"/>
      <c r="B4" s="64"/>
      <c r="C4" s="64"/>
      <c r="D4" s="64"/>
      <c r="E4" s="64"/>
      <c r="F4" s="64"/>
      <c r="G4" s="64"/>
      <c r="H4" s="64"/>
      <c r="I4" s="64"/>
      <c r="J4" s="64"/>
      <c r="K4" s="64"/>
      <c r="L4" s="64"/>
      <c r="M4" s="64"/>
      <c r="N4" s="64"/>
      <c r="O4" s="64"/>
      <c r="P4" s="64"/>
      <c r="Q4" s="64"/>
      <c r="R4" s="64"/>
      <c r="S4" s="64"/>
      <c r="T4" s="64"/>
    </row>
    <row r="5" spans="1:20" x14ac:dyDescent="0.25">
      <c r="A5" s="64"/>
      <c r="B5" s="64"/>
      <c r="C5" s="64"/>
      <c r="D5" s="64"/>
      <c r="E5" s="64"/>
      <c r="F5" s="64"/>
      <c r="G5" s="64"/>
      <c r="H5" s="64"/>
      <c r="I5" s="64"/>
      <c r="J5" s="64"/>
      <c r="K5" s="64"/>
      <c r="L5" s="64"/>
      <c r="M5" s="64"/>
      <c r="N5" s="64"/>
      <c r="O5" s="64"/>
      <c r="P5" s="64"/>
      <c r="Q5" s="64"/>
      <c r="R5" s="64"/>
      <c r="S5" s="64"/>
      <c r="T5" s="64"/>
    </row>
    <row r="6" spans="1:20" ht="14.4" thickBot="1" x14ac:dyDescent="0.3">
      <c r="A6" s="64"/>
      <c r="B6" s="64"/>
      <c r="C6" s="64"/>
      <c r="D6" s="64"/>
      <c r="E6" s="64"/>
      <c r="F6" s="64"/>
      <c r="G6" s="64"/>
      <c r="H6" s="64"/>
      <c r="I6" s="64"/>
      <c r="J6" s="64"/>
      <c r="K6" s="64"/>
      <c r="L6" s="64"/>
      <c r="M6" s="64"/>
      <c r="N6" s="64"/>
      <c r="O6" s="64"/>
      <c r="P6" s="64"/>
      <c r="Q6" s="64"/>
      <c r="R6" s="64"/>
      <c r="S6" s="64"/>
      <c r="T6" s="64"/>
    </row>
    <row r="7" spans="1:20" ht="16.2" thickBot="1" x14ac:dyDescent="0.3">
      <c r="A7" s="64"/>
      <c r="B7" s="64"/>
      <c r="C7" s="77" t="str">
        <f>Sheet1!G12</f>
        <v>Resolution</v>
      </c>
      <c r="D7" s="65">
        <f>Sheet1!H12</f>
        <v>0</v>
      </c>
      <c r="E7" s="66">
        <f>Sheet1!I12</f>
        <v>0.1</v>
      </c>
      <c r="F7" s="67">
        <f>Sheet1!J12</f>
        <v>0.2</v>
      </c>
      <c r="G7" s="65">
        <f>Sheet1!K12</f>
        <v>0.3</v>
      </c>
      <c r="H7" s="65">
        <f>Sheet1!L12</f>
        <v>0.4</v>
      </c>
      <c r="I7" s="67">
        <f>Sheet1!M12</f>
        <v>0.5</v>
      </c>
      <c r="J7" s="65">
        <f>Sheet1!N12</f>
        <v>0.6</v>
      </c>
      <c r="K7" s="66">
        <f>Sheet1!O12</f>
        <v>0.7</v>
      </c>
      <c r="L7" s="64"/>
      <c r="M7" s="64"/>
      <c r="N7" s="64"/>
      <c r="O7" s="64"/>
      <c r="P7" s="64"/>
      <c r="Q7" s="64"/>
      <c r="R7" s="64"/>
      <c r="S7" s="64"/>
      <c r="T7" s="64"/>
    </row>
    <row r="8" spans="1:20" ht="15.6" x14ac:dyDescent="0.35">
      <c r="A8" s="64"/>
      <c r="B8" s="64"/>
      <c r="C8" s="78" t="str">
        <f>Sheet1!G13</f>
        <v>Full HD LED</v>
      </c>
      <c r="D8" s="68">
        <f>Sheet1!H13</f>
        <v>7182990</v>
      </c>
      <c r="E8" s="69">
        <f>Sheet1!I13</f>
        <v>948599</v>
      </c>
      <c r="F8" s="69">
        <f>Sheet1!J13</f>
        <v>1390376</v>
      </c>
      <c r="G8" s="69">
        <f>Sheet1!K13</f>
        <v>1232486</v>
      </c>
      <c r="H8" s="69">
        <f>Sheet1!L13</f>
        <v>1482054</v>
      </c>
      <c r="I8" s="69">
        <f>Sheet1!M13</f>
        <v>972646</v>
      </c>
      <c r="J8" s="69">
        <f>Sheet1!N13</f>
        <v>503940</v>
      </c>
      <c r="K8" s="69">
        <f>Sheet1!O13</f>
        <v>47990</v>
      </c>
      <c r="L8" s="64"/>
      <c r="M8" s="64"/>
      <c r="N8" s="64"/>
      <c r="O8" s="64"/>
      <c r="P8" s="64"/>
      <c r="Q8" s="64"/>
      <c r="R8" s="64"/>
      <c r="S8" s="64"/>
      <c r="T8" s="64"/>
    </row>
    <row r="9" spans="1:20" ht="15.6" x14ac:dyDescent="0.35">
      <c r="A9" s="64"/>
      <c r="B9" s="64"/>
      <c r="C9" s="78" t="str">
        <f>Sheet1!G14</f>
        <v>HD LED</v>
      </c>
      <c r="D9" s="69">
        <f>Sheet1!H14</f>
        <v>565016</v>
      </c>
      <c r="E9" s="69">
        <f>Sheet1!I14</f>
        <v>637155</v>
      </c>
      <c r="F9" s="69">
        <f>Sheet1!J14</f>
        <v>785389</v>
      </c>
      <c r="G9" s="69">
        <f>Sheet1!K14</f>
        <v>1111290</v>
      </c>
      <c r="H9" s="69">
        <f>Sheet1!L14</f>
        <v>846158</v>
      </c>
      <c r="I9" s="69">
        <f>Sheet1!M14</f>
        <v>736967</v>
      </c>
      <c r="J9" s="69">
        <f>Sheet1!N14</f>
        <v>203158</v>
      </c>
      <c r="K9" s="69">
        <f>Sheet1!O14</f>
        <v>86970</v>
      </c>
      <c r="L9" s="64"/>
      <c r="M9" s="64"/>
      <c r="N9" s="64"/>
      <c r="O9" s="64"/>
      <c r="P9" s="64"/>
      <c r="Q9" s="64"/>
      <c r="R9" s="64"/>
      <c r="S9" s="64"/>
      <c r="T9" s="64"/>
    </row>
    <row r="10" spans="1:20" ht="15.6" x14ac:dyDescent="0.35">
      <c r="A10" s="64"/>
      <c r="B10" s="64"/>
      <c r="C10" s="78" t="str">
        <f>Sheet1!G15</f>
        <v>HD Plasma</v>
      </c>
      <c r="D10" s="68">
        <f>Sheet1!H15</f>
        <v>228980</v>
      </c>
      <c r="E10" s="69">
        <f>Sheet1!I15</f>
        <v>0</v>
      </c>
      <c r="F10" s="69">
        <f>Sheet1!J15</f>
        <v>0</v>
      </c>
      <c r="G10" s="69">
        <f>Sheet1!K15</f>
        <v>0</v>
      </c>
      <c r="H10" s="69">
        <f>Sheet1!L15</f>
        <v>0</v>
      </c>
      <c r="I10" s="69">
        <f>Sheet1!M15</f>
        <v>0</v>
      </c>
      <c r="J10" s="69">
        <f>Sheet1!N15</f>
        <v>0</v>
      </c>
      <c r="K10" s="69">
        <f>Sheet1!O15</f>
        <v>0</v>
      </c>
      <c r="L10" s="64"/>
      <c r="M10" s="64"/>
      <c r="N10" s="64"/>
      <c r="O10" s="64"/>
      <c r="P10" s="64"/>
      <c r="Q10" s="64"/>
      <c r="R10" s="64"/>
      <c r="S10" s="64"/>
      <c r="T10" s="64"/>
    </row>
    <row r="11" spans="1:20" ht="15.6" x14ac:dyDescent="0.35">
      <c r="A11" s="64"/>
      <c r="B11" s="64"/>
      <c r="C11" s="78" t="str">
        <f>Sheet1!G16</f>
        <v>QLED Ultra HD</v>
      </c>
      <c r="D11" s="68">
        <f>Sheet1!H16</f>
        <v>1777679</v>
      </c>
      <c r="E11" s="69">
        <f>Sheet1!I16</f>
        <v>626679</v>
      </c>
      <c r="F11" s="69">
        <f>Sheet1!J16</f>
        <v>1696289</v>
      </c>
      <c r="G11" s="69">
        <f>Sheet1!K16</f>
        <v>2142359</v>
      </c>
      <c r="H11" s="69">
        <f>Sheet1!L16</f>
        <v>2257969</v>
      </c>
      <c r="I11" s="69">
        <f>Sheet1!M16</f>
        <v>899680</v>
      </c>
      <c r="J11" s="69">
        <f>Sheet1!N16</f>
        <v>1226940</v>
      </c>
      <c r="K11" s="69">
        <f>Sheet1!O16</f>
        <v>189990</v>
      </c>
      <c r="L11" s="64"/>
      <c r="M11" s="64"/>
      <c r="N11" s="64"/>
      <c r="O11" s="64"/>
      <c r="P11" s="64"/>
      <c r="Q11" s="64"/>
      <c r="R11" s="64"/>
      <c r="S11" s="64"/>
      <c r="T11" s="64"/>
    </row>
    <row r="12" spans="1:20" ht="15.6" x14ac:dyDescent="0.35">
      <c r="A12" s="64"/>
      <c r="B12" s="64"/>
      <c r="C12" s="78" t="str">
        <f>Sheet1!G17</f>
        <v>Ultra HD LED</v>
      </c>
      <c r="D12" s="68">
        <f>Sheet1!H17</f>
        <v>6296997</v>
      </c>
      <c r="E12" s="69">
        <f>Sheet1!I17</f>
        <v>1832412</v>
      </c>
      <c r="F12" s="69">
        <f>Sheet1!J17</f>
        <v>5762579</v>
      </c>
      <c r="G12" s="69">
        <f>Sheet1!K17</f>
        <v>11356921</v>
      </c>
      <c r="H12" s="69">
        <f>Sheet1!L17</f>
        <v>10669947</v>
      </c>
      <c r="I12" s="69">
        <f>Sheet1!M17</f>
        <v>7302410</v>
      </c>
      <c r="J12" s="69">
        <f>Sheet1!N17</f>
        <v>1496400</v>
      </c>
      <c r="K12" s="69">
        <f>Sheet1!O17</f>
        <v>263980</v>
      </c>
      <c r="L12" s="64"/>
      <c r="M12" s="64"/>
      <c r="N12" s="64"/>
      <c r="O12" s="64"/>
      <c r="P12" s="64"/>
      <c r="Q12" s="64"/>
      <c r="R12" s="64"/>
      <c r="S12" s="64"/>
      <c r="T12" s="64"/>
    </row>
    <row r="13" spans="1:20" ht="15.6" x14ac:dyDescent="0.35">
      <c r="A13" s="64"/>
      <c r="B13" s="64"/>
      <c r="C13" s="79" t="str">
        <f>Sheet1!G18</f>
        <v>Grand Total</v>
      </c>
      <c r="D13" s="70">
        <f>Sheet1!H18</f>
        <v>16051662</v>
      </c>
      <c r="E13" s="71">
        <f>Sheet1!I18</f>
        <v>4044845</v>
      </c>
      <c r="F13" s="72">
        <f>Sheet1!J18</f>
        <v>9634633</v>
      </c>
      <c r="G13" s="70">
        <f>Sheet1!K18</f>
        <v>15843056</v>
      </c>
      <c r="H13" s="71">
        <f>Sheet1!L18</f>
        <v>15256128</v>
      </c>
      <c r="I13" s="73">
        <f>Sheet1!M18</f>
        <v>9911703</v>
      </c>
      <c r="J13" s="70">
        <f>Sheet1!N18</f>
        <v>3430438</v>
      </c>
      <c r="K13" s="71">
        <f>Sheet1!O18</f>
        <v>588930</v>
      </c>
      <c r="L13" s="64"/>
      <c r="M13" s="64"/>
      <c r="N13" s="64"/>
      <c r="O13" s="64"/>
      <c r="P13" s="64"/>
      <c r="Q13" s="64"/>
      <c r="R13" s="64"/>
      <c r="S13" s="64"/>
      <c r="T13" s="64"/>
    </row>
    <row r="14" spans="1:20" x14ac:dyDescent="0.25">
      <c r="A14" s="64"/>
      <c r="B14" s="64"/>
      <c r="C14" s="64"/>
      <c r="D14" s="64"/>
      <c r="E14" s="64"/>
      <c r="F14" s="64"/>
      <c r="G14" s="64"/>
      <c r="H14" s="64"/>
      <c r="I14" s="64"/>
      <c r="J14" s="64"/>
      <c r="K14" s="64"/>
      <c r="L14" s="64"/>
      <c r="M14" s="64"/>
      <c r="N14" s="64"/>
      <c r="O14" s="64"/>
      <c r="P14" s="64"/>
      <c r="Q14" s="64"/>
      <c r="R14" s="64"/>
      <c r="S14" s="64"/>
      <c r="T14" s="64"/>
    </row>
    <row r="15" spans="1:20" x14ac:dyDescent="0.25">
      <c r="A15" s="64"/>
      <c r="B15" s="64"/>
      <c r="C15" s="64"/>
      <c r="D15" s="64"/>
      <c r="E15" s="64"/>
      <c r="F15" s="64"/>
      <c r="G15" s="64"/>
      <c r="H15" s="64"/>
      <c r="I15" s="64"/>
      <c r="J15" s="64"/>
      <c r="K15" s="64"/>
      <c r="L15" s="64"/>
      <c r="M15" s="64"/>
      <c r="N15" s="64"/>
      <c r="O15" s="64"/>
      <c r="P15" s="64"/>
      <c r="Q15" s="64"/>
      <c r="R15" s="64"/>
      <c r="S15" s="64"/>
      <c r="T15" s="64"/>
    </row>
    <row r="16" spans="1:20" ht="16.2" x14ac:dyDescent="0.4">
      <c r="A16" s="64"/>
      <c r="B16" s="64"/>
      <c r="C16" s="86" t="s">
        <v>149</v>
      </c>
      <c r="D16" s="87"/>
      <c r="E16" s="87"/>
      <c r="F16" s="87"/>
      <c r="G16" s="87"/>
      <c r="H16" s="87"/>
      <c r="I16" s="87"/>
      <c r="J16" s="87"/>
      <c r="K16" s="88"/>
      <c r="L16" s="64"/>
      <c r="M16" s="64"/>
      <c r="N16" s="64"/>
      <c r="O16" s="64"/>
      <c r="P16" s="64"/>
      <c r="Q16" s="64"/>
      <c r="R16" s="64"/>
      <c r="S16" s="64"/>
      <c r="T16" s="64"/>
    </row>
    <row r="17" spans="1:20" x14ac:dyDescent="0.25">
      <c r="A17" s="64"/>
      <c r="B17" s="64"/>
      <c r="C17" s="74"/>
      <c r="D17" s="64"/>
      <c r="E17" s="64"/>
      <c r="F17" s="64"/>
      <c r="G17" s="64"/>
      <c r="H17" s="64"/>
      <c r="I17" s="64"/>
      <c r="J17" s="64"/>
      <c r="K17" s="75"/>
      <c r="L17" s="64"/>
      <c r="M17" s="64"/>
      <c r="N17" s="64"/>
      <c r="O17" s="64"/>
      <c r="P17" s="64"/>
      <c r="Q17" s="64"/>
      <c r="R17" s="64"/>
      <c r="S17" s="64"/>
      <c r="T17" s="64"/>
    </row>
    <row r="18" spans="1:20" ht="15.6" x14ac:dyDescent="0.3">
      <c r="A18" s="64"/>
      <c r="B18" s="64"/>
      <c r="C18" s="83" t="e">
        <f ca="1">_xlfn.XLOOKUP(MAX(Table4[Selling Price]),Table4[Selling Price], Table4[Brand-Renamed] &amp; " excels with the highest sales in " &amp; Table4[Resolution] &amp; " Resolution, featuring competitive" &amp;" at ₹ " &amp; TEXT(Table4[Selling Price],"#,##0"),0,1)</f>
        <v>#NAME?</v>
      </c>
      <c r="D18" s="84"/>
      <c r="E18" s="84"/>
      <c r="F18" s="84"/>
      <c r="G18" s="84"/>
      <c r="H18" s="84"/>
      <c r="I18" s="84"/>
      <c r="J18" s="84"/>
      <c r="K18" s="85"/>
      <c r="L18" s="64"/>
      <c r="M18" s="64"/>
      <c r="N18" s="64"/>
      <c r="O18" s="64"/>
      <c r="P18" s="64"/>
      <c r="Q18" s="64"/>
      <c r="R18" s="64"/>
      <c r="S18" s="64"/>
      <c r="T18" s="64"/>
    </row>
    <row r="19" spans="1:20" x14ac:dyDescent="0.25">
      <c r="A19" s="64"/>
      <c r="B19" s="64"/>
      <c r="C19" s="64"/>
      <c r="D19" s="64"/>
      <c r="E19" s="64"/>
      <c r="F19" s="64"/>
      <c r="G19" s="64"/>
      <c r="H19" s="64"/>
      <c r="I19" s="64"/>
      <c r="J19" s="64"/>
      <c r="K19" s="64"/>
      <c r="L19" s="64"/>
      <c r="M19" s="64"/>
      <c r="N19" s="64"/>
      <c r="O19" s="64"/>
      <c r="P19" s="64"/>
      <c r="Q19" s="64"/>
      <c r="R19" s="64"/>
      <c r="S19" s="64"/>
      <c r="T19" s="64"/>
    </row>
    <row r="20" spans="1:20" x14ac:dyDescent="0.25">
      <c r="A20" s="64"/>
      <c r="B20" s="64"/>
      <c r="C20" s="64"/>
      <c r="D20" s="64"/>
      <c r="E20" s="76"/>
      <c r="F20" s="64"/>
      <c r="G20" s="64"/>
      <c r="H20" s="64"/>
      <c r="I20" s="64"/>
      <c r="J20" s="64"/>
      <c r="K20" s="64"/>
      <c r="L20" s="64"/>
      <c r="M20" s="64"/>
      <c r="N20" s="64"/>
      <c r="O20" s="64"/>
      <c r="P20" s="64"/>
      <c r="Q20" s="64"/>
      <c r="R20" s="64"/>
      <c r="S20" s="64"/>
      <c r="T20" s="64"/>
    </row>
    <row r="21" spans="1:20" ht="16.2" x14ac:dyDescent="0.4">
      <c r="A21" s="64"/>
      <c r="B21" s="64"/>
      <c r="C21" s="86" t="s">
        <v>150</v>
      </c>
      <c r="D21" s="87"/>
      <c r="E21" s="87"/>
      <c r="F21" s="87"/>
      <c r="G21" s="87"/>
      <c r="H21" s="87"/>
      <c r="I21" s="87"/>
      <c r="J21" s="87"/>
      <c r="K21" s="88"/>
      <c r="L21" s="64"/>
      <c r="M21" s="64"/>
      <c r="N21" s="64"/>
      <c r="O21" s="64"/>
      <c r="P21" s="64"/>
      <c r="Q21" s="64"/>
      <c r="R21" s="64"/>
      <c r="S21" s="64"/>
      <c r="T21" s="64"/>
    </row>
    <row r="22" spans="1:20" x14ac:dyDescent="0.25">
      <c r="A22" s="64"/>
      <c r="B22" s="64"/>
      <c r="C22" s="74"/>
      <c r="D22" s="64"/>
      <c r="E22" s="64"/>
      <c r="F22" s="64"/>
      <c r="G22" s="64"/>
      <c r="H22" s="64"/>
      <c r="I22" s="64"/>
      <c r="J22" s="64"/>
      <c r="K22" s="75"/>
      <c r="L22" s="64"/>
      <c r="M22" s="64"/>
      <c r="N22" s="64"/>
      <c r="O22" s="64"/>
      <c r="P22" s="64"/>
      <c r="Q22" s="64"/>
      <c r="R22" s="64"/>
      <c r="S22" s="64"/>
      <c r="T22" s="64"/>
    </row>
    <row r="23" spans="1:20" ht="16.2" thickBot="1" x14ac:dyDescent="0.35">
      <c r="A23" s="64"/>
      <c r="B23" s="64"/>
      <c r="C23" s="83" t="str" cm="1">
        <f t="array" ref="C23">_xlfn.XLOOKUP(MAX(Table4[Original Price]),Table4[Original Price], Table4[Brand-Renamed] &amp; "excels with the highest sales in " &amp; Table4[Resolution] &amp; " Resolution, featuring competitive"&amp;" at ₹ " &amp; TEXT(Table4[Original Price],"#,##0"),0,1)</f>
        <v>Lg excels with the highest sales in Ultra HD LED Resolution, featuring competitive at ₹ 5,49,990</v>
      </c>
      <c r="D23" s="84"/>
      <c r="E23" s="84"/>
      <c r="F23" s="84"/>
      <c r="G23" s="84"/>
      <c r="H23" s="84"/>
      <c r="I23" s="84"/>
      <c r="J23" s="84"/>
      <c r="K23" s="85"/>
      <c r="L23" s="64"/>
      <c r="M23" s="64"/>
      <c r="N23" s="64"/>
      <c r="O23" s="64"/>
      <c r="P23" s="64"/>
      <c r="Q23" s="64"/>
      <c r="R23" s="64"/>
      <c r="S23" s="64"/>
      <c r="T23" s="64"/>
    </row>
    <row r="24" spans="1:20" x14ac:dyDescent="0.25">
      <c r="A24" s="64"/>
      <c r="B24" s="64"/>
      <c r="C24" s="64"/>
      <c r="D24" s="64"/>
      <c r="E24" s="64"/>
      <c r="F24" s="64"/>
      <c r="G24" s="64"/>
      <c r="H24" s="64"/>
      <c r="I24" s="64"/>
      <c r="J24" s="64"/>
      <c r="K24" s="64"/>
      <c r="L24" s="64"/>
      <c r="M24" s="64"/>
      <c r="N24" s="64"/>
      <c r="O24" s="64"/>
      <c r="P24" s="64"/>
      <c r="Q24" s="64"/>
      <c r="R24" s="64"/>
      <c r="S24" s="64"/>
      <c r="T24" s="64"/>
    </row>
    <row r="25" spans="1:20" x14ac:dyDescent="0.25">
      <c r="A25" s="64"/>
      <c r="B25" s="64"/>
      <c r="C25" s="64"/>
      <c r="D25" s="64"/>
      <c r="E25" s="64"/>
      <c r="F25" s="64"/>
      <c r="G25" s="64"/>
      <c r="H25" s="64"/>
      <c r="I25" s="64"/>
      <c r="J25" s="64"/>
      <c r="K25" s="64"/>
      <c r="L25" s="64"/>
      <c r="M25" s="64"/>
      <c r="N25" s="64"/>
      <c r="O25" s="64"/>
      <c r="P25" s="64"/>
      <c r="Q25" s="64"/>
      <c r="R25" s="64"/>
      <c r="S25" s="64"/>
      <c r="T25" s="64"/>
    </row>
    <row r="26" spans="1:20" x14ac:dyDescent="0.25">
      <c r="A26" s="64"/>
      <c r="B26" s="64"/>
      <c r="C26" s="64"/>
      <c r="D26" s="64"/>
      <c r="E26" s="64"/>
      <c r="F26" s="64"/>
      <c r="G26" s="64"/>
      <c r="H26" s="64"/>
      <c r="I26" s="64"/>
      <c r="J26" s="64"/>
      <c r="K26" s="64"/>
      <c r="L26" s="64"/>
      <c r="M26" s="64"/>
      <c r="N26" s="64"/>
      <c r="O26" s="64"/>
      <c r="P26" s="64"/>
      <c r="Q26" s="64"/>
      <c r="R26" s="64"/>
      <c r="S26" s="64"/>
      <c r="T26" s="64"/>
    </row>
    <row r="27" spans="1:20" x14ac:dyDescent="0.25">
      <c r="A27" s="64"/>
      <c r="B27" s="64"/>
      <c r="C27" s="64"/>
      <c r="D27" s="64"/>
      <c r="E27" s="64"/>
      <c r="F27" s="64"/>
      <c r="G27" s="64"/>
      <c r="H27" s="64"/>
      <c r="I27" s="64"/>
      <c r="J27" s="64"/>
      <c r="K27" s="64"/>
      <c r="L27" s="64"/>
      <c r="M27" s="64"/>
      <c r="N27" s="64"/>
      <c r="O27" s="64"/>
      <c r="P27" s="64"/>
      <c r="Q27" s="64"/>
      <c r="R27" s="64"/>
      <c r="S27" s="64"/>
      <c r="T27" s="64"/>
    </row>
  </sheetData>
  <mergeCells count="4">
    <mergeCell ref="C18:K18"/>
    <mergeCell ref="C23:K23"/>
    <mergeCell ref="C16:K16"/>
    <mergeCell ref="C21:K21"/>
  </mergeCells>
  <conditionalFormatting sqref="D13:K13">
    <cfRule type="expression" dxfId="1" priority="3">
      <formula>D$13=MAX($D$13:$K$13)</formula>
    </cfRule>
  </conditionalFormatting>
  <conditionalFormatting sqref="E8:K12">
    <cfRule type="cellIs" dxfId="0" priority="2" operator="equal">
      <formula>0</formula>
    </cfRule>
  </conditionalFormatting>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Props1.xml><?xml version="1.0" encoding="utf-8"?>
<ds:datastoreItem xmlns:ds="http://schemas.openxmlformats.org/officeDocument/2006/customXml" ds:itemID="{BD5CDB4A-CB1B-468A-88A6-FE2DA3FFCE93}">
  <ds:schemaRefs>
    <ds:schemaRef ds:uri="http://gemini/pivotcustomization/e66549db-23ce-45b6-a9a4-e859892ff8e2"/>
  </ds:schemaRefs>
</ds:datastoreItem>
</file>

<file path=customXml/itemProps2.xml><?xml version="1.0" encoding="utf-8"?>
<ds:datastoreItem xmlns:ds="http://schemas.openxmlformats.org/officeDocument/2006/customXml" ds:itemID="{6BBD1203-B9BB-4F31-8503-48ED3C6DB447}">
  <ds:schemaRefs>
    <ds:schemaRef ds:uri="http://gemini/pivotcustomization/ErrorCache"/>
  </ds:schemaRefs>
</ds:datastoreItem>
</file>

<file path=customXml/itemProps3.xml><?xml version="1.0" encoding="utf-8"?>
<ds:datastoreItem xmlns:ds="http://schemas.openxmlformats.org/officeDocument/2006/customXml" ds:itemID="{4BBB68A0-1543-4FF3-B94F-3EEB9B9E5323}">
  <ds:schemaRefs>
    <ds:schemaRef ds:uri="http://schemas.microsoft.com/DataMashup"/>
  </ds:schemaRefs>
</ds:datastoreItem>
</file>

<file path=customXml/itemProps4.xml><?xml version="1.0" encoding="utf-8"?>
<ds:datastoreItem xmlns:ds="http://schemas.openxmlformats.org/officeDocument/2006/customXml" ds:itemID="{881B4D8B-6AC0-4543-B21B-4EA1BFE678EE}">
  <ds:schemaRefs>
    <ds:schemaRef ds:uri="http://gemini/pivotcustomization/PowerPivotVersion"/>
  </ds:schemaRefs>
</ds:datastoreItem>
</file>

<file path=customXml/itemProps5.xml><?xml version="1.0" encoding="utf-8"?>
<ds:datastoreItem xmlns:ds="http://schemas.openxmlformats.org/officeDocument/2006/customXml" ds:itemID="{0B9C4D85-5024-495F-AF44-B435584AE827}">
  <ds:schemaRefs>
    <ds:schemaRef ds:uri="http://gemini/pivotcustomization/fb7fe887-e392-4726-be42-3daedfae1bd5"/>
  </ds:schemaRefs>
</ds:datastoreItem>
</file>

<file path=customXml/itemProps6.xml><?xml version="1.0" encoding="utf-8"?>
<ds:datastoreItem xmlns:ds="http://schemas.openxmlformats.org/officeDocument/2006/customXml" ds:itemID="{993B0A40-8534-4B77-B9CB-882140BD575C}">
  <ds:schemaRefs>
    <ds:schemaRef ds:uri="http://gemini/pivotcustomization/7ff1b58b-ad5a-4125-a70e-dc3b9ccad851"/>
  </ds:schemaRefs>
</ds:datastoreItem>
</file>

<file path=customXml/itemProps7.xml><?xml version="1.0" encoding="utf-8"?>
<ds:datastoreItem xmlns:ds="http://schemas.openxmlformats.org/officeDocument/2006/customXml" ds:itemID="{C44E1E03-F731-4720-B8C0-FE7D71FC7B0C}">
  <ds:schemaRefs>
    <ds:schemaRef ds:uri="http://gemini/pivotcustomization/IsSandboxEmbedded"/>
  </ds:schemaRefs>
</ds:datastoreItem>
</file>

<file path=customXml/itemProps8.xml><?xml version="1.0" encoding="utf-8"?>
<ds:datastoreItem xmlns:ds="http://schemas.openxmlformats.org/officeDocument/2006/customXml" ds:itemID="{7E8F7C0C-792D-4AE4-BE5E-D1185FB7E2E5}">
  <ds:schemaRefs>
    <ds:schemaRef ds:uri="http://gemini/pivotcustomization/8618350a-d87a-4147-90cc-399a716968d2"/>
  </ds:schemaRefs>
</ds:datastoreItem>
</file>

<file path=customXml/itemProps9.xml><?xml version="1.0" encoding="utf-8"?>
<ds:datastoreItem xmlns:ds="http://schemas.openxmlformats.org/officeDocument/2006/customXml" ds:itemID="{758E3D1A-8BC8-47E9-BD7D-9B03CDA1200E}">
  <ds:schemaRefs>
    <ds:schemaRef ds:uri="http://gemini/pivotcustomization/0839e2cb-29da-4227-92fd-7aa24b0a11b3"/>
  </ds:schemaRefs>
</ds:datastoreItem>
</file>

<file path=customXml/itemProps10.xml><?xml version="1.0" encoding="utf-8"?>
<ds:datastoreItem xmlns:ds="http://schemas.openxmlformats.org/officeDocument/2006/customXml" ds:itemID="{76B2FED0-BE5A-4E3D-8511-FB95BB4BC6C0}">
  <ds:schemaRefs>
    <ds:schemaRef ds:uri="http://gemini/pivotcustomization/RelationshipAutoDetectionEnabled"/>
  </ds:schemaRefs>
</ds:datastoreItem>
</file>

<file path=customXml/itemProps11.xml><?xml version="1.0" encoding="utf-8"?>
<ds:datastoreItem xmlns:ds="http://schemas.openxmlformats.org/officeDocument/2006/customXml" ds:itemID="{AB46021F-2F1A-4FCF-8D8E-DE7F08B42445}">
  <ds:schemaRefs>
    <ds:schemaRef ds:uri="http://gemini/pivotcustomization/SandboxNonEmpty"/>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Pivot 1 </vt:lpstr>
      <vt:lpstr>Sheet1</vt:lpstr>
      <vt:lpstr>Sheet3</vt:lpstr>
      <vt:lpstr>Top 5 selling and original pric</vt:lpstr>
      <vt:lpstr>Data</vt:lpstr>
      <vt:lpstr>Dashboard</vt:lpstr>
      <vt:lpstr>Leading sales</vt:lpstr>
      <vt:lpstr>Dashboard!Sum_of_Selling_Price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Rajkumar D</dc:creator>
  <cp:keywords/>
  <dc:description/>
  <cp:lastModifiedBy>Rajkumar D</cp:lastModifiedBy>
  <cp:revision/>
  <dcterms:created xsi:type="dcterms:W3CDTF">2024-11-26T08:45:21Z</dcterms:created>
  <dcterms:modified xsi:type="dcterms:W3CDTF">2024-12-04T08:33:55Z</dcterms:modified>
  <cp:category/>
  <cp:contentStatus/>
</cp:coreProperties>
</file>