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E86E386-2B5F-4FD9-8FCF-3137A59A51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istorical Financial Statment" sheetId="8" r:id="rId1"/>
    <sheet name="Liquidity Ratio" sheetId="15" r:id="rId2"/>
    <sheet name="Data CFS" sheetId="14" r:id="rId3"/>
    <sheet name="Data Sheet" sheetId="6" r:id="rId4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15" l="1"/>
  <c r="E24" i="15"/>
  <c r="F24" i="15"/>
  <c r="G24" i="15"/>
  <c r="H24" i="15"/>
  <c r="I24" i="15"/>
  <c r="J24" i="15"/>
  <c r="K24" i="15"/>
  <c r="L24" i="15"/>
  <c r="C24" i="15"/>
  <c r="D18" i="15"/>
  <c r="E18" i="15"/>
  <c r="F18" i="15"/>
  <c r="G18" i="15"/>
  <c r="H18" i="15"/>
  <c r="I18" i="15"/>
  <c r="J18" i="15"/>
  <c r="K18" i="15"/>
  <c r="L18" i="15"/>
  <c r="C18" i="15"/>
  <c r="J14" i="15"/>
  <c r="J15" i="15" s="1"/>
  <c r="I14" i="15"/>
  <c r="I15" i="15" s="1"/>
  <c r="H14" i="15"/>
  <c r="H15" i="15" s="1"/>
  <c r="G14" i="15"/>
  <c r="G15" i="15" s="1"/>
  <c r="F14" i="15"/>
  <c r="F15" i="15" s="1"/>
  <c r="D13" i="15"/>
  <c r="E13" i="15"/>
  <c r="F13" i="15"/>
  <c r="G13" i="15"/>
  <c r="H13" i="15"/>
  <c r="I13" i="15"/>
  <c r="J13" i="15"/>
  <c r="K13" i="15"/>
  <c r="K14" i="15" s="1"/>
  <c r="K15" i="15" s="1"/>
  <c r="L13" i="15"/>
  <c r="L14" i="15" s="1"/>
  <c r="L15" i="15" s="1"/>
  <c r="C13" i="15"/>
  <c r="D12" i="15"/>
  <c r="D14" i="15" s="1"/>
  <c r="D15" i="15" s="1"/>
  <c r="E12" i="15"/>
  <c r="E14" i="15" s="1"/>
  <c r="E15" i="15" s="1"/>
  <c r="F12" i="15"/>
  <c r="G12" i="15"/>
  <c r="H12" i="15"/>
  <c r="I12" i="15"/>
  <c r="J12" i="15"/>
  <c r="K12" i="15"/>
  <c r="L12" i="15"/>
  <c r="C12" i="15"/>
  <c r="C14" i="15" s="1"/>
  <c r="C15" i="15" s="1"/>
  <c r="N15" i="15"/>
  <c r="D43" i="15"/>
  <c r="E43" i="15"/>
  <c r="F43" i="15"/>
  <c r="G43" i="15"/>
  <c r="H43" i="15"/>
  <c r="I43" i="15"/>
  <c r="J43" i="15"/>
  <c r="K43" i="15"/>
  <c r="L43" i="15"/>
  <c r="L44" i="15"/>
  <c r="K44" i="15"/>
  <c r="J44" i="15"/>
  <c r="I44" i="15"/>
  <c r="H44" i="15"/>
  <c r="G44" i="15"/>
  <c r="F44" i="15"/>
  <c r="E44" i="15"/>
  <c r="D44" i="15"/>
  <c r="C43" i="15"/>
  <c r="D37" i="15"/>
  <c r="E37" i="15"/>
  <c r="F37" i="15"/>
  <c r="G37" i="15"/>
  <c r="H37" i="15"/>
  <c r="I37" i="15"/>
  <c r="J37" i="15"/>
  <c r="K37" i="15"/>
  <c r="L37" i="15"/>
  <c r="C37" i="15"/>
  <c r="L30" i="15"/>
  <c r="L25" i="15"/>
  <c r="K25" i="15"/>
  <c r="J25" i="15"/>
  <c r="I25" i="15"/>
  <c r="H25" i="15"/>
  <c r="G25" i="15"/>
  <c r="F25" i="15"/>
  <c r="E25" i="15"/>
  <c r="D25" i="15"/>
  <c r="C25" i="15"/>
  <c r="Q25" i="15"/>
  <c r="Q24" i="15"/>
  <c r="H27" i="15"/>
  <c r="D7" i="15"/>
  <c r="D38" i="15" s="1"/>
  <c r="E7" i="15"/>
  <c r="E38" i="15" s="1"/>
  <c r="F7" i="15"/>
  <c r="F31" i="15" s="1"/>
  <c r="G7" i="15"/>
  <c r="G31" i="15" s="1"/>
  <c r="H7" i="15"/>
  <c r="H31" i="15" s="1"/>
  <c r="I7" i="15"/>
  <c r="I38" i="15" s="1"/>
  <c r="J7" i="15"/>
  <c r="J38" i="15" s="1"/>
  <c r="K7" i="15"/>
  <c r="K31" i="15" s="1"/>
  <c r="L7" i="15"/>
  <c r="L31" i="15" s="1"/>
  <c r="C7" i="15"/>
  <c r="C19" i="15" s="1"/>
  <c r="D6" i="15"/>
  <c r="D30" i="15" s="1"/>
  <c r="E6" i="15"/>
  <c r="E30" i="15" s="1"/>
  <c r="F6" i="15"/>
  <c r="F30" i="15" s="1"/>
  <c r="F33" i="15" s="1"/>
  <c r="G6" i="15"/>
  <c r="G30" i="15" s="1"/>
  <c r="G33" i="15" s="1"/>
  <c r="H6" i="15"/>
  <c r="H30" i="15" s="1"/>
  <c r="I6" i="15"/>
  <c r="I9" i="15" s="1"/>
  <c r="J6" i="15"/>
  <c r="K6" i="15"/>
  <c r="K30" i="15" s="1"/>
  <c r="L6" i="15"/>
  <c r="C6" i="15"/>
  <c r="D4" i="15"/>
  <c r="E4" i="15"/>
  <c r="F4" i="15"/>
  <c r="G4" i="15"/>
  <c r="H4" i="15"/>
  <c r="I4" i="15"/>
  <c r="J4" i="15"/>
  <c r="K4" i="15"/>
  <c r="L4" i="15"/>
  <c r="C4" i="15"/>
  <c r="C25" i="8"/>
  <c r="L82" i="8"/>
  <c r="K82" i="8"/>
  <c r="J82" i="8"/>
  <c r="I82" i="8"/>
  <c r="H82" i="8"/>
  <c r="G82" i="8"/>
  <c r="F82" i="8"/>
  <c r="E82" i="8"/>
  <c r="D82" i="8"/>
  <c r="C82" i="8"/>
  <c r="C105" i="8" s="1"/>
  <c r="D76" i="8"/>
  <c r="E76" i="8"/>
  <c r="F76" i="8"/>
  <c r="G76" i="8"/>
  <c r="H76" i="8"/>
  <c r="I76" i="8"/>
  <c r="J76" i="8"/>
  <c r="K76" i="8"/>
  <c r="L76" i="8"/>
  <c r="D77" i="8"/>
  <c r="E77" i="8"/>
  <c r="F77" i="8"/>
  <c r="G77" i="8"/>
  <c r="H77" i="8"/>
  <c r="I77" i="8"/>
  <c r="I105" i="8" s="1"/>
  <c r="J77" i="8"/>
  <c r="J105" i="8" s="1"/>
  <c r="K77" i="8"/>
  <c r="L77" i="8"/>
  <c r="D78" i="8"/>
  <c r="E78" i="8"/>
  <c r="F78" i="8"/>
  <c r="G78" i="8"/>
  <c r="H78" i="8"/>
  <c r="I78" i="8"/>
  <c r="J78" i="8"/>
  <c r="K78" i="8"/>
  <c r="L78" i="8"/>
  <c r="L105" i="8" s="1"/>
  <c r="D79" i="8"/>
  <c r="E79" i="8"/>
  <c r="F79" i="8"/>
  <c r="G79" i="8"/>
  <c r="G105" i="8" s="1"/>
  <c r="H79" i="8"/>
  <c r="H105" i="8" s="1"/>
  <c r="I79" i="8"/>
  <c r="J79" i="8"/>
  <c r="K79" i="8"/>
  <c r="L79" i="8"/>
  <c r="D80" i="8"/>
  <c r="E80" i="8"/>
  <c r="F80" i="8"/>
  <c r="G80" i="8"/>
  <c r="H80" i="8"/>
  <c r="I80" i="8"/>
  <c r="J80" i="8"/>
  <c r="K80" i="8"/>
  <c r="L80" i="8"/>
  <c r="D81" i="8"/>
  <c r="E81" i="8"/>
  <c r="F81" i="8"/>
  <c r="G81" i="8"/>
  <c r="H81" i="8"/>
  <c r="I81" i="8"/>
  <c r="J81" i="8"/>
  <c r="K81" i="8"/>
  <c r="L81" i="8"/>
  <c r="C76" i="8"/>
  <c r="L103" i="8"/>
  <c r="K103" i="8"/>
  <c r="J103" i="8"/>
  <c r="I103" i="8"/>
  <c r="H103" i="8"/>
  <c r="G103" i="8"/>
  <c r="F103" i="8"/>
  <c r="E103" i="8"/>
  <c r="D103" i="8"/>
  <c r="C103" i="8"/>
  <c r="D95" i="8"/>
  <c r="E95" i="8"/>
  <c r="F95" i="8"/>
  <c r="G95" i="8"/>
  <c r="H95" i="8"/>
  <c r="I95" i="8"/>
  <c r="J95" i="8"/>
  <c r="K95" i="8"/>
  <c r="L95" i="8"/>
  <c r="D96" i="8"/>
  <c r="E96" i="8"/>
  <c r="F96" i="8"/>
  <c r="G96" i="8"/>
  <c r="H96" i="8"/>
  <c r="I96" i="8"/>
  <c r="J96" i="8"/>
  <c r="K96" i="8"/>
  <c r="L96" i="8"/>
  <c r="D97" i="8"/>
  <c r="E97" i="8"/>
  <c r="F97" i="8"/>
  <c r="G97" i="8"/>
  <c r="H97" i="8"/>
  <c r="I97" i="8"/>
  <c r="J97" i="8"/>
  <c r="K97" i="8"/>
  <c r="L97" i="8"/>
  <c r="D98" i="8"/>
  <c r="E98" i="8"/>
  <c r="F98" i="8"/>
  <c r="G98" i="8"/>
  <c r="H98" i="8"/>
  <c r="I98" i="8"/>
  <c r="J98" i="8"/>
  <c r="K98" i="8"/>
  <c r="L98" i="8"/>
  <c r="D99" i="8"/>
  <c r="E99" i="8"/>
  <c r="F99" i="8"/>
  <c r="G99" i="8"/>
  <c r="H99" i="8"/>
  <c r="I99" i="8"/>
  <c r="J99" i="8"/>
  <c r="K99" i="8"/>
  <c r="L99" i="8"/>
  <c r="D100" i="8"/>
  <c r="E100" i="8"/>
  <c r="F100" i="8"/>
  <c r="G100" i="8"/>
  <c r="H100" i="8"/>
  <c r="I100" i="8"/>
  <c r="J100" i="8"/>
  <c r="K100" i="8"/>
  <c r="L100" i="8"/>
  <c r="D101" i="8"/>
  <c r="E101" i="8"/>
  <c r="F101" i="8"/>
  <c r="G101" i="8"/>
  <c r="H101" i="8"/>
  <c r="I101" i="8"/>
  <c r="J101" i="8"/>
  <c r="K101" i="8"/>
  <c r="L101" i="8"/>
  <c r="D102" i="8"/>
  <c r="E102" i="8"/>
  <c r="F102" i="8"/>
  <c r="G102" i="8"/>
  <c r="H102" i="8"/>
  <c r="I102" i="8"/>
  <c r="J102" i="8"/>
  <c r="K102" i="8"/>
  <c r="L102" i="8"/>
  <c r="C96" i="8"/>
  <c r="C97" i="8"/>
  <c r="C98" i="8"/>
  <c r="C99" i="8"/>
  <c r="C100" i="8"/>
  <c r="C101" i="8"/>
  <c r="C102" i="8"/>
  <c r="C95" i="8"/>
  <c r="B97" i="8"/>
  <c r="B98" i="8"/>
  <c r="B99" i="8"/>
  <c r="B100" i="8"/>
  <c r="B101" i="8"/>
  <c r="B102" i="8"/>
  <c r="B96" i="8"/>
  <c r="B95" i="8"/>
  <c r="C92" i="8"/>
  <c r="L92" i="8"/>
  <c r="K92" i="8"/>
  <c r="J92" i="8"/>
  <c r="I92" i="8"/>
  <c r="H92" i="8"/>
  <c r="G92" i="8"/>
  <c r="F92" i="8"/>
  <c r="E92" i="8"/>
  <c r="D92" i="8"/>
  <c r="L91" i="8"/>
  <c r="K91" i="8"/>
  <c r="J91" i="8"/>
  <c r="I91" i="8"/>
  <c r="H91" i="8"/>
  <c r="G91" i="8"/>
  <c r="F91" i="8"/>
  <c r="E91" i="8"/>
  <c r="D91" i="8"/>
  <c r="C91" i="8"/>
  <c r="L90" i="8"/>
  <c r="K90" i="8"/>
  <c r="J90" i="8"/>
  <c r="I90" i="8"/>
  <c r="H90" i="8"/>
  <c r="G90" i="8"/>
  <c r="F90" i="8"/>
  <c r="E90" i="8"/>
  <c r="D90" i="8"/>
  <c r="C90" i="8"/>
  <c r="L89" i="8"/>
  <c r="K89" i="8"/>
  <c r="J89" i="8"/>
  <c r="I89" i="8"/>
  <c r="H89" i="8"/>
  <c r="G89" i="8"/>
  <c r="F89" i="8"/>
  <c r="E89" i="8"/>
  <c r="D89" i="8"/>
  <c r="C89" i="8"/>
  <c r="L88" i="8"/>
  <c r="K88" i="8"/>
  <c r="J88" i="8"/>
  <c r="I88" i="8"/>
  <c r="H88" i="8"/>
  <c r="G88" i="8"/>
  <c r="F88" i="8"/>
  <c r="E88" i="8"/>
  <c r="D88" i="8"/>
  <c r="C88" i="8"/>
  <c r="L87" i="8"/>
  <c r="K87" i="8"/>
  <c r="J87" i="8"/>
  <c r="I87" i="8"/>
  <c r="H87" i="8"/>
  <c r="G87" i="8"/>
  <c r="F87" i="8"/>
  <c r="E87" i="8"/>
  <c r="D87" i="8"/>
  <c r="C87" i="8"/>
  <c r="L86" i="8"/>
  <c r="K86" i="8"/>
  <c r="J86" i="8"/>
  <c r="I86" i="8"/>
  <c r="H86" i="8"/>
  <c r="G86" i="8"/>
  <c r="F86" i="8"/>
  <c r="E86" i="8"/>
  <c r="D86" i="8"/>
  <c r="C86" i="8"/>
  <c r="L85" i="8"/>
  <c r="K85" i="8"/>
  <c r="J85" i="8"/>
  <c r="I85" i="8"/>
  <c r="H85" i="8"/>
  <c r="G85" i="8"/>
  <c r="F85" i="8"/>
  <c r="E85" i="8"/>
  <c r="D85" i="8"/>
  <c r="C85" i="8"/>
  <c r="B88" i="8"/>
  <c r="B89" i="8"/>
  <c r="B90" i="8"/>
  <c r="B91" i="8"/>
  <c r="B87" i="8"/>
  <c r="B86" i="8"/>
  <c r="B85" i="8"/>
  <c r="F105" i="8"/>
  <c r="C78" i="8"/>
  <c r="C79" i="8"/>
  <c r="C80" i="8"/>
  <c r="C81" i="8"/>
  <c r="C77" i="8"/>
  <c r="B80" i="8"/>
  <c r="B81" i="8"/>
  <c r="B78" i="8"/>
  <c r="B79" i="8"/>
  <c r="B77" i="8"/>
  <c r="D61" i="8"/>
  <c r="E61" i="8"/>
  <c r="F61" i="8"/>
  <c r="G61" i="8"/>
  <c r="H61" i="8"/>
  <c r="I61" i="8"/>
  <c r="I62" i="8" s="1"/>
  <c r="J61" i="8"/>
  <c r="K61" i="8"/>
  <c r="L61" i="8"/>
  <c r="C61" i="8"/>
  <c r="C68" i="8"/>
  <c r="D65" i="8"/>
  <c r="D68" i="8" s="1"/>
  <c r="E65" i="8"/>
  <c r="E68" i="8" s="1"/>
  <c r="F65" i="8"/>
  <c r="F68" i="8" s="1"/>
  <c r="G65" i="8"/>
  <c r="G68" i="8" s="1"/>
  <c r="H65" i="8"/>
  <c r="H68" i="8" s="1"/>
  <c r="I65" i="8"/>
  <c r="J65" i="8"/>
  <c r="K65" i="8"/>
  <c r="K68" i="8" s="1"/>
  <c r="L65" i="8"/>
  <c r="L68" i="8" s="1"/>
  <c r="D66" i="8"/>
  <c r="E66" i="8"/>
  <c r="F66" i="8"/>
  <c r="G66" i="8"/>
  <c r="H66" i="8"/>
  <c r="I66" i="8"/>
  <c r="I68" i="8" s="1"/>
  <c r="J66" i="8"/>
  <c r="J68" i="8" s="1"/>
  <c r="K66" i="8"/>
  <c r="L66" i="8"/>
  <c r="D67" i="8"/>
  <c r="E67" i="8"/>
  <c r="F67" i="8"/>
  <c r="G67" i="8"/>
  <c r="H67" i="8"/>
  <c r="I67" i="8"/>
  <c r="J67" i="8"/>
  <c r="K67" i="8"/>
  <c r="L67" i="8"/>
  <c r="C67" i="8"/>
  <c r="C66" i="8"/>
  <c r="C65" i="8"/>
  <c r="G62" i="8"/>
  <c r="G70" i="8" s="1"/>
  <c r="G72" i="8" s="1"/>
  <c r="F62" i="8"/>
  <c r="F70" i="8" s="1"/>
  <c r="E62" i="8"/>
  <c r="E70" i="8" s="1"/>
  <c r="E72" i="8" s="1"/>
  <c r="D58" i="8"/>
  <c r="D62" i="8" s="1"/>
  <c r="E58" i="8"/>
  <c r="F58" i="8"/>
  <c r="G58" i="8"/>
  <c r="H58" i="8"/>
  <c r="I58" i="8"/>
  <c r="J58" i="8"/>
  <c r="K58" i="8"/>
  <c r="L58" i="8"/>
  <c r="D59" i="8"/>
  <c r="E59" i="8"/>
  <c r="F59" i="8"/>
  <c r="G59" i="8"/>
  <c r="H59" i="8"/>
  <c r="H62" i="8" s="1"/>
  <c r="H70" i="8" s="1"/>
  <c r="H72" i="8" s="1"/>
  <c r="I59" i="8"/>
  <c r="J59" i="8"/>
  <c r="K59" i="8"/>
  <c r="L59" i="8"/>
  <c r="D60" i="8"/>
  <c r="E60" i="8"/>
  <c r="F60" i="8"/>
  <c r="G60" i="8"/>
  <c r="H60" i="8"/>
  <c r="I60" i="8"/>
  <c r="J60" i="8"/>
  <c r="K60" i="8"/>
  <c r="L60" i="8"/>
  <c r="C60" i="8"/>
  <c r="C59" i="8"/>
  <c r="C58" i="8"/>
  <c r="K55" i="8"/>
  <c r="D52" i="8"/>
  <c r="E52" i="8"/>
  <c r="F52" i="8"/>
  <c r="G52" i="8"/>
  <c r="H52" i="8"/>
  <c r="I52" i="8"/>
  <c r="J52" i="8"/>
  <c r="K52" i="8"/>
  <c r="L52" i="8"/>
  <c r="D53" i="8"/>
  <c r="E53" i="8"/>
  <c r="F53" i="8"/>
  <c r="G53" i="8"/>
  <c r="H53" i="8"/>
  <c r="I53" i="8"/>
  <c r="J53" i="8"/>
  <c r="K53" i="8"/>
  <c r="L53" i="8"/>
  <c r="D54" i="8"/>
  <c r="E54" i="8"/>
  <c r="F54" i="8"/>
  <c r="G54" i="8"/>
  <c r="H54" i="8"/>
  <c r="I54" i="8"/>
  <c r="J54" i="8"/>
  <c r="J55" i="8" s="1"/>
  <c r="K54" i="8"/>
  <c r="L54" i="8"/>
  <c r="C54" i="8"/>
  <c r="C53" i="8"/>
  <c r="C52" i="8"/>
  <c r="D51" i="8"/>
  <c r="D55" i="8" s="1"/>
  <c r="E51" i="8"/>
  <c r="E55" i="8" s="1"/>
  <c r="F51" i="8"/>
  <c r="F55" i="8" s="1"/>
  <c r="G51" i="8"/>
  <c r="G55" i="8" s="1"/>
  <c r="H51" i="8"/>
  <c r="H55" i="8" s="1"/>
  <c r="I51" i="8"/>
  <c r="I55" i="8" s="1"/>
  <c r="J51" i="8"/>
  <c r="K51" i="8"/>
  <c r="L51" i="8"/>
  <c r="L55" i="8" s="1"/>
  <c r="C51" i="8"/>
  <c r="C55" i="8" s="1"/>
  <c r="D42" i="8"/>
  <c r="D43" i="8" s="1"/>
  <c r="E42" i="8"/>
  <c r="F42" i="8"/>
  <c r="G42" i="8"/>
  <c r="G43" i="8" s="1"/>
  <c r="H42" i="8"/>
  <c r="H43" i="8" s="1"/>
  <c r="I42" i="8"/>
  <c r="I43" i="8" s="1"/>
  <c r="J42" i="8"/>
  <c r="K42" i="8"/>
  <c r="L42" i="8"/>
  <c r="M42" i="8"/>
  <c r="J43" i="8"/>
  <c r="C42" i="8"/>
  <c r="D38" i="8"/>
  <c r="E38" i="8"/>
  <c r="F38" i="8"/>
  <c r="G38" i="8"/>
  <c r="H38" i="8"/>
  <c r="I38" i="8"/>
  <c r="J38" i="8"/>
  <c r="K38" i="8"/>
  <c r="L38" i="8"/>
  <c r="M38" i="8"/>
  <c r="C38" i="8"/>
  <c r="M32" i="8"/>
  <c r="M28" i="8"/>
  <c r="M23" i="8"/>
  <c r="M17" i="8"/>
  <c r="M19" i="8" s="1"/>
  <c r="D32" i="8"/>
  <c r="E32" i="8"/>
  <c r="F32" i="8"/>
  <c r="G32" i="8"/>
  <c r="H32" i="8"/>
  <c r="I32" i="8"/>
  <c r="J32" i="8"/>
  <c r="K32" i="8"/>
  <c r="L32" i="8"/>
  <c r="C32" i="8"/>
  <c r="D28" i="8"/>
  <c r="E28" i="8"/>
  <c r="F28" i="8"/>
  <c r="G28" i="8"/>
  <c r="H28" i="8"/>
  <c r="I28" i="8"/>
  <c r="J28" i="8"/>
  <c r="K28" i="8"/>
  <c r="L28" i="8"/>
  <c r="C28" i="8"/>
  <c r="D23" i="8"/>
  <c r="E23" i="8"/>
  <c r="F23" i="8"/>
  <c r="G23" i="8"/>
  <c r="H23" i="8"/>
  <c r="I23" i="8"/>
  <c r="J23" i="8"/>
  <c r="K23" i="8"/>
  <c r="L23" i="8"/>
  <c r="C23" i="8"/>
  <c r="K38" i="15" l="1"/>
  <c r="C38" i="15"/>
  <c r="I40" i="15"/>
  <c r="L38" i="15"/>
  <c r="C31" i="15"/>
  <c r="K40" i="15"/>
  <c r="K33" i="15"/>
  <c r="J9" i="15"/>
  <c r="E46" i="15"/>
  <c r="C27" i="15"/>
  <c r="K46" i="15"/>
  <c r="J46" i="15"/>
  <c r="J40" i="15"/>
  <c r="H46" i="15"/>
  <c r="E31" i="15"/>
  <c r="E33" i="15" s="1"/>
  <c r="I30" i="15"/>
  <c r="G46" i="15"/>
  <c r="L33" i="15"/>
  <c r="H33" i="15"/>
  <c r="F46" i="15"/>
  <c r="L40" i="15"/>
  <c r="D31" i="15"/>
  <c r="D33" i="15" s="1"/>
  <c r="J30" i="15"/>
  <c r="C9" i="15"/>
  <c r="L46" i="15"/>
  <c r="I46" i="15"/>
  <c r="C40" i="15"/>
  <c r="D46" i="15"/>
  <c r="E40" i="15"/>
  <c r="D40" i="15"/>
  <c r="J19" i="15"/>
  <c r="F27" i="15"/>
  <c r="D9" i="15"/>
  <c r="E9" i="15"/>
  <c r="J31" i="15"/>
  <c r="H38" i="15"/>
  <c r="H40" i="15" s="1"/>
  <c r="I19" i="15"/>
  <c r="I27" i="15"/>
  <c r="H9" i="15"/>
  <c r="Q27" i="15"/>
  <c r="I31" i="15"/>
  <c r="G38" i="15"/>
  <c r="G40" i="15" s="1"/>
  <c r="H19" i="15"/>
  <c r="F19" i="15"/>
  <c r="D19" i="15"/>
  <c r="D21" i="15" s="1"/>
  <c r="F38" i="15"/>
  <c r="F40" i="15" s="1"/>
  <c r="G19" i="15"/>
  <c r="G21" i="15" s="1"/>
  <c r="E19" i="15"/>
  <c r="E21" i="15" s="1"/>
  <c r="G9" i="15"/>
  <c r="L9" i="15"/>
  <c r="L19" i="15"/>
  <c r="L21" i="15" s="1"/>
  <c r="C30" i="15"/>
  <c r="C33" i="15" s="1"/>
  <c r="C21" i="15"/>
  <c r="F9" i="15"/>
  <c r="K9" i="15"/>
  <c r="K19" i="15"/>
  <c r="K21" i="15" s="1"/>
  <c r="G27" i="15"/>
  <c r="D27" i="15"/>
  <c r="J27" i="15"/>
  <c r="K27" i="15"/>
  <c r="E27" i="15"/>
  <c r="L27" i="15"/>
  <c r="E105" i="8"/>
  <c r="D105" i="8"/>
  <c r="K105" i="8"/>
  <c r="F72" i="8"/>
  <c r="I70" i="8"/>
  <c r="I72" i="8" s="1"/>
  <c r="D70" i="8"/>
  <c r="D72" i="8" s="1"/>
  <c r="K62" i="8"/>
  <c r="K70" i="8" s="1"/>
  <c r="K72" i="8" s="1"/>
  <c r="C43" i="8"/>
  <c r="E43" i="8"/>
  <c r="C62" i="8"/>
  <c r="C70" i="8" s="1"/>
  <c r="C72" i="8" s="1"/>
  <c r="J62" i="8"/>
  <c r="J70" i="8" s="1"/>
  <c r="J72" i="8" s="1"/>
  <c r="L62" i="8"/>
  <c r="L70" i="8" s="1"/>
  <c r="L72" i="8" s="1"/>
  <c r="L43" i="8"/>
  <c r="K43" i="8"/>
  <c r="F43" i="8"/>
  <c r="M43" i="8"/>
  <c r="D17" i="8"/>
  <c r="E17" i="8"/>
  <c r="F17" i="8"/>
  <c r="G17" i="8"/>
  <c r="H17" i="8"/>
  <c r="I17" i="8"/>
  <c r="J17" i="8"/>
  <c r="K17" i="8"/>
  <c r="L17" i="8"/>
  <c r="C17" i="8"/>
  <c r="H21" i="15" l="1"/>
  <c r="F21" i="15"/>
  <c r="J21" i="15"/>
  <c r="J33" i="15"/>
  <c r="I33" i="15"/>
  <c r="I21" i="15"/>
  <c r="D16" i="8"/>
  <c r="E16" i="8"/>
  <c r="F16" i="8"/>
  <c r="G16" i="8"/>
  <c r="H16" i="8"/>
  <c r="I16" i="8"/>
  <c r="J16" i="8"/>
  <c r="K16" i="8"/>
  <c r="L16" i="8"/>
  <c r="D15" i="8"/>
  <c r="D19" i="8" s="1"/>
  <c r="E15" i="8"/>
  <c r="E19" i="8" s="1"/>
  <c r="F15" i="8"/>
  <c r="F19" i="8" s="1"/>
  <c r="G15" i="8"/>
  <c r="G19" i="8" s="1"/>
  <c r="H15" i="8"/>
  <c r="H19" i="8" s="1"/>
  <c r="I15" i="8"/>
  <c r="J15" i="8"/>
  <c r="K15" i="8"/>
  <c r="L15" i="8"/>
  <c r="C15" i="8"/>
  <c r="C16" i="8"/>
  <c r="D8" i="8"/>
  <c r="E8" i="8"/>
  <c r="F8" i="8"/>
  <c r="G8" i="8"/>
  <c r="H8" i="8"/>
  <c r="I8" i="8"/>
  <c r="J8" i="8"/>
  <c r="K8" i="8"/>
  <c r="L8" i="8"/>
  <c r="C8" i="8"/>
  <c r="I19" i="8" l="1"/>
  <c r="J19" i="8"/>
  <c r="C19" i="8"/>
  <c r="L19" i="8"/>
  <c r="K19" i="8"/>
  <c r="M8" i="8"/>
  <c r="M5" i="8"/>
  <c r="M20" i="8" s="1"/>
  <c r="D5" i="8"/>
  <c r="D20" i="8" s="1"/>
  <c r="E5" i="8"/>
  <c r="E20" i="8" s="1"/>
  <c r="F5" i="8"/>
  <c r="F20" i="8" s="1"/>
  <c r="G5" i="8"/>
  <c r="G20" i="8" s="1"/>
  <c r="H5" i="8"/>
  <c r="H20" i="8" s="1"/>
  <c r="I5" i="8"/>
  <c r="J5" i="8"/>
  <c r="K5" i="8"/>
  <c r="L5" i="8"/>
  <c r="C5" i="8"/>
  <c r="L3" i="8"/>
  <c r="F3" i="8"/>
  <c r="G3" i="8"/>
  <c r="H3" i="8"/>
  <c r="I3" i="8"/>
  <c r="J3" i="8"/>
  <c r="K3" i="8"/>
  <c r="D3" i="8"/>
  <c r="E3" i="8"/>
  <c r="C3" i="8"/>
  <c r="B6" i="6"/>
  <c r="E1" i="6"/>
  <c r="L20" i="8" l="1"/>
  <c r="C20" i="8"/>
  <c r="K20" i="8"/>
  <c r="J20" i="8"/>
  <c r="I20" i="8"/>
  <c r="H11" i="8"/>
  <c r="H25" i="8" s="1"/>
  <c r="H29" i="8" s="1"/>
  <c r="G9" i="8"/>
  <c r="K9" i="8"/>
  <c r="L11" i="8"/>
  <c r="L25" i="8" s="1"/>
  <c r="L29" i="8" s="1"/>
  <c r="J11" i="8"/>
  <c r="J25" i="8" s="1"/>
  <c r="I9" i="8"/>
  <c r="F9" i="8"/>
  <c r="E11" i="8"/>
  <c r="E25" i="8" s="1"/>
  <c r="D11" i="8"/>
  <c r="D25" i="8" s="1"/>
  <c r="D29" i="8" s="1"/>
  <c r="C9" i="8"/>
  <c r="D26" i="8"/>
  <c r="L26" i="8"/>
  <c r="L6" i="8"/>
  <c r="K6" i="8"/>
  <c r="E6" i="8"/>
  <c r="F6" i="8"/>
  <c r="E9" i="8"/>
  <c r="D9" i="8"/>
  <c r="M9" i="8"/>
  <c r="J6" i="8"/>
  <c r="I6" i="8"/>
  <c r="H6" i="8"/>
  <c r="G6" i="8"/>
  <c r="C11" i="8"/>
  <c r="C29" i="8" s="1"/>
  <c r="F11" i="8"/>
  <c r="F25" i="8" s="1"/>
  <c r="F29" i="8" s="1"/>
  <c r="M11" i="8"/>
  <c r="D6" i="8"/>
  <c r="K11" i="8"/>
  <c r="K25" i="8" s="1"/>
  <c r="K29" i="8" s="1"/>
  <c r="L9" i="8"/>
  <c r="G11" i="8"/>
  <c r="G25" i="8" s="1"/>
  <c r="G29" i="8" s="1"/>
  <c r="I11" i="8"/>
  <c r="I25" i="8" s="1"/>
  <c r="I29" i="8" s="1"/>
  <c r="J9" i="8"/>
  <c r="H9" i="8"/>
  <c r="D31" i="8" l="1"/>
  <c r="D33" i="8" s="1"/>
  <c r="J31" i="8"/>
  <c r="J35" i="8" s="1"/>
  <c r="J39" i="8" s="1"/>
  <c r="J46" i="8" s="1"/>
  <c r="J47" i="8" s="1"/>
  <c r="J29" i="8"/>
  <c r="L12" i="8"/>
  <c r="M12" i="8"/>
  <c r="M25" i="8"/>
  <c r="H26" i="8"/>
  <c r="L31" i="8"/>
  <c r="L35" i="8" s="1"/>
  <c r="L39" i="8" s="1"/>
  <c r="L46" i="8" s="1"/>
  <c r="L47" i="8" s="1"/>
  <c r="H31" i="8"/>
  <c r="H35" i="8" s="1"/>
  <c r="H39" i="8" s="1"/>
  <c r="H46" i="8" s="1"/>
  <c r="H47" i="8" s="1"/>
  <c r="E26" i="8"/>
  <c r="E29" i="8"/>
  <c r="D12" i="8"/>
  <c r="H12" i="8"/>
  <c r="J12" i="8"/>
  <c r="E31" i="8"/>
  <c r="J26" i="8"/>
  <c r="E12" i="8"/>
  <c r="K31" i="8"/>
  <c r="K26" i="8"/>
  <c r="C31" i="8"/>
  <c r="C26" i="8"/>
  <c r="F31" i="8"/>
  <c r="F26" i="8"/>
  <c r="I31" i="8"/>
  <c r="I26" i="8"/>
  <c r="G31" i="8"/>
  <c r="G26" i="8"/>
  <c r="K12" i="8"/>
  <c r="C12" i="8"/>
  <c r="I12" i="8"/>
  <c r="G12" i="8"/>
  <c r="F12" i="8"/>
  <c r="D35" i="8" l="1"/>
  <c r="D39" i="8" s="1"/>
  <c r="D46" i="8" s="1"/>
  <c r="D47" i="8" s="1"/>
  <c r="H44" i="8"/>
  <c r="J44" i="8"/>
  <c r="L44" i="8"/>
  <c r="D44" i="8"/>
  <c r="C35" i="8"/>
  <c r="C39" i="8" s="1"/>
  <c r="J33" i="8"/>
  <c r="H33" i="8"/>
  <c r="L33" i="8"/>
  <c r="M31" i="8"/>
  <c r="M26" i="8"/>
  <c r="M29" i="8"/>
  <c r="L36" i="8"/>
  <c r="D36" i="8"/>
  <c r="H36" i="8"/>
  <c r="J36" i="8"/>
  <c r="K35" i="8"/>
  <c r="K39" i="8" s="1"/>
  <c r="K46" i="8" s="1"/>
  <c r="K47" i="8" s="1"/>
  <c r="K33" i="8"/>
  <c r="E35" i="8"/>
  <c r="E39" i="8" s="1"/>
  <c r="E46" i="8" s="1"/>
  <c r="E47" i="8" s="1"/>
  <c r="E33" i="8"/>
  <c r="G35" i="8"/>
  <c r="G39" i="8" s="1"/>
  <c r="G46" i="8" s="1"/>
  <c r="G47" i="8" s="1"/>
  <c r="G33" i="8"/>
  <c r="I35" i="8"/>
  <c r="I39" i="8" s="1"/>
  <c r="I46" i="8" s="1"/>
  <c r="I47" i="8" s="1"/>
  <c r="I33" i="8"/>
  <c r="F35" i="8"/>
  <c r="F39" i="8" s="1"/>
  <c r="F46" i="8" s="1"/>
  <c r="F47" i="8" s="1"/>
  <c r="F33" i="8"/>
  <c r="C33" i="8"/>
  <c r="C44" i="8" l="1"/>
  <c r="C46" i="8"/>
  <c r="C47" i="8" s="1"/>
  <c r="F40" i="8"/>
  <c r="F44" i="8"/>
  <c r="I44" i="8"/>
  <c r="I40" i="8"/>
  <c r="E40" i="8"/>
  <c r="E44" i="8"/>
  <c r="K40" i="8"/>
  <c r="K44" i="8"/>
  <c r="J40" i="8"/>
  <c r="G40" i="8"/>
  <c r="G44" i="8"/>
  <c r="D40" i="8"/>
  <c r="L40" i="8"/>
  <c r="H40" i="8"/>
  <c r="M35" i="8"/>
  <c r="M33" i="8"/>
  <c r="G36" i="8"/>
  <c r="E36" i="8"/>
  <c r="I36" i="8"/>
  <c r="K36" i="8"/>
  <c r="C36" i="8"/>
  <c r="F36" i="8"/>
  <c r="M36" i="8" l="1"/>
  <c r="M39" i="8"/>
  <c r="M46" i="8" s="1"/>
  <c r="M47" i="8" s="1"/>
  <c r="M40" i="8" l="1"/>
  <c r="M44" i="8"/>
</calcChain>
</file>

<file path=xl/sharedStrings.xml><?xml version="1.0" encoding="utf-8"?>
<sst xmlns="http://schemas.openxmlformats.org/spreadsheetml/2006/main" count="195" uniqueCount="153">
  <si>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</si>
  <si>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</si>
  <si>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</si>
  <si>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</si>
  <si>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</si>
  <si>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</si>
  <si>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</si>
  <si>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</si>
  <si>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</si>
  <si>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</si>
  <si>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Sales Growth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</si>
  <si>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</si>
  <si>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</si>
  <si>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</si>
  <si>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</si>
  <si>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</si>
  <si>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</si>
  <si>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</si>
  <si>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</si>
  <si>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</si>
  <si>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</si>
  <si>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</si>
  <si>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</si>
  <si>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</si>
  <si>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</si>
  <si>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</si>
  <si>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</si>
  <si>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</si>
  <si>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</si>
  <si>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</si>
  <si>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</si>
  <si>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</si>
  <si>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</si>
  <si>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RELIANCE INDUSTRIES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</si>
  <si>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</si>
  <si>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</si>
  <si>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</si>
  <si>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</si>
  <si>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</si>
  <si>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</si>
  <si>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</si>
  <si>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</si>
  <si>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</si>
  <si>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</si>
  <si>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</si>
  <si>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</si>
  <si>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</si>
  <si>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</si>
  <si>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</si>
  <si>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</si>
  <si>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</si>
  <si>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</si>
  <si>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</si>
  <si>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</si>
  <si>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HISTORICAL FINANCIAL STATEMENT - RELIANCE INDUSTRIES LTD</t>
  </si>
  <si>
    <t>YEARS</t>
  </si>
  <si>
    <t>INCOME STATEMENT</t>
  </si>
  <si>
    <t>#</t>
  </si>
  <si>
    <t>COGS</t>
  </si>
  <si>
    <t>COGS as % of sales</t>
  </si>
  <si>
    <t>Gross Profit</t>
  </si>
  <si>
    <t>Selling &amp; General Expenses</t>
  </si>
  <si>
    <t>Other MFr.Exp</t>
  </si>
  <si>
    <t>Operating Expenses</t>
  </si>
  <si>
    <t>Depreciation &amp; Amortization</t>
  </si>
  <si>
    <t>EBIT</t>
  </si>
  <si>
    <t>Total Operating Expenses</t>
  </si>
  <si>
    <t>Other incomes</t>
  </si>
  <si>
    <t>Gross Margin %</t>
  </si>
  <si>
    <t>Non-Operating Income</t>
  </si>
  <si>
    <t>INTREST</t>
  </si>
  <si>
    <t>Profit Before Tax (PBT)</t>
  </si>
  <si>
    <t>TAX</t>
  </si>
  <si>
    <t>EBIT as % of Sales</t>
  </si>
  <si>
    <t>Operating Expenses % of Sales</t>
  </si>
  <si>
    <t>Effective Tax Rate</t>
  </si>
  <si>
    <t>Intrest % EBIT</t>
  </si>
  <si>
    <t>Adjusted Net Profit (Before Extraordinary Items)</t>
  </si>
  <si>
    <t>Net Profit Margins</t>
  </si>
  <si>
    <t>Earning Per Shares</t>
  </si>
  <si>
    <t>Dividend Per Share</t>
  </si>
  <si>
    <t>Dividend Pay Out Ratio</t>
  </si>
  <si>
    <t>EPS Growth %</t>
  </si>
  <si>
    <t>Retained Earning</t>
  </si>
  <si>
    <t>Retained Earning Ratio</t>
  </si>
  <si>
    <t>LQM</t>
  </si>
  <si>
    <t>Balance Sheet</t>
  </si>
  <si>
    <t>Liabilities &amp; ShareHolders Equity</t>
  </si>
  <si>
    <t>Total Liabilities</t>
  </si>
  <si>
    <t>Non-Current Assets</t>
  </si>
  <si>
    <t>Total Non-Current Assets</t>
  </si>
  <si>
    <t>Fixed Assets (Net Block)</t>
  </si>
  <si>
    <t>Current Assets</t>
  </si>
  <si>
    <t>Total Current Assest</t>
  </si>
  <si>
    <t>Total Assest</t>
  </si>
  <si>
    <t>CHECK</t>
  </si>
  <si>
    <t>Profit from operations</t>
  </si>
  <si>
    <t>Payables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</si>
  <si>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</si>
  <si>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</si>
  <si>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</si>
  <si>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</si>
  <si>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</si>
  <si>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</si>
  <si>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</si>
  <si>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</si>
  <si>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Other investing items</t>
  </si>
  <si>
    <t>Proceeds from shares</t>
  </si>
  <si>
    <t>Proceeds from borrowings</t>
  </si>
  <si>
    <t>Repayment of borrowings</t>
  </si>
  <si>
    <t>Interest paid fin</t>
  </si>
  <si>
    <t>Dividends paid</t>
  </si>
  <si>
    <t>Financial liabilities</t>
  </si>
  <si>
    <t>Share application money</t>
  </si>
  <si>
    <t>Other financing items</t>
  </si>
  <si>
    <t>Cash Flow Statement</t>
  </si>
  <si>
    <r>
      <t>Cash from Operating Activity </t>
    </r>
    <r>
      <rPr>
        <sz val="11"/>
        <color rgb="FF665EFD"/>
        <rFont val="Times New Roman"/>
        <family val="1"/>
      </rPr>
      <t>-</t>
    </r>
  </si>
  <si>
    <r>
      <t>Cash from Investing Activity </t>
    </r>
    <r>
      <rPr>
        <sz val="11"/>
        <color rgb="FF665EFD"/>
        <rFont val="Times New Roman"/>
        <family val="1"/>
      </rPr>
      <t>-</t>
    </r>
  </si>
  <si>
    <r>
      <t>Cash from Financing Activity </t>
    </r>
    <r>
      <rPr>
        <sz val="11"/>
        <color rgb="FF665EFD"/>
        <rFont val="Times New Roman"/>
        <family val="1"/>
      </rPr>
      <t>-</t>
    </r>
  </si>
  <si>
    <t>Profit From Operations</t>
  </si>
  <si>
    <t>Cash Flow from Operating Activity</t>
  </si>
  <si>
    <t>Cash flow from Investing Acitivity</t>
  </si>
  <si>
    <t>Cash Flow from Financing Acitivity</t>
  </si>
  <si>
    <t>Cash flow from Investing Activity</t>
  </si>
  <si>
    <t>RELIANCE INDUSTRIES LTD LIQUIDITY RATIO ANALYSIS</t>
  </si>
  <si>
    <t>Current Ratio</t>
  </si>
  <si>
    <t>Current Liabilities</t>
  </si>
  <si>
    <t>Borrowings(Short-Term)</t>
  </si>
  <si>
    <t>Current Ratio(Current Assets/Current Liabilities)</t>
  </si>
  <si>
    <t>"Assumption: Borrowings are treated as short-term loans"</t>
  </si>
  <si>
    <t>Quick Ratio</t>
  </si>
  <si>
    <t>Quick Ratio (Cash&amp;Bank+Receivables-Inventory)/Current Liabilities</t>
  </si>
  <si>
    <t>Cash Ratio</t>
  </si>
  <si>
    <t>Cash Ratio (Cash &amp; Bank)/Current Liabilities</t>
  </si>
  <si>
    <t>Defensive Interval Ratio</t>
  </si>
  <si>
    <t>Quick Assets</t>
  </si>
  <si>
    <t>Average Daily Operating Expenses</t>
  </si>
  <si>
    <t xml:space="preserve">Avg Daily Operating Exp = </t>
  </si>
  <si>
    <t>Total Operating exp-non cash exp / 365</t>
  </si>
  <si>
    <t xml:space="preserve">Total Operating Exp = </t>
  </si>
  <si>
    <t xml:space="preserve">Non Cash Exp(Dep) = </t>
  </si>
  <si>
    <t>Defensive Interval Ratio (Quick Assets/Avg Daily Operating Exp)</t>
  </si>
  <si>
    <t>Working Capital</t>
  </si>
  <si>
    <t>Working Capital (Current Assest-Current Liabilities)</t>
  </si>
  <si>
    <t>Operating Cash Flow</t>
  </si>
  <si>
    <t>Operating Cash Flow Ratio</t>
  </si>
  <si>
    <t>Operating Cash Flow Ratio (Operating Cash Flow/Current Liabilities)</t>
  </si>
  <si>
    <t>Inventory Turnover Ratio</t>
  </si>
  <si>
    <t>Average Inventory</t>
  </si>
  <si>
    <t>Inventory Turnover Ratio (COGS / Average Inventory)</t>
  </si>
  <si>
    <t>Current Assest</t>
  </si>
  <si>
    <t>Quick Assest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</si>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</sst>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&quot;₹&quot;\ #,##0.00;&quot;₹&quot;\ \-#,##0.00"/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mmm/yyyy"/>
    <numFmt numFmtId="167" formatCode="&quot;₹&quot;\ #,##0.00"/>
    <numFmt numFmtId="168" formatCode="&quot;₹&quot;\ #,##0.00;&quot;₹&quot;\ \(\-#,##0.00\)"/>
    <numFmt numFmtId="169" formatCode="&quot;₹&quot;\ #,##0.00;&quot;₹&quot;\ \(#,##0.00\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606F7B"/>
      <name val="Times New Roman"/>
      <family val="1"/>
    </font>
    <font>
      <sz val="11"/>
      <color rgb="FF22222F"/>
      <name val="Times New Roman"/>
      <family val="1"/>
    </font>
    <font>
      <sz val="11"/>
      <color rgb="FF665EFD"/>
      <name val="Times New Roman"/>
      <family val="1"/>
    </font>
    <font>
      <sz val="11"/>
      <color rgb="FF22222F"/>
      <name val="Times New Roman"/>
      <family val="1"/>
    </font>
    <font>
      <b/>
      <i/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C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rgb="FFDBE4F0"/>
      </bottom>
      <diagonal/>
    </border>
    <border>
      <left/>
      <right/>
      <top style="thick">
        <color rgb="FFDBE4F0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</cellStyleXfs>
  <cellXfs count="72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7" fillId="3" borderId="0" xfId="0" applyFont="1" applyFill="1"/>
    <xf numFmtId="0" fontId="8" fillId="0" borderId="0" xfId="0" applyFont="1"/>
    <xf numFmtId="166" fontId="7" fillId="3" borderId="0" xfId="0" applyNumberFormat="1" applyFont="1" applyFill="1"/>
    <xf numFmtId="0" fontId="7" fillId="3" borderId="0" xfId="0" applyFont="1" applyFill="1" applyAlignment="1">
      <alignment horizontal="right"/>
    </xf>
    <xf numFmtId="0" fontId="9" fillId="0" borderId="0" xfId="0" applyFont="1"/>
    <xf numFmtId="167" fontId="8" fillId="0" borderId="0" xfId="0" applyNumberFormat="1" applyFont="1"/>
    <xf numFmtId="10" fontId="8" fillId="0" borderId="0" xfId="0" applyNumberFormat="1" applyFont="1"/>
    <xf numFmtId="0" fontId="8" fillId="4" borderId="0" xfId="0" applyFont="1" applyFill="1"/>
    <xf numFmtId="10" fontId="8" fillId="4" borderId="0" xfId="0" applyNumberFormat="1" applyFont="1" applyFill="1"/>
    <xf numFmtId="7" fontId="8" fillId="0" borderId="0" xfId="0" applyNumberFormat="1" applyFont="1"/>
    <xf numFmtId="7" fontId="9" fillId="0" borderId="0" xfId="0" applyNumberFormat="1" applyFont="1"/>
    <xf numFmtId="167" fontId="9" fillId="0" borderId="0" xfId="0" applyNumberFormat="1" applyFont="1"/>
    <xf numFmtId="168" fontId="9" fillId="0" borderId="0" xfId="0" applyNumberFormat="1" applyFont="1"/>
    <xf numFmtId="10" fontId="9" fillId="0" borderId="0" xfId="0" applyNumberFormat="1" applyFont="1"/>
    <xf numFmtId="0" fontId="9" fillId="4" borderId="0" xfId="0" applyFont="1" applyFill="1"/>
    <xf numFmtId="10" fontId="9" fillId="4" borderId="0" xfId="0" applyNumberFormat="1" applyFont="1" applyFill="1"/>
    <xf numFmtId="167" fontId="0" fillId="0" borderId="0" xfId="0" applyNumberFormat="1"/>
    <xf numFmtId="167" fontId="3" fillId="0" borderId="0" xfId="1" applyNumberFormat="1" applyFont="1" applyBorder="1"/>
    <xf numFmtId="4" fontId="0" fillId="0" borderId="0" xfId="0" applyNumberFormat="1"/>
    <xf numFmtId="4" fontId="0" fillId="0" borderId="0" xfId="1" applyNumberFormat="1" applyFont="1" applyBorder="1"/>
    <xf numFmtId="167" fontId="1" fillId="0" borderId="0" xfId="0" applyNumberFormat="1" applyFont="1"/>
    <xf numFmtId="0" fontId="9" fillId="0" borderId="1" xfId="0" applyFont="1" applyBorder="1"/>
    <xf numFmtId="167" fontId="9" fillId="0" borderId="1" xfId="0" applyNumberFormat="1" applyFont="1" applyBorder="1"/>
    <xf numFmtId="0" fontId="9" fillId="0" borderId="2" xfId="0" applyFont="1" applyBorder="1"/>
    <xf numFmtId="7" fontId="9" fillId="0" borderId="2" xfId="0" applyNumberFormat="1" applyFont="1" applyBorder="1"/>
    <xf numFmtId="167" fontId="9" fillId="0" borderId="2" xfId="0" applyNumberFormat="1" applyFont="1" applyBorder="1"/>
    <xf numFmtId="0" fontId="9" fillId="0" borderId="3" xfId="0" applyFont="1" applyBorder="1"/>
    <xf numFmtId="7" fontId="9" fillId="0" borderId="3" xfId="0" applyNumberFormat="1" applyFont="1" applyBorder="1"/>
    <xf numFmtId="4" fontId="8" fillId="0" borderId="0" xfId="0" applyNumberFormat="1" applyFont="1"/>
    <xf numFmtId="7" fontId="9" fillId="4" borderId="0" xfId="0" applyNumberFormat="1" applyFont="1" applyFill="1"/>
    <xf numFmtId="9" fontId="9" fillId="4" borderId="0" xfId="0" applyNumberFormat="1" applyFont="1" applyFill="1"/>
    <xf numFmtId="0" fontId="8" fillId="5" borderId="0" xfId="0" applyFont="1" applyFill="1"/>
    <xf numFmtId="0" fontId="7" fillId="5" borderId="0" xfId="0" applyFont="1" applyFill="1"/>
    <xf numFmtId="43" fontId="8" fillId="0" borderId="0" xfId="1" applyFont="1" applyBorder="1"/>
    <xf numFmtId="167" fontId="9" fillId="0" borderId="3" xfId="0" applyNumberFormat="1" applyFont="1" applyBorder="1"/>
    <xf numFmtId="17" fontId="10" fillId="6" borderId="4" xfId="0" applyNumberFormat="1" applyFont="1" applyFill="1" applyBorder="1" applyAlignment="1">
      <alignment horizontal="right" vertical="center" wrapText="1" indent="1"/>
    </xf>
    <xf numFmtId="0" fontId="11" fillId="7" borderId="5" xfId="0" applyFont="1" applyFill="1" applyBorder="1" applyAlignment="1">
      <alignment horizontal="left" vertical="center" indent="2"/>
    </xf>
    <xf numFmtId="3" fontId="11" fillId="7" borderId="5" xfId="0" applyNumberFormat="1" applyFont="1" applyFill="1" applyBorder="1" applyAlignment="1">
      <alignment horizontal="right" vertical="center" wrapText="1" indent="1"/>
    </xf>
    <xf numFmtId="0" fontId="11" fillId="7" borderId="5" xfId="0" applyFont="1" applyFill="1" applyBorder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3" fontId="13" fillId="7" borderId="0" xfId="0" applyNumberFormat="1" applyFont="1" applyFill="1" applyAlignment="1">
      <alignment horizontal="right" vertical="center" wrapText="1" indent="1"/>
    </xf>
    <xf numFmtId="0" fontId="13" fillId="7" borderId="0" xfId="0" applyFont="1" applyFill="1" applyAlignment="1">
      <alignment horizontal="right" vertical="center" wrapText="1" indent="1"/>
    </xf>
    <xf numFmtId="0" fontId="11" fillId="7" borderId="5" xfId="0" applyFont="1" applyFill="1" applyBorder="1" applyAlignment="1">
      <alignment horizontal="right" vertical="center" wrapText="1" indent="1"/>
    </xf>
    <xf numFmtId="0" fontId="11" fillId="6" borderId="5" xfId="0" applyFont="1" applyFill="1" applyBorder="1" applyAlignment="1">
      <alignment horizontal="left" vertical="center" indent="2"/>
    </xf>
    <xf numFmtId="3" fontId="11" fillId="6" borderId="5" xfId="0" applyNumberFormat="1" applyFont="1" applyFill="1" applyBorder="1" applyAlignment="1">
      <alignment horizontal="right" vertical="center" wrapText="1" indent="1"/>
    </xf>
    <xf numFmtId="0" fontId="13" fillId="6" borderId="0" xfId="0" applyFont="1" applyFill="1" applyAlignment="1">
      <alignment horizontal="left" vertical="center"/>
    </xf>
    <xf numFmtId="3" fontId="13" fillId="6" borderId="0" xfId="0" applyNumberFormat="1" applyFont="1" applyFill="1" applyAlignment="1">
      <alignment horizontal="right" vertical="center" wrapText="1" indent="1"/>
    </xf>
    <xf numFmtId="0" fontId="13" fillId="6" borderId="0" xfId="0" applyFont="1" applyFill="1" applyAlignment="1">
      <alignment horizontal="right" vertical="center" wrapText="1" indent="1"/>
    </xf>
    <xf numFmtId="169" fontId="8" fillId="0" borderId="0" xfId="0" applyNumberFormat="1" applyFont="1"/>
    <xf numFmtId="3" fontId="0" fillId="0" borderId="0" xfId="0" applyNumberFormat="1"/>
    <xf numFmtId="169" fontId="9" fillId="0" borderId="3" xfId="0" applyNumberFormat="1" applyFont="1" applyBorder="1"/>
    <xf numFmtId="0" fontId="9" fillId="0" borderId="6" xfId="0" applyFont="1" applyBorder="1"/>
    <xf numFmtId="169" fontId="9" fillId="0" borderId="6" xfId="0" applyNumberFormat="1" applyFont="1" applyBorder="1"/>
    <xf numFmtId="43" fontId="9" fillId="0" borderId="7" xfId="0" applyNumberFormat="1" applyFont="1" applyBorder="1"/>
    <xf numFmtId="0" fontId="9" fillId="0" borderId="7" xfId="0" applyFont="1" applyBorder="1"/>
    <xf numFmtId="0" fontId="8" fillId="0" borderId="7" xfId="0" applyFont="1" applyBorder="1"/>
    <xf numFmtId="0" fontId="7" fillId="8" borderId="0" xfId="0" applyFont="1" applyFill="1"/>
    <xf numFmtId="17" fontId="7" fillId="8" borderId="0" xfId="0" applyNumberFormat="1" applyFont="1" applyFill="1"/>
    <xf numFmtId="2" fontId="8" fillId="0" borderId="0" xfId="0" applyNumberFormat="1" applyFont="1"/>
    <xf numFmtId="0" fontId="14" fillId="0" borderId="0" xfId="0" applyFont="1"/>
    <xf numFmtId="2" fontId="9" fillId="0" borderId="2" xfId="0" applyNumberFormat="1" applyFont="1" applyBorder="1"/>
    <xf numFmtId="4" fontId="9" fillId="0" borderId="2" xfId="0" applyNumberFormat="1" applyFont="1" applyBorder="1"/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</cellXfs>
  <cellStyles count="4">
    <cellStyle name="Accent6" xfId="3" builtinId="49"/>
    <cellStyle name="Comma" xfId="1" builtinId="3"/>
    <cellStyle name="Hyperlink" xfId="2" builtinId="8"/>
    <cellStyle name="Normal" xfId="0" builtinId="0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D144-3FC1-464B-93D9-2CA661A20718}">
  <sheetPr>
    <tabColor rgb="FF92D050"/>
  </sheetPr>
  <dimension ref="A2:N106"/>
  <sheetViews>
    <sheetView tabSelected="1" topLeftCell="A27" zoomScale="90" zoomScaleNormal="90" workbookViewId="0">
      <selection activeCell="O68" sqref="O68"/>
    </sheetView>
  </sheetViews>
  <sheetFormatPr defaultColWidth="11.5703125" defaultRowHeight="15" x14ac:dyDescent="0.25"/>
  <cols>
    <col min="1" max="1" width="3" style="9" customWidth="1"/>
    <col min="2" max="2" width="76.140625" style="9" bestFit="1" customWidth="1"/>
    <col min="3" max="5" width="13.85546875" style="9" bestFit="1" customWidth="1"/>
    <col min="6" max="6" width="14.85546875" style="9" bestFit="1" customWidth="1"/>
    <col min="7" max="7" width="15" style="9" bestFit="1" customWidth="1"/>
    <col min="8" max="9" width="15.140625" style="9" bestFit="1" customWidth="1"/>
    <col min="10" max="10" width="15" style="9" bestFit="1" customWidth="1"/>
    <col min="11" max="12" width="15.140625" style="9" bestFit="1" customWidth="1"/>
    <col min="13" max="13" width="13.7109375" style="9" bestFit="1" customWidth="1"/>
    <col min="14" max="16384" width="11.5703125" style="9"/>
  </cols>
  <sheetData>
    <row r="2" spans="1:13" x14ac:dyDescent="0.25">
      <c r="B2" s="8" t="s">
        <v>54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x14ac:dyDescent="0.25">
      <c r="B3" s="8" t="s">
        <v>55</v>
      </c>
      <c r="C3" s="10">
        <f>'Data Sheet'!B16</f>
        <v>42460</v>
      </c>
      <c r="D3" s="10">
        <f>'Data Sheet'!C16</f>
        <v>42825</v>
      </c>
      <c r="E3" s="10">
        <f>'Data Sheet'!D16</f>
        <v>43190</v>
      </c>
      <c r="F3" s="10">
        <f>'Data Sheet'!E16</f>
        <v>43555</v>
      </c>
      <c r="G3" s="10">
        <f>'Data Sheet'!F16</f>
        <v>43921</v>
      </c>
      <c r="H3" s="10">
        <f>'Data Sheet'!G16</f>
        <v>44286</v>
      </c>
      <c r="I3" s="10">
        <f>'Data Sheet'!H16</f>
        <v>44651</v>
      </c>
      <c r="J3" s="10">
        <f>'Data Sheet'!I16</f>
        <v>45016</v>
      </c>
      <c r="K3" s="10">
        <f>'Data Sheet'!J16</f>
        <v>45382</v>
      </c>
      <c r="L3" s="10">
        <f>'Data Sheet'!K16</f>
        <v>45747</v>
      </c>
      <c r="M3" s="11" t="s">
        <v>85</v>
      </c>
    </row>
    <row r="4" spans="1:13" x14ac:dyDescent="0.25">
      <c r="A4" s="12" t="s">
        <v>57</v>
      </c>
      <c r="B4" s="12" t="s">
        <v>56</v>
      </c>
    </row>
    <row r="5" spans="1:13" x14ac:dyDescent="0.25">
      <c r="B5" s="9" t="s">
        <v>1</v>
      </c>
      <c r="C5" s="20">
        <f>IFERROR('Data Sheet'!B17,0)</f>
        <v>272583</v>
      </c>
      <c r="D5" s="20">
        <f>IFERROR('Data Sheet'!C17,0)</f>
        <v>303954</v>
      </c>
      <c r="E5" s="20">
        <f>IFERROR('Data Sheet'!D17,0)</f>
        <v>390823</v>
      </c>
      <c r="F5" s="20">
        <f>IFERROR('Data Sheet'!E17,0)</f>
        <v>568337</v>
      </c>
      <c r="G5" s="20">
        <f>IFERROR('Data Sheet'!F17,0)</f>
        <v>596679</v>
      </c>
      <c r="H5" s="20">
        <f>IFERROR('Data Sheet'!G17,0)</f>
        <v>466307</v>
      </c>
      <c r="I5" s="20">
        <f>IFERROR('Data Sheet'!H17,0)</f>
        <v>694673</v>
      </c>
      <c r="J5" s="20">
        <f>IFERROR('Data Sheet'!I17,0)</f>
        <v>876396</v>
      </c>
      <c r="K5" s="20">
        <f>IFERROR('Data Sheet'!J17,0)</f>
        <v>899041</v>
      </c>
      <c r="L5" s="20">
        <f>IFERROR('Data Sheet'!K17,0)</f>
        <v>964693</v>
      </c>
      <c r="M5" s="19">
        <f>IFERROR(SUM('Data Sheet'!K42),0)</f>
        <v>261388</v>
      </c>
    </row>
    <row r="6" spans="1:13" x14ac:dyDescent="0.25">
      <c r="B6" s="15" t="s">
        <v>10</v>
      </c>
      <c r="C6" s="15"/>
      <c r="D6" s="16">
        <f>(D5/C5)-1</f>
        <v>0.11508788148930793</v>
      </c>
      <c r="E6" s="16">
        <f t="shared" ref="E6:L6" si="0">(E5/D5)-1</f>
        <v>0.28579653500200686</v>
      </c>
      <c r="F6" s="16">
        <f t="shared" si="0"/>
        <v>0.45420561225925793</v>
      </c>
      <c r="G6" s="16">
        <f t="shared" si="0"/>
        <v>4.9868299969912266E-2</v>
      </c>
      <c r="H6" s="16">
        <f t="shared" si="0"/>
        <v>-0.21849604226057895</v>
      </c>
      <c r="I6" s="16">
        <f t="shared" si="0"/>
        <v>0.48973315862725619</v>
      </c>
      <c r="J6" s="16">
        <f t="shared" si="0"/>
        <v>0.26159502384575184</v>
      </c>
      <c r="K6" s="16">
        <f t="shared" si="0"/>
        <v>2.5838776078393799E-2</v>
      </c>
      <c r="L6" s="16">
        <f t="shared" si="0"/>
        <v>7.30244783052163E-2</v>
      </c>
      <c r="M6" s="14"/>
    </row>
    <row r="7" spans="1:13" x14ac:dyDescent="0.25">
      <c r="C7" s="14"/>
    </row>
    <row r="8" spans="1:13" ht="15.75" thickBot="1" x14ac:dyDescent="0.3">
      <c r="B8" s="29" t="s">
        <v>58</v>
      </c>
      <c r="C8" s="30">
        <f>IFERROR('Data Sheet'!B18+'Data Sheet'!B20+'Data Sheet'!B21-'Data Sheet'!B19,0)</f>
        <v>207827</v>
      </c>
      <c r="D8" s="30">
        <f>IFERROR('Data Sheet'!C18+'Data Sheet'!C20+'Data Sheet'!C21-'Data Sheet'!C19,0)</f>
        <v>233460</v>
      </c>
      <c r="E8" s="30">
        <f>IFERROR('Data Sheet'!D18+'Data Sheet'!D20+'Data Sheet'!D21-'Data Sheet'!D19,0)</f>
        <v>291726</v>
      </c>
      <c r="F8" s="30">
        <f>IFERROR('Data Sheet'!E18+'Data Sheet'!E20+'Data Sheet'!E21-'Data Sheet'!E19,0)</f>
        <v>423714</v>
      </c>
      <c r="G8" s="30">
        <f>IFERROR('Data Sheet'!F18+'Data Sheet'!F20+'Data Sheet'!F21-'Data Sheet'!F19,0)</f>
        <v>431772</v>
      </c>
      <c r="H8" s="30">
        <f>IFERROR('Data Sheet'!G18+'Data Sheet'!G20+'Data Sheet'!G21-'Data Sheet'!G19,0)</f>
        <v>313602</v>
      </c>
      <c r="I8" s="30">
        <f>IFERROR('Data Sheet'!H18+'Data Sheet'!H20+'Data Sheet'!H21-'Data Sheet'!H19,0)</f>
        <v>503068</v>
      </c>
      <c r="J8" s="30">
        <f>IFERROR('Data Sheet'!I18+'Data Sheet'!I20+'Data Sheet'!I21-'Data Sheet'!I19,0)</f>
        <v>633203</v>
      </c>
      <c r="K8" s="30">
        <f>IFERROR('Data Sheet'!J18+'Data Sheet'!J20+'Data Sheet'!J21-'Data Sheet'!J19,0)</f>
        <v>625756</v>
      </c>
      <c r="L8" s="30">
        <f>IFERROR('Data Sheet'!K18+'Data Sheet'!K20+'Data Sheet'!K21-'Data Sheet'!K19,0)</f>
        <v>629689</v>
      </c>
      <c r="M8" s="30">
        <f>'Data Sheet'!K43</f>
        <v>217556</v>
      </c>
    </row>
    <row r="9" spans="1:13" x14ac:dyDescent="0.25">
      <c r="B9" s="15" t="s">
        <v>59</v>
      </c>
      <c r="C9" s="16">
        <f>C8/C5</f>
        <v>0.7624356617984247</v>
      </c>
      <c r="D9" s="16">
        <f t="shared" ref="D9:L9" si="1">D8/D5</f>
        <v>0.76807674845535834</v>
      </c>
      <c r="E9" s="16">
        <f t="shared" si="1"/>
        <v>0.74644020438919922</v>
      </c>
      <c r="F9" s="16">
        <f t="shared" si="1"/>
        <v>0.74553302002157174</v>
      </c>
      <c r="G9" s="16">
        <f t="shared" si="1"/>
        <v>0.72362526584646014</v>
      </c>
      <c r="H9" s="16">
        <f t="shared" si="1"/>
        <v>0.67252260849611956</v>
      </c>
      <c r="I9" s="16">
        <f t="shared" si="1"/>
        <v>0.72417957801728294</v>
      </c>
      <c r="J9" s="16">
        <f t="shared" si="1"/>
        <v>0.72250786174286508</v>
      </c>
      <c r="K9" s="16">
        <f t="shared" si="1"/>
        <v>0.69602609892096134</v>
      </c>
      <c r="L9" s="16">
        <f t="shared" si="1"/>
        <v>0.65273511884091628</v>
      </c>
      <c r="M9" s="16">
        <f>M8/M5</f>
        <v>0.83231058809126657</v>
      </c>
    </row>
    <row r="11" spans="1:13" x14ac:dyDescent="0.25">
      <c r="B11" s="31" t="s">
        <v>60</v>
      </c>
      <c r="C11" s="32">
        <f>C5-C8</f>
        <v>64756</v>
      </c>
      <c r="D11" s="32">
        <f t="shared" ref="D11:L11" si="2">D5-D8</f>
        <v>70494</v>
      </c>
      <c r="E11" s="32">
        <f t="shared" si="2"/>
        <v>99097</v>
      </c>
      <c r="F11" s="32">
        <f t="shared" si="2"/>
        <v>144623</v>
      </c>
      <c r="G11" s="32">
        <f t="shared" si="2"/>
        <v>164907</v>
      </c>
      <c r="H11" s="32">
        <f t="shared" si="2"/>
        <v>152705</v>
      </c>
      <c r="I11" s="32">
        <f t="shared" si="2"/>
        <v>191605</v>
      </c>
      <c r="J11" s="32">
        <f t="shared" si="2"/>
        <v>243193</v>
      </c>
      <c r="K11" s="32">
        <f t="shared" si="2"/>
        <v>273285</v>
      </c>
      <c r="L11" s="32">
        <f t="shared" si="2"/>
        <v>335004</v>
      </c>
      <c r="M11" s="33">
        <f>M5-M8</f>
        <v>43832</v>
      </c>
    </row>
    <row r="12" spans="1:13" x14ac:dyDescent="0.25">
      <c r="B12" s="22" t="s">
        <v>68</v>
      </c>
      <c r="C12" s="23">
        <f>C11/C5</f>
        <v>0.2375643382015753</v>
      </c>
      <c r="D12" s="23">
        <f t="shared" ref="D12:M12" si="3">D11/D5</f>
        <v>0.23192325154464163</v>
      </c>
      <c r="E12" s="23">
        <f t="shared" si="3"/>
        <v>0.25355979561080078</v>
      </c>
      <c r="F12" s="23">
        <f t="shared" si="3"/>
        <v>0.25446697997842826</v>
      </c>
      <c r="G12" s="23">
        <f t="shared" si="3"/>
        <v>0.27637473415353986</v>
      </c>
      <c r="H12" s="23">
        <f t="shared" si="3"/>
        <v>0.3274773915038805</v>
      </c>
      <c r="I12" s="23">
        <f t="shared" si="3"/>
        <v>0.27582042198271706</v>
      </c>
      <c r="J12" s="23">
        <f t="shared" si="3"/>
        <v>0.27749213825713492</v>
      </c>
      <c r="K12" s="23">
        <f t="shared" si="3"/>
        <v>0.30397390107903866</v>
      </c>
      <c r="L12" s="23">
        <f t="shared" si="3"/>
        <v>0.34726488115908377</v>
      </c>
      <c r="M12" s="23">
        <f t="shared" si="3"/>
        <v>0.16768941190873338</v>
      </c>
    </row>
    <row r="13" spans="1:13" x14ac:dyDescent="0.25">
      <c r="B13" s="12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</row>
    <row r="14" spans="1:13" x14ac:dyDescent="0.25">
      <c r="B14" s="12" t="s">
        <v>63</v>
      </c>
    </row>
    <row r="15" spans="1:13" x14ac:dyDescent="0.25">
      <c r="B15" s="9" t="s">
        <v>48</v>
      </c>
      <c r="C15" s="13">
        <f>'Data Sheet'!B22</f>
        <v>7407</v>
      </c>
      <c r="D15" s="13">
        <f>'Data Sheet'!C22</f>
        <v>8388</v>
      </c>
      <c r="E15" s="13">
        <f>'Data Sheet'!D22</f>
        <v>9523</v>
      </c>
      <c r="F15" s="13">
        <f>'Data Sheet'!E22</f>
        <v>12488</v>
      </c>
      <c r="G15" s="13">
        <f>'Data Sheet'!F22</f>
        <v>14075</v>
      </c>
      <c r="H15" s="13">
        <f>'Data Sheet'!G22</f>
        <v>14817</v>
      </c>
      <c r="I15" s="13">
        <f>'Data Sheet'!H22</f>
        <v>18758</v>
      </c>
      <c r="J15" s="13">
        <f>'Data Sheet'!I22</f>
        <v>24872</v>
      </c>
      <c r="K15" s="13">
        <f>'Data Sheet'!J22</f>
        <v>25679</v>
      </c>
      <c r="L15" s="13">
        <f>'Data Sheet'!K22</f>
        <v>28559</v>
      </c>
    </row>
    <row r="16" spans="1:13" x14ac:dyDescent="0.25">
      <c r="B16" s="9" t="s">
        <v>61</v>
      </c>
      <c r="C16" s="13">
        <f>IFERROR(SUM('Data Sheet'!B23:B24),0)</f>
        <v>15568</v>
      </c>
      <c r="D16" s="13">
        <f>IFERROR(SUM('Data Sheet'!C23:C24),0)</f>
        <v>15799</v>
      </c>
      <c r="E16" s="13">
        <f>IFERROR(SUM('Data Sheet'!D23:D24),0)</f>
        <v>25259</v>
      </c>
      <c r="F16" s="13">
        <f>IFERROR(SUM('Data Sheet'!E23:E24),0)</f>
        <v>47885</v>
      </c>
      <c r="G16" s="13">
        <f>IFERROR(SUM('Data Sheet'!F23:F24),0)</f>
        <v>61566</v>
      </c>
      <c r="H16" s="13">
        <f>IFERROR(SUM('Data Sheet'!G23:G24),0)</f>
        <v>57098</v>
      </c>
      <c r="I16" s="13">
        <f>IFERROR(SUM('Data Sheet'!H23:H24),0)</f>
        <v>64266</v>
      </c>
      <c r="J16" s="13">
        <f>IFERROR(SUM('Data Sheet'!I23:I24),0)</f>
        <v>76003</v>
      </c>
      <c r="K16" s="13">
        <f>IFERROR(SUM('Data Sheet'!J23:J24),0)</f>
        <v>85108</v>
      </c>
      <c r="L16" s="13">
        <f>IFERROR(SUM('Data Sheet'!K23:K24),0)</f>
        <v>141001</v>
      </c>
    </row>
    <row r="17" spans="2:13" x14ac:dyDescent="0.25">
      <c r="B17" s="3" t="s">
        <v>64</v>
      </c>
      <c r="C17" s="13">
        <f>'Data Sheet'!B26</f>
        <v>11565</v>
      </c>
      <c r="D17" s="13">
        <f>'Data Sheet'!C26</f>
        <v>11646</v>
      </c>
      <c r="E17" s="13">
        <f>'Data Sheet'!D26</f>
        <v>16706</v>
      </c>
      <c r="F17" s="13">
        <f>'Data Sheet'!E26</f>
        <v>20934</v>
      </c>
      <c r="G17" s="13">
        <f>'Data Sheet'!F26</f>
        <v>22203</v>
      </c>
      <c r="H17" s="13">
        <f>'Data Sheet'!G26</f>
        <v>26572</v>
      </c>
      <c r="I17" s="13">
        <f>'Data Sheet'!H26</f>
        <v>29782</v>
      </c>
      <c r="J17" s="13">
        <f>'Data Sheet'!I26</f>
        <v>40303</v>
      </c>
      <c r="K17" s="13">
        <f>'Data Sheet'!J26</f>
        <v>50832</v>
      </c>
      <c r="L17" s="13">
        <f>'Data Sheet'!K26</f>
        <v>53136</v>
      </c>
      <c r="M17" s="13">
        <f>'Data Sheet'!K45</f>
        <v>13479</v>
      </c>
    </row>
    <row r="18" spans="2:13" x14ac:dyDescent="0.25">
      <c r="B18" s="12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2:13" x14ac:dyDescent="0.25">
      <c r="B19" s="31" t="s">
        <v>66</v>
      </c>
      <c r="C19" s="33">
        <f>SUM(C15:C17)</f>
        <v>34540</v>
      </c>
      <c r="D19" s="33">
        <f t="shared" ref="D19:M19" si="4">SUM(D15:D17)</f>
        <v>35833</v>
      </c>
      <c r="E19" s="33">
        <f t="shared" si="4"/>
        <v>51488</v>
      </c>
      <c r="F19" s="33">
        <f t="shared" si="4"/>
        <v>81307</v>
      </c>
      <c r="G19" s="33">
        <f t="shared" si="4"/>
        <v>97844</v>
      </c>
      <c r="H19" s="33">
        <f t="shared" si="4"/>
        <v>98487</v>
      </c>
      <c r="I19" s="33">
        <f t="shared" si="4"/>
        <v>112806</v>
      </c>
      <c r="J19" s="33">
        <f t="shared" si="4"/>
        <v>141178</v>
      </c>
      <c r="K19" s="33">
        <f t="shared" si="4"/>
        <v>161619</v>
      </c>
      <c r="L19" s="33">
        <f t="shared" si="4"/>
        <v>222696</v>
      </c>
      <c r="M19" s="33">
        <f t="shared" si="4"/>
        <v>13479</v>
      </c>
    </row>
    <row r="20" spans="2:13" x14ac:dyDescent="0.25">
      <c r="B20" s="22" t="s">
        <v>74</v>
      </c>
      <c r="C20" s="23">
        <f>C19/C5</f>
        <v>0.12671369821302136</v>
      </c>
      <c r="D20" s="23">
        <f t="shared" ref="D20:M20" si="5">D19/D5</f>
        <v>0.11788954907650499</v>
      </c>
      <c r="E20" s="23">
        <f t="shared" si="5"/>
        <v>0.13174250236040355</v>
      </c>
      <c r="F20" s="23">
        <f t="shared" si="5"/>
        <v>0.14306124711218871</v>
      </c>
      <c r="G20" s="23">
        <f t="shared" si="5"/>
        <v>0.16398096799116443</v>
      </c>
      <c r="H20" s="23">
        <f t="shared" si="5"/>
        <v>0.21120635118065995</v>
      </c>
      <c r="I20" s="23">
        <f t="shared" si="5"/>
        <v>0.16238719512634001</v>
      </c>
      <c r="J20" s="23">
        <f t="shared" si="5"/>
        <v>0.16108927927557862</v>
      </c>
      <c r="K20" s="23">
        <f t="shared" si="5"/>
        <v>0.17976821969187168</v>
      </c>
      <c r="L20" s="23">
        <f t="shared" si="5"/>
        <v>0.23084649727944537</v>
      </c>
      <c r="M20" s="23">
        <f t="shared" si="5"/>
        <v>5.1567019143954583E-2</v>
      </c>
    </row>
    <row r="21" spans="2:13" x14ac:dyDescent="0.25">
      <c r="B21" s="12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3" x14ac:dyDescent="0.25">
      <c r="B22" s="1" t="s">
        <v>69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2:13" x14ac:dyDescent="0.25">
      <c r="B23" s="9" t="s">
        <v>67</v>
      </c>
      <c r="C23" s="17">
        <f>'Data Sheet'!B25</f>
        <v>12212</v>
      </c>
      <c r="D23" s="17">
        <f>'Data Sheet'!C25</f>
        <v>9222</v>
      </c>
      <c r="E23" s="17">
        <f>'Data Sheet'!D25</f>
        <v>9869</v>
      </c>
      <c r="F23" s="17">
        <f>'Data Sheet'!E25</f>
        <v>8406</v>
      </c>
      <c r="G23" s="17">
        <f>'Data Sheet'!F25</f>
        <v>8570</v>
      </c>
      <c r="H23" s="17">
        <f>'Data Sheet'!G25</f>
        <v>22432</v>
      </c>
      <c r="I23" s="17">
        <f>'Data Sheet'!H25</f>
        <v>19600</v>
      </c>
      <c r="J23" s="17">
        <f>'Data Sheet'!I25</f>
        <v>12020</v>
      </c>
      <c r="K23" s="17">
        <f>'Data Sheet'!J25</f>
        <v>16179</v>
      </c>
      <c r="L23" s="17">
        <f>'Data Sheet'!K25</f>
        <v>17978</v>
      </c>
      <c r="M23" s="17">
        <f>'Data Sheet'!K44</f>
        <v>4905</v>
      </c>
    </row>
    <row r="25" spans="2:13" x14ac:dyDescent="0.25">
      <c r="B25" s="31" t="s">
        <v>65</v>
      </c>
      <c r="C25" s="32">
        <f>C11+C23-C19</f>
        <v>42428</v>
      </c>
      <c r="D25" s="32">
        <f t="shared" ref="D25:K25" si="6">D11+D23-D19</f>
        <v>43883</v>
      </c>
      <c r="E25" s="32">
        <f t="shared" si="6"/>
        <v>57478</v>
      </c>
      <c r="F25" s="32">
        <f t="shared" si="6"/>
        <v>71722</v>
      </c>
      <c r="G25" s="32">
        <f t="shared" si="6"/>
        <v>75633</v>
      </c>
      <c r="H25" s="32">
        <f t="shared" si="6"/>
        <v>76650</v>
      </c>
      <c r="I25" s="32">
        <f t="shared" si="6"/>
        <v>98399</v>
      </c>
      <c r="J25" s="32">
        <f t="shared" si="6"/>
        <v>114035</v>
      </c>
      <c r="K25" s="32">
        <f t="shared" si="6"/>
        <v>127845</v>
      </c>
      <c r="L25" s="32">
        <f>L11+L23-L19</f>
        <v>130286</v>
      </c>
      <c r="M25" s="32">
        <f>M11+M23-M19</f>
        <v>35258</v>
      </c>
    </row>
    <row r="26" spans="2:13" x14ac:dyDescent="0.25">
      <c r="B26" s="22" t="s">
        <v>73</v>
      </c>
      <c r="C26" s="23">
        <f>C25/C5</f>
        <v>0.15565167306838651</v>
      </c>
      <c r="D26" s="23">
        <f t="shared" ref="D26:M26" si="7">D25/D5</f>
        <v>0.1443738197227212</v>
      </c>
      <c r="E26" s="23">
        <f t="shared" si="7"/>
        <v>0.14706913359756207</v>
      </c>
      <c r="F26" s="23">
        <f t="shared" si="7"/>
        <v>0.12619625327930437</v>
      </c>
      <c r="G26" s="23">
        <f t="shared" si="7"/>
        <v>0.12675659776864948</v>
      </c>
      <c r="H26" s="23">
        <f t="shared" si="7"/>
        <v>0.1643766874612648</v>
      </c>
      <c r="I26" s="23">
        <f t="shared" si="7"/>
        <v>0.14164794082971413</v>
      </c>
      <c r="J26" s="23">
        <f t="shared" si="7"/>
        <v>0.1301181201192155</v>
      </c>
      <c r="K26" s="23">
        <f t="shared" si="7"/>
        <v>0.14220152362350549</v>
      </c>
      <c r="L26" s="23">
        <f t="shared" si="7"/>
        <v>0.13505436444547644</v>
      </c>
      <c r="M26" s="23">
        <f t="shared" si="7"/>
        <v>0.13488760004284817</v>
      </c>
    </row>
    <row r="27" spans="2:13" x14ac:dyDescent="0.25">
      <c r="B27" s="12"/>
      <c r="C27" s="21"/>
      <c r="D27" s="21"/>
      <c r="E27" s="21"/>
      <c r="F27" s="21"/>
      <c r="G27" s="21"/>
      <c r="H27" s="21"/>
      <c r="I27" s="21"/>
      <c r="J27" s="21"/>
      <c r="K27" s="21"/>
      <c r="L27" s="21"/>
    </row>
    <row r="28" spans="2:13" x14ac:dyDescent="0.25">
      <c r="B28" s="12" t="s">
        <v>70</v>
      </c>
      <c r="C28" s="13">
        <f>'Data Sheet'!B27</f>
        <v>3691</v>
      </c>
      <c r="D28" s="13">
        <f>'Data Sheet'!C27</f>
        <v>3849</v>
      </c>
      <c r="E28" s="13">
        <f>'Data Sheet'!D27</f>
        <v>8052</v>
      </c>
      <c r="F28" s="13">
        <f>'Data Sheet'!E27</f>
        <v>16495</v>
      </c>
      <c r="G28" s="13">
        <f>'Data Sheet'!F27</f>
        <v>22027</v>
      </c>
      <c r="H28" s="13">
        <f>'Data Sheet'!G27</f>
        <v>21189</v>
      </c>
      <c r="I28" s="13">
        <f>'Data Sheet'!H27</f>
        <v>14584</v>
      </c>
      <c r="J28" s="13">
        <f>'Data Sheet'!I27</f>
        <v>19571</v>
      </c>
      <c r="K28" s="13">
        <f>'Data Sheet'!J27</f>
        <v>23118</v>
      </c>
      <c r="L28" s="13">
        <f>'Data Sheet'!K27</f>
        <v>24269</v>
      </c>
      <c r="M28" s="13">
        <f>'Data Sheet'!K46</f>
        <v>6155</v>
      </c>
    </row>
    <row r="29" spans="2:13" x14ac:dyDescent="0.25">
      <c r="B29" s="22" t="s">
        <v>76</v>
      </c>
      <c r="C29" s="16">
        <f>C28/C25</f>
        <v>8.6994437635523711E-2</v>
      </c>
      <c r="D29" s="16">
        <f t="shared" ref="D29:M29" si="8">D28/D25</f>
        <v>8.7710502928241008E-2</v>
      </c>
      <c r="E29" s="16">
        <f t="shared" si="8"/>
        <v>0.14008838164167159</v>
      </c>
      <c r="F29" s="16">
        <f t="shared" si="8"/>
        <v>0.22998522071330973</v>
      </c>
      <c r="G29" s="16">
        <f t="shared" si="8"/>
        <v>0.2912353073393889</v>
      </c>
      <c r="H29" s="16">
        <f t="shared" si="8"/>
        <v>0.27643835616438356</v>
      </c>
      <c r="I29" s="16">
        <f t="shared" si="8"/>
        <v>0.14821288834236121</v>
      </c>
      <c r="J29" s="16">
        <f t="shared" si="8"/>
        <v>0.17162274740211339</v>
      </c>
      <c r="K29" s="16">
        <f t="shared" si="8"/>
        <v>0.18082834682623489</v>
      </c>
      <c r="L29" s="16">
        <f t="shared" si="8"/>
        <v>0.18627481080085351</v>
      </c>
      <c r="M29" s="16">
        <f t="shared" si="8"/>
        <v>0.17457031028419082</v>
      </c>
    </row>
    <row r="30" spans="2:13" x14ac:dyDescent="0.25"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13" x14ac:dyDescent="0.25">
      <c r="B31" s="31" t="s">
        <v>71</v>
      </c>
      <c r="C31" s="32">
        <f>C25-C28</f>
        <v>38737</v>
      </c>
      <c r="D31" s="32">
        <f t="shared" ref="D31:M31" si="9">D25-D28</f>
        <v>40034</v>
      </c>
      <c r="E31" s="32">
        <f t="shared" si="9"/>
        <v>49426</v>
      </c>
      <c r="F31" s="32">
        <f t="shared" si="9"/>
        <v>55227</v>
      </c>
      <c r="G31" s="32">
        <f t="shared" si="9"/>
        <v>53606</v>
      </c>
      <c r="H31" s="32">
        <f t="shared" si="9"/>
        <v>55461</v>
      </c>
      <c r="I31" s="32">
        <f t="shared" si="9"/>
        <v>83815</v>
      </c>
      <c r="J31" s="32">
        <f t="shared" si="9"/>
        <v>94464</v>
      </c>
      <c r="K31" s="32">
        <f t="shared" si="9"/>
        <v>104727</v>
      </c>
      <c r="L31" s="32">
        <f t="shared" si="9"/>
        <v>106017</v>
      </c>
      <c r="M31" s="32">
        <f t="shared" si="9"/>
        <v>29103</v>
      </c>
    </row>
    <row r="32" spans="2:13" x14ac:dyDescent="0.25">
      <c r="B32" s="9" t="s">
        <v>72</v>
      </c>
      <c r="C32" s="17">
        <f>'Data Sheet'!B29</f>
        <v>8876</v>
      </c>
      <c r="D32" s="17">
        <f>'Data Sheet'!C29</f>
        <v>10201</v>
      </c>
      <c r="E32" s="17">
        <f>'Data Sheet'!D29</f>
        <v>13346</v>
      </c>
      <c r="F32" s="17">
        <f>'Data Sheet'!E29</f>
        <v>15390</v>
      </c>
      <c r="G32" s="17">
        <f>'Data Sheet'!F29</f>
        <v>13726</v>
      </c>
      <c r="H32" s="17">
        <f>'Data Sheet'!G29</f>
        <v>1722</v>
      </c>
      <c r="I32" s="17">
        <f>'Data Sheet'!H29</f>
        <v>15970</v>
      </c>
      <c r="J32" s="17">
        <f>'Data Sheet'!I29</f>
        <v>20376</v>
      </c>
      <c r="K32" s="17">
        <f>'Data Sheet'!J29</f>
        <v>25707</v>
      </c>
      <c r="L32" s="17">
        <f>'Data Sheet'!K29</f>
        <v>25230</v>
      </c>
      <c r="M32" s="13">
        <f>'Data Sheet'!K48</f>
        <v>6669</v>
      </c>
    </row>
    <row r="33" spans="2:13" x14ac:dyDescent="0.25">
      <c r="B33" s="22" t="s">
        <v>75</v>
      </c>
      <c r="C33" s="23">
        <f>C32/C31</f>
        <v>0.22913493559129514</v>
      </c>
      <c r="D33" s="23">
        <f t="shared" ref="D33:M33" si="10">D32/D31</f>
        <v>0.25480841284907829</v>
      </c>
      <c r="E33" s="23">
        <f t="shared" si="10"/>
        <v>0.27001982762109011</v>
      </c>
      <c r="F33" s="23">
        <f t="shared" si="10"/>
        <v>0.27866804280514967</v>
      </c>
      <c r="G33" s="23">
        <f t="shared" si="10"/>
        <v>0.25605342685520277</v>
      </c>
      <c r="H33" s="23">
        <f t="shared" si="10"/>
        <v>3.104884513441878E-2</v>
      </c>
      <c r="I33" s="23">
        <f t="shared" si="10"/>
        <v>0.19053868639265048</v>
      </c>
      <c r="J33" s="23">
        <f t="shared" si="10"/>
        <v>0.21570121951219512</v>
      </c>
      <c r="K33" s="23">
        <f t="shared" si="10"/>
        <v>0.24546678506975278</v>
      </c>
      <c r="L33" s="23">
        <f t="shared" si="10"/>
        <v>0.23798070120829679</v>
      </c>
      <c r="M33" s="23">
        <f t="shared" si="10"/>
        <v>0.22915163385218018</v>
      </c>
    </row>
    <row r="34" spans="2:13" x14ac:dyDescent="0.2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</row>
    <row r="35" spans="2:13" ht="15.75" thickBot="1" x14ac:dyDescent="0.3">
      <c r="B35" s="34" t="s">
        <v>77</v>
      </c>
      <c r="C35" s="35">
        <f>C31-C32</f>
        <v>29861</v>
      </c>
      <c r="D35" s="35">
        <f t="shared" ref="D35:L35" si="11">D31-D32</f>
        <v>29833</v>
      </c>
      <c r="E35" s="35">
        <f t="shared" si="11"/>
        <v>36080</v>
      </c>
      <c r="F35" s="35">
        <f t="shared" si="11"/>
        <v>39837</v>
      </c>
      <c r="G35" s="35">
        <f t="shared" si="11"/>
        <v>39880</v>
      </c>
      <c r="H35" s="35">
        <f t="shared" si="11"/>
        <v>53739</v>
      </c>
      <c r="I35" s="35">
        <f t="shared" si="11"/>
        <v>67845</v>
      </c>
      <c r="J35" s="35">
        <f t="shared" si="11"/>
        <v>74088</v>
      </c>
      <c r="K35" s="35">
        <f t="shared" si="11"/>
        <v>79020</v>
      </c>
      <c r="L35" s="35">
        <f t="shared" si="11"/>
        <v>80787</v>
      </c>
      <c r="M35" s="35">
        <f>M31-M32</f>
        <v>22434</v>
      </c>
    </row>
    <row r="36" spans="2:13" x14ac:dyDescent="0.25">
      <c r="B36" s="22" t="s">
        <v>78</v>
      </c>
      <c r="C36" s="23">
        <f>C35/C5</f>
        <v>0.10954828437576812</v>
      </c>
      <c r="D36" s="23">
        <f t="shared" ref="D36:M36" si="12">D35/D5</f>
        <v>9.8149720023424591E-2</v>
      </c>
      <c r="E36" s="23">
        <f t="shared" si="12"/>
        <v>9.2318005849195153E-2</v>
      </c>
      <c r="F36" s="23">
        <f t="shared" si="12"/>
        <v>7.0093975933293098E-2</v>
      </c>
      <c r="G36" s="23">
        <f t="shared" si="12"/>
        <v>6.6836607288005778E-2</v>
      </c>
      <c r="H36" s="23">
        <f t="shared" si="12"/>
        <v>0.11524382005845935</v>
      </c>
      <c r="I36" s="23">
        <f t="shared" si="12"/>
        <v>9.7664656608217104E-2</v>
      </c>
      <c r="J36" s="23">
        <f t="shared" si="12"/>
        <v>8.4537127052154507E-2</v>
      </c>
      <c r="K36" s="23">
        <f t="shared" si="12"/>
        <v>8.789365557299389E-2</v>
      </c>
      <c r="L36" s="23">
        <f t="shared" si="12"/>
        <v>8.3743740236531208E-2</v>
      </c>
      <c r="M36" s="23">
        <f t="shared" si="12"/>
        <v>8.5826434266301432E-2</v>
      </c>
    </row>
    <row r="37" spans="2:13" x14ac:dyDescent="0.25">
      <c r="B37" s="12"/>
      <c r="C37" s="21"/>
      <c r="D37" s="21"/>
      <c r="E37" s="21"/>
      <c r="F37" s="21"/>
      <c r="G37" s="21"/>
      <c r="H37" s="21"/>
      <c r="I37" s="21"/>
      <c r="J37" s="21"/>
      <c r="K37" s="21"/>
      <c r="L37" s="21"/>
    </row>
    <row r="38" spans="2:13" x14ac:dyDescent="0.25">
      <c r="B38" s="9" t="s">
        <v>39</v>
      </c>
      <c r="C38" s="36">
        <f>'Data Sheet'!B93</f>
        <v>1382.58</v>
      </c>
      <c r="D38" s="36">
        <f>'Data Sheet'!C93</f>
        <v>1387.22</v>
      </c>
      <c r="E38" s="36">
        <f>'Data Sheet'!D93</f>
        <v>1351.39</v>
      </c>
      <c r="F38" s="36">
        <f>'Data Sheet'!E93</f>
        <v>1352.26</v>
      </c>
      <c r="G38" s="36">
        <f>'Data Sheet'!F93</f>
        <v>1352.37</v>
      </c>
      <c r="H38" s="36">
        <f>'Data Sheet'!G93</f>
        <v>1267.8900000000001</v>
      </c>
      <c r="I38" s="36">
        <f>'Data Sheet'!H93</f>
        <v>1352.98</v>
      </c>
      <c r="J38" s="36">
        <f>'Data Sheet'!I93</f>
        <v>1353.12</v>
      </c>
      <c r="K38" s="36">
        <f>'Data Sheet'!J93</f>
        <v>1353.14</v>
      </c>
      <c r="L38" s="36">
        <f>'Data Sheet'!K93</f>
        <v>1353.24</v>
      </c>
      <c r="M38" s="36">
        <f>'Data Sheet'!L93</f>
        <v>0</v>
      </c>
    </row>
    <row r="39" spans="2:13" x14ac:dyDescent="0.25">
      <c r="B39" s="12" t="s">
        <v>79</v>
      </c>
      <c r="C39" s="18">
        <f>IFERROR(C35/C38,0)</f>
        <v>21.598026877287392</v>
      </c>
      <c r="D39" s="18">
        <f t="shared" ref="D39:M39" si="13">IFERROR(D35/D38,0)</f>
        <v>21.50560113031819</v>
      </c>
      <c r="E39" s="18">
        <f t="shared" si="13"/>
        <v>26.698436424718253</v>
      </c>
      <c r="F39" s="18">
        <f t="shared" si="13"/>
        <v>29.459571384201265</v>
      </c>
      <c r="G39" s="18">
        <f t="shared" si="13"/>
        <v>29.488971213499266</v>
      </c>
      <c r="H39" s="18">
        <f t="shared" si="13"/>
        <v>42.384591723256747</v>
      </c>
      <c r="I39" s="18">
        <f t="shared" si="13"/>
        <v>50.144865408210023</v>
      </c>
      <c r="J39" s="18">
        <f t="shared" si="13"/>
        <v>54.753458673288407</v>
      </c>
      <c r="K39" s="18">
        <f t="shared" si="13"/>
        <v>58.397505062299537</v>
      </c>
      <c r="L39" s="18">
        <f t="shared" si="13"/>
        <v>59.698944754810675</v>
      </c>
      <c r="M39" s="18">
        <f t="shared" si="13"/>
        <v>0</v>
      </c>
    </row>
    <row r="40" spans="2:13" x14ac:dyDescent="0.25">
      <c r="B40" s="22" t="s">
        <v>82</v>
      </c>
      <c r="C40" s="37"/>
      <c r="D40" s="23">
        <f>D39/C39-1</f>
        <v>-4.2793606793033456E-3</v>
      </c>
      <c r="E40" s="23">
        <f t="shared" ref="E40:M40" si="14">E39/D39-1</f>
        <v>0.241464317269388</v>
      </c>
      <c r="F40" s="23">
        <f t="shared" si="14"/>
        <v>0.10341935069001518</v>
      </c>
      <c r="G40" s="23">
        <f t="shared" si="14"/>
        <v>9.979720653290336E-4</v>
      </c>
      <c r="H40" s="23">
        <f t="shared" si="14"/>
        <v>0.43730316722118157</v>
      </c>
      <c r="I40" s="23">
        <f t="shared" si="14"/>
        <v>0.18309185884395718</v>
      </c>
      <c r="J40" s="23">
        <f t="shared" si="14"/>
        <v>9.1905586495478753E-2</v>
      </c>
      <c r="K40" s="23">
        <f t="shared" si="14"/>
        <v>6.6553720574165087E-2</v>
      </c>
      <c r="L40" s="23">
        <f t="shared" si="14"/>
        <v>2.2285878328581754E-2</v>
      </c>
      <c r="M40" s="23">
        <f t="shared" si="14"/>
        <v>-1</v>
      </c>
    </row>
    <row r="41" spans="2:13" x14ac:dyDescent="0.25">
      <c r="B41" s="12"/>
      <c r="C41" s="18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2:13" x14ac:dyDescent="0.25">
      <c r="B42" s="9" t="s">
        <v>35</v>
      </c>
      <c r="C42" s="13">
        <f>'Data Sheet'!B31</f>
        <v>3095.4</v>
      </c>
      <c r="D42" s="13">
        <f>'Data Sheet'!C31</f>
        <v>3254.9</v>
      </c>
      <c r="E42" s="13">
        <f>'Data Sheet'!D31</f>
        <v>3553.2</v>
      </c>
      <c r="F42" s="13">
        <f>'Data Sheet'!E31</f>
        <v>3851.9</v>
      </c>
      <c r="G42" s="13">
        <f>'Data Sheet'!F31</f>
        <v>4120.3500000000004</v>
      </c>
      <c r="H42" s="13">
        <f>'Data Sheet'!G31</f>
        <v>4511.5</v>
      </c>
      <c r="I42" s="13">
        <f>'Data Sheet'!H31</f>
        <v>5412</v>
      </c>
      <c r="J42" s="13">
        <f>'Data Sheet'!I31</f>
        <v>6089.4</v>
      </c>
      <c r="K42" s="13">
        <f>'Data Sheet'!J31</f>
        <v>6766</v>
      </c>
      <c r="L42" s="13">
        <f>'Data Sheet'!K31</f>
        <v>7442.6</v>
      </c>
      <c r="M42" s="13">
        <f>'Data Sheet'!L31</f>
        <v>0</v>
      </c>
    </row>
    <row r="43" spans="2:13" x14ac:dyDescent="0.25">
      <c r="B43" s="12" t="s">
        <v>80</v>
      </c>
      <c r="C43" s="19">
        <f>IFERROR(C42/C38,0)</f>
        <v>2.2388577876144602</v>
      </c>
      <c r="D43" s="19">
        <f t="shared" ref="D43:M43" si="15">IFERROR(D42/D38,0)</f>
        <v>2.346347371000995</v>
      </c>
      <c r="E43" s="19">
        <f t="shared" si="15"/>
        <v>2.6292928022258559</v>
      </c>
      <c r="F43" s="19">
        <f t="shared" si="15"/>
        <v>2.8484906748702175</v>
      </c>
      <c r="G43" s="19">
        <f t="shared" si="15"/>
        <v>3.0467623505401633</v>
      </c>
      <c r="H43" s="19">
        <f t="shared" si="15"/>
        <v>3.5582739827587564</v>
      </c>
      <c r="I43" s="19">
        <f t="shared" si="15"/>
        <v>4.0000591287380445</v>
      </c>
      <c r="J43" s="19">
        <f t="shared" si="15"/>
        <v>4.5002660517914155</v>
      </c>
      <c r="K43" s="19">
        <f t="shared" si="15"/>
        <v>5.0002217065492109</v>
      </c>
      <c r="L43" s="19">
        <f t="shared" si="15"/>
        <v>5.4998374272117294</v>
      </c>
      <c r="M43" s="19">
        <f t="shared" si="15"/>
        <v>0</v>
      </c>
    </row>
    <row r="44" spans="2:13" x14ac:dyDescent="0.25">
      <c r="B44" s="22" t="s">
        <v>81</v>
      </c>
      <c r="C44" s="23">
        <f>IFERROR(C43/C39,0)</f>
        <v>0.10366029268946117</v>
      </c>
      <c r="D44" s="23">
        <f t="shared" ref="D44:M44" si="16">IFERROR(D43/D39,0)</f>
        <v>0.10910401233533336</v>
      </c>
      <c r="E44" s="23">
        <f t="shared" si="16"/>
        <v>9.8481152993348101E-2</v>
      </c>
      <c r="F44" s="23">
        <f t="shared" si="16"/>
        <v>9.6691517935587515E-2</v>
      </c>
      <c r="G44" s="23">
        <f t="shared" si="16"/>
        <v>0.10331870611835507</v>
      </c>
      <c r="H44" s="23">
        <f t="shared" si="16"/>
        <v>8.3952064608571048E-2</v>
      </c>
      <c r="I44" s="23">
        <f t="shared" si="16"/>
        <v>7.9770064116736678E-2</v>
      </c>
      <c r="J44" s="23">
        <f t="shared" si="16"/>
        <v>8.2191448007774531E-2</v>
      </c>
      <c r="K44" s="23">
        <f t="shared" si="16"/>
        <v>8.5623892685396094E-2</v>
      </c>
      <c r="L44" s="23">
        <f t="shared" si="16"/>
        <v>9.2126208424622782E-2</v>
      </c>
      <c r="M44" s="23">
        <f t="shared" si="16"/>
        <v>0</v>
      </c>
    </row>
    <row r="46" spans="2:13" x14ac:dyDescent="0.25">
      <c r="B46" s="9" t="s">
        <v>83</v>
      </c>
      <c r="C46" s="17">
        <f>C39-C43</f>
        <v>19.359169089672932</v>
      </c>
      <c r="D46" s="17">
        <f t="shared" ref="D46:M46" si="17">D39-D43</f>
        <v>19.159253759317195</v>
      </c>
      <c r="E46" s="17">
        <f t="shared" si="17"/>
        <v>24.069143622492398</v>
      </c>
      <c r="F46" s="17">
        <f t="shared" si="17"/>
        <v>26.611080709331048</v>
      </c>
      <c r="G46" s="17">
        <f t="shared" si="17"/>
        <v>26.442208862959102</v>
      </c>
      <c r="H46" s="17">
        <f t="shared" si="17"/>
        <v>38.826317740497991</v>
      </c>
      <c r="I46" s="17">
        <f t="shared" si="17"/>
        <v>46.144806279471979</v>
      </c>
      <c r="J46" s="17">
        <f t="shared" si="17"/>
        <v>50.253192621496993</v>
      </c>
      <c r="K46" s="17">
        <f t="shared" si="17"/>
        <v>53.397283355750325</v>
      </c>
      <c r="L46" s="17">
        <f t="shared" si="17"/>
        <v>54.199107327598945</v>
      </c>
      <c r="M46" s="17">
        <f t="shared" si="17"/>
        <v>0</v>
      </c>
    </row>
    <row r="47" spans="2:13" x14ac:dyDescent="0.25">
      <c r="B47" s="22" t="s">
        <v>84</v>
      </c>
      <c r="C47" s="38">
        <f>IFERROR(C46/C39,0)</f>
        <v>0.8963397073105388</v>
      </c>
      <c r="D47" s="38">
        <f t="shared" ref="D47:M47" si="18">IFERROR(D46/D39,0)</f>
        <v>0.8908959876646666</v>
      </c>
      <c r="E47" s="38">
        <f t="shared" si="18"/>
        <v>0.90151884700665197</v>
      </c>
      <c r="F47" s="38">
        <f t="shared" si="18"/>
        <v>0.9033084820644125</v>
      </c>
      <c r="G47" s="38">
        <f t="shared" si="18"/>
        <v>0.89668129388164497</v>
      </c>
      <c r="H47" s="38">
        <f t="shared" si="18"/>
        <v>0.91604793539142892</v>
      </c>
      <c r="I47" s="38">
        <f t="shared" si="18"/>
        <v>0.92022993588326329</v>
      </c>
      <c r="J47" s="38">
        <f t="shared" si="18"/>
        <v>0.91780855199222555</v>
      </c>
      <c r="K47" s="38">
        <f t="shared" si="18"/>
        <v>0.91437610731460384</v>
      </c>
      <c r="L47" s="38">
        <f t="shared" si="18"/>
        <v>0.90787379157537718</v>
      </c>
      <c r="M47" s="38">
        <f t="shared" si="18"/>
        <v>0</v>
      </c>
    </row>
    <row r="49" spans="1:13" x14ac:dyDescent="0.25">
      <c r="A49" s="12" t="s">
        <v>57</v>
      </c>
      <c r="B49" s="40" t="s">
        <v>86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</row>
    <row r="50" spans="1:13" x14ac:dyDescent="0.25">
      <c r="B50" s="12" t="s">
        <v>87</v>
      </c>
    </row>
    <row r="51" spans="1:13" x14ac:dyDescent="0.25">
      <c r="B51" s="9" t="s">
        <v>11</v>
      </c>
      <c r="C51" s="13">
        <f>IFERROR('Data Sheet'!B57,0)</f>
        <v>2948</v>
      </c>
      <c r="D51" s="13">
        <f>IFERROR('Data Sheet'!C57,0)</f>
        <v>2959</v>
      </c>
      <c r="E51" s="13">
        <f>IFERROR('Data Sheet'!D57,0)</f>
        <v>5922</v>
      </c>
      <c r="F51" s="13">
        <f>IFERROR('Data Sheet'!E57,0)</f>
        <v>5926</v>
      </c>
      <c r="G51" s="13">
        <f>IFERROR('Data Sheet'!F57,0)</f>
        <v>6339</v>
      </c>
      <c r="H51" s="13">
        <f>IFERROR('Data Sheet'!G57,0)</f>
        <v>6445</v>
      </c>
      <c r="I51" s="13">
        <f>IFERROR('Data Sheet'!H57,0)</f>
        <v>6765</v>
      </c>
      <c r="J51" s="13">
        <f>IFERROR('Data Sheet'!I57,0)</f>
        <v>6766</v>
      </c>
      <c r="K51" s="13">
        <f>IFERROR('Data Sheet'!J57,0)</f>
        <v>6766</v>
      </c>
      <c r="L51" s="13">
        <f>IFERROR('Data Sheet'!K57,0)</f>
        <v>13532</v>
      </c>
    </row>
    <row r="52" spans="1:13" x14ac:dyDescent="0.25">
      <c r="B52" s="9" t="s">
        <v>12</v>
      </c>
      <c r="C52" s="13">
        <f>'Data Sheet'!B58</f>
        <v>228608</v>
      </c>
      <c r="D52" s="13">
        <f>'Data Sheet'!C58</f>
        <v>260750</v>
      </c>
      <c r="E52" s="13">
        <f>'Data Sheet'!D58</f>
        <v>287584</v>
      </c>
      <c r="F52" s="13">
        <f>'Data Sheet'!E58</f>
        <v>381186</v>
      </c>
      <c r="G52" s="13">
        <f>'Data Sheet'!F58</f>
        <v>442827</v>
      </c>
      <c r="H52" s="13">
        <f>'Data Sheet'!G58</f>
        <v>693727</v>
      </c>
      <c r="I52" s="13">
        <f>'Data Sheet'!H58</f>
        <v>772720</v>
      </c>
      <c r="J52" s="13">
        <f>'Data Sheet'!I58</f>
        <v>709106</v>
      </c>
      <c r="K52" s="13">
        <f>'Data Sheet'!J58</f>
        <v>786715</v>
      </c>
      <c r="L52" s="13">
        <f>'Data Sheet'!K58</f>
        <v>829668</v>
      </c>
    </row>
    <row r="53" spans="1:13" x14ac:dyDescent="0.25">
      <c r="B53" s="9" t="s">
        <v>127</v>
      </c>
      <c r="C53" s="13">
        <f>'Data Sheet'!B59</f>
        <v>194714</v>
      </c>
      <c r="D53" s="13">
        <f>'Data Sheet'!C59</f>
        <v>217475</v>
      </c>
      <c r="E53" s="13">
        <f>'Data Sheet'!D59</f>
        <v>239843</v>
      </c>
      <c r="F53" s="13">
        <f>'Data Sheet'!E59</f>
        <v>307714</v>
      </c>
      <c r="G53" s="13">
        <f>'Data Sheet'!F59</f>
        <v>355133</v>
      </c>
      <c r="H53" s="13">
        <f>'Data Sheet'!G59</f>
        <v>278962</v>
      </c>
      <c r="I53" s="13">
        <f>'Data Sheet'!H59</f>
        <v>319158</v>
      </c>
      <c r="J53" s="13">
        <f>'Data Sheet'!I59</f>
        <v>451664</v>
      </c>
      <c r="K53" s="13">
        <f>'Data Sheet'!J59</f>
        <v>458991</v>
      </c>
      <c r="L53" s="13">
        <f>'Data Sheet'!K59</f>
        <v>369575</v>
      </c>
    </row>
    <row r="54" spans="1:13" x14ac:dyDescent="0.25">
      <c r="B54" s="9" t="s">
        <v>37</v>
      </c>
      <c r="C54" s="13">
        <f>'Data Sheet'!B60</f>
        <v>172727</v>
      </c>
      <c r="D54" s="13">
        <f>'Data Sheet'!C60</f>
        <v>225618</v>
      </c>
      <c r="E54" s="13">
        <f>'Data Sheet'!D60</f>
        <v>277924</v>
      </c>
      <c r="F54" s="13">
        <f>'Data Sheet'!E60</f>
        <v>302804</v>
      </c>
      <c r="G54" s="13">
        <f>'Data Sheet'!F60</f>
        <v>358716</v>
      </c>
      <c r="H54" s="13">
        <f>'Data Sheet'!G60</f>
        <v>340931</v>
      </c>
      <c r="I54" s="13">
        <f>'Data Sheet'!H60</f>
        <v>399979</v>
      </c>
      <c r="J54" s="13">
        <f>'Data Sheet'!I60</f>
        <v>438346</v>
      </c>
      <c r="K54" s="13">
        <f>'Data Sheet'!J60</f>
        <v>502576</v>
      </c>
      <c r="L54" s="13">
        <f>'Data Sheet'!K60</f>
        <v>737346</v>
      </c>
    </row>
    <row r="55" spans="1:13" ht="15.75" thickBot="1" x14ac:dyDescent="0.3">
      <c r="B55" s="34" t="s">
        <v>88</v>
      </c>
      <c r="C55" s="42">
        <f>SUM(C51:C54)</f>
        <v>598997</v>
      </c>
      <c r="D55" s="42">
        <f t="shared" ref="D55:L55" si="19">SUM(D51:D54)</f>
        <v>706802</v>
      </c>
      <c r="E55" s="42">
        <f t="shared" si="19"/>
        <v>811273</v>
      </c>
      <c r="F55" s="42">
        <f t="shared" si="19"/>
        <v>997630</v>
      </c>
      <c r="G55" s="42">
        <f t="shared" si="19"/>
        <v>1163015</v>
      </c>
      <c r="H55" s="42">
        <f t="shared" si="19"/>
        <v>1320065</v>
      </c>
      <c r="I55" s="42">
        <f t="shared" si="19"/>
        <v>1498622</v>
      </c>
      <c r="J55" s="42">
        <f t="shared" si="19"/>
        <v>1605882</v>
      </c>
      <c r="K55" s="42">
        <f t="shared" si="19"/>
        <v>1755048</v>
      </c>
      <c r="L55" s="42">
        <f t="shared" si="19"/>
        <v>1950121</v>
      </c>
    </row>
    <row r="57" spans="1:13" x14ac:dyDescent="0.25">
      <c r="B57" s="12" t="s">
        <v>89</v>
      </c>
    </row>
    <row r="58" spans="1:13" x14ac:dyDescent="0.25">
      <c r="B58" s="9" t="s">
        <v>91</v>
      </c>
      <c r="C58" s="13">
        <f>'Data Sheet'!B62</f>
        <v>184910</v>
      </c>
      <c r="D58" s="13">
        <f>'Data Sheet'!C62</f>
        <v>198526</v>
      </c>
      <c r="E58" s="13">
        <f>'Data Sheet'!D62</f>
        <v>403885</v>
      </c>
      <c r="F58" s="13">
        <f>'Data Sheet'!E62</f>
        <v>398374</v>
      </c>
      <c r="G58" s="13">
        <f>'Data Sheet'!F62</f>
        <v>532658</v>
      </c>
      <c r="H58" s="13">
        <f>'Data Sheet'!G62</f>
        <v>541258</v>
      </c>
      <c r="I58" s="13">
        <f>'Data Sheet'!H62</f>
        <v>627798</v>
      </c>
      <c r="J58" s="13">
        <f>'Data Sheet'!I62</f>
        <v>724805</v>
      </c>
      <c r="K58" s="13">
        <f>'Data Sheet'!J62</f>
        <v>779985</v>
      </c>
      <c r="L58" s="13">
        <f>'Data Sheet'!K62</f>
        <v>1092041</v>
      </c>
    </row>
    <row r="59" spans="1:13" x14ac:dyDescent="0.25">
      <c r="B59" s="9" t="s">
        <v>15</v>
      </c>
      <c r="C59" s="13">
        <f>'Data Sheet'!B63</f>
        <v>228697</v>
      </c>
      <c r="D59" s="13">
        <f>'Data Sheet'!C63</f>
        <v>324837</v>
      </c>
      <c r="E59" s="13">
        <f>'Data Sheet'!D63</f>
        <v>187022</v>
      </c>
      <c r="F59" s="13">
        <f>'Data Sheet'!E63</f>
        <v>179463</v>
      </c>
      <c r="G59" s="13">
        <f>'Data Sheet'!F63</f>
        <v>109106</v>
      </c>
      <c r="H59" s="13">
        <f>'Data Sheet'!G63</f>
        <v>125953</v>
      </c>
      <c r="I59" s="13">
        <f>'Data Sheet'!H63</f>
        <v>172506</v>
      </c>
      <c r="J59" s="13">
        <f>'Data Sheet'!I63</f>
        <v>293752</v>
      </c>
      <c r="K59" s="13">
        <f>'Data Sheet'!J63</f>
        <v>338855</v>
      </c>
      <c r="L59" s="13">
        <f>'Data Sheet'!K63</f>
        <v>169710</v>
      </c>
    </row>
    <row r="60" spans="1:13" x14ac:dyDescent="0.25">
      <c r="B60" s="9" t="s">
        <v>16</v>
      </c>
      <c r="C60" s="13">
        <f>'Data Sheet'!B64</f>
        <v>84015</v>
      </c>
      <c r="D60" s="13">
        <f>'Data Sheet'!C64</f>
        <v>82899</v>
      </c>
      <c r="E60" s="13">
        <f>'Data Sheet'!D64</f>
        <v>82862</v>
      </c>
      <c r="F60" s="13">
        <f>'Data Sheet'!E64</f>
        <v>235635</v>
      </c>
      <c r="G60" s="13">
        <f>'Data Sheet'!F64</f>
        <v>276767</v>
      </c>
      <c r="H60" s="13">
        <f>'Data Sheet'!G64</f>
        <v>364828</v>
      </c>
      <c r="I60" s="13">
        <f>'Data Sheet'!H64</f>
        <v>394264</v>
      </c>
      <c r="J60" s="13">
        <f>'Data Sheet'!I64</f>
        <v>235560</v>
      </c>
      <c r="K60" s="13">
        <f>'Data Sheet'!J64</f>
        <v>225672</v>
      </c>
      <c r="L60" s="13">
        <f>'Data Sheet'!K64</f>
        <v>242381</v>
      </c>
    </row>
    <row r="61" spans="1:13" x14ac:dyDescent="0.25">
      <c r="B61" s="9" t="s">
        <v>38</v>
      </c>
      <c r="C61" s="13">
        <f>'Data Sheet'!B65-SUM('Data Sheet'!B67:B69)</f>
        <v>39396</v>
      </c>
      <c r="D61" s="13">
        <f>'Data Sheet'!C65-SUM('Data Sheet'!C67:C69)</f>
        <v>40389</v>
      </c>
      <c r="E61" s="13">
        <f>'Data Sheet'!D65-SUM('Data Sheet'!D67:D69)</f>
        <v>54857</v>
      </c>
      <c r="F61" s="13">
        <f>'Data Sheet'!E65-SUM('Data Sheet'!E67:E69)</f>
        <v>75427</v>
      </c>
      <c r="G61" s="13">
        <f>'Data Sheet'!F65-SUM('Data Sheet'!F67:F69)</f>
        <v>120005</v>
      </c>
      <c r="H61" s="13">
        <f>'Data Sheet'!G65-SUM('Data Sheet'!G67:G69)</f>
        <v>169943</v>
      </c>
      <c r="I61" s="13">
        <f>'Data Sheet'!H65-SUM('Data Sheet'!H67:H69)</f>
        <v>136458</v>
      </c>
      <c r="J61" s="13">
        <f>'Data Sheet'!I65-SUM('Data Sheet'!I67:I69)</f>
        <v>114645</v>
      </c>
      <c r="K61" s="13">
        <f>'Data Sheet'!J65-SUM('Data Sheet'!J67:J69)</f>
        <v>128913</v>
      </c>
      <c r="L61" s="13">
        <f>'Data Sheet'!K65-SUM('Data Sheet'!K67:K69)</f>
        <v>151304</v>
      </c>
    </row>
    <row r="62" spans="1:13" x14ac:dyDescent="0.25">
      <c r="B62" s="12" t="s">
        <v>90</v>
      </c>
      <c r="C62" s="19">
        <f>SUM(C58:C61)</f>
        <v>537018</v>
      </c>
      <c r="D62" s="19">
        <f t="shared" ref="D62:L62" si="20">SUM(D58:D61)</f>
        <v>646651</v>
      </c>
      <c r="E62" s="19">
        <f t="shared" si="20"/>
        <v>728626</v>
      </c>
      <c r="F62" s="19">
        <f t="shared" si="20"/>
        <v>888899</v>
      </c>
      <c r="G62" s="19">
        <f t="shared" si="20"/>
        <v>1038536</v>
      </c>
      <c r="H62" s="19">
        <f t="shared" si="20"/>
        <v>1201982</v>
      </c>
      <c r="I62" s="19">
        <f t="shared" si="20"/>
        <v>1331026</v>
      </c>
      <c r="J62" s="19">
        <f t="shared" si="20"/>
        <v>1368762</v>
      </c>
      <c r="K62" s="19">
        <f t="shared" si="20"/>
        <v>1473425</v>
      </c>
      <c r="L62" s="19">
        <f t="shared" si="20"/>
        <v>1655436</v>
      </c>
    </row>
    <row r="64" spans="1:13" x14ac:dyDescent="0.25">
      <c r="B64" s="12" t="s">
        <v>92</v>
      </c>
    </row>
    <row r="65" spans="1:14" x14ac:dyDescent="0.25">
      <c r="B65" s="41" t="s">
        <v>43</v>
      </c>
      <c r="C65" s="13">
        <f>'Data Sheet'!B67</f>
        <v>4465</v>
      </c>
      <c r="D65" s="13">
        <f>'Data Sheet'!C67</f>
        <v>8177</v>
      </c>
      <c r="E65" s="13">
        <f>'Data Sheet'!D67</f>
        <v>17555</v>
      </c>
      <c r="F65" s="13">
        <f>'Data Sheet'!E67</f>
        <v>30089</v>
      </c>
      <c r="G65" s="13">
        <f>'Data Sheet'!F67</f>
        <v>19656</v>
      </c>
      <c r="H65" s="13">
        <f>'Data Sheet'!G67</f>
        <v>19014</v>
      </c>
      <c r="I65" s="13">
        <f>'Data Sheet'!H67</f>
        <v>23640</v>
      </c>
      <c r="J65" s="13">
        <f>'Data Sheet'!I67</f>
        <v>28448</v>
      </c>
      <c r="K65" s="13">
        <f>'Data Sheet'!J67</f>
        <v>31628</v>
      </c>
      <c r="L65" s="13">
        <f>'Data Sheet'!K67</f>
        <v>42121</v>
      </c>
    </row>
    <row r="66" spans="1:14" x14ac:dyDescent="0.25">
      <c r="B66" s="41" t="s">
        <v>30</v>
      </c>
      <c r="C66" s="13">
        <f>'Data Sheet'!B68</f>
        <v>46486</v>
      </c>
      <c r="D66" s="13">
        <f>'Data Sheet'!C68</f>
        <v>48951</v>
      </c>
      <c r="E66" s="13">
        <f>'Data Sheet'!D68</f>
        <v>60837</v>
      </c>
      <c r="F66" s="13">
        <f>'Data Sheet'!E68</f>
        <v>67561</v>
      </c>
      <c r="G66" s="13">
        <f>'Data Sheet'!F68</f>
        <v>73903</v>
      </c>
      <c r="H66" s="13">
        <f>'Data Sheet'!G68</f>
        <v>81672</v>
      </c>
      <c r="I66" s="13">
        <f>'Data Sheet'!H68</f>
        <v>107778</v>
      </c>
      <c r="J66" s="13">
        <f>'Data Sheet'!I68</f>
        <v>140008</v>
      </c>
      <c r="K66" s="13">
        <f>'Data Sheet'!J68</f>
        <v>152770</v>
      </c>
      <c r="L66" s="13">
        <f>'Data Sheet'!K68</f>
        <v>146062</v>
      </c>
    </row>
    <row r="67" spans="1:14" x14ac:dyDescent="0.25">
      <c r="B67" s="41" t="s">
        <v>51</v>
      </c>
      <c r="C67" s="13">
        <f>'Data Sheet'!B69</f>
        <v>11028</v>
      </c>
      <c r="D67" s="13">
        <f>'Data Sheet'!C69</f>
        <v>3023</v>
      </c>
      <c r="E67" s="13">
        <f>'Data Sheet'!D69</f>
        <v>4255</v>
      </c>
      <c r="F67" s="13">
        <f>'Data Sheet'!E69</f>
        <v>11081</v>
      </c>
      <c r="G67" s="13">
        <f>'Data Sheet'!F69</f>
        <v>30920</v>
      </c>
      <c r="H67" s="13">
        <f>'Data Sheet'!G69</f>
        <v>17397</v>
      </c>
      <c r="I67" s="13">
        <f>'Data Sheet'!H69</f>
        <v>36178</v>
      </c>
      <c r="J67" s="13">
        <f>'Data Sheet'!I69</f>
        <v>68664</v>
      </c>
      <c r="K67" s="13">
        <f>'Data Sheet'!J69</f>
        <v>97225</v>
      </c>
      <c r="L67" s="13">
        <f>'Data Sheet'!K69</f>
        <v>106502</v>
      </c>
    </row>
    <row r="68" spans="1:14" x14ac:dyDescent="0.25">
      <c r="B68" s="12" t="s">
        <v>93</v>
      </c>
      <c r="C68" s="19">
        <f>SUM(C65:C67)</f>
        <v>61979</v>
      </c>
      <c r="D68" s="19">
        <f t="shared" ref="D68:L68" si="21">SUM(D65:D67)</f>
        <v>60151</v>
      </c>
      <c r="E68" s="19">
        <f t="shared" si="21"/>
        <v>82647</v>
      </c>
      <c r="F68" s="19">
        <f t="shared" si="21"/>
        <v>108731</v>
      </c>
      <c r="G68" s="19">
        <f t="shared" si="21"/>
        <v>124479</v>
      </c>
      <c r="H68" s="19">
        <f t="shared" si="21"/>
        <v>118083</v>
      </c>
      <c r="I68" s="19">
        <f t="shared" si="21"/>
        <v>167596</v>
      </c>
      <c r="J68" s="19">
        <f t="shared" si="21"/>
        <v>237120</v>
      </c>
      <c r="K68" s="19">
        <f t="shared" si="21"/>
        <v>281623</v>
      </c>
      <c r="L68" s="19">
        <f t="shared" si="21"/>
        <v>294685</v>
      </c>
    </row>
    <row r="70" spans="1:14" ht="15.75" thickBot="1" x14ac:dyDescent="0.3">
      <c r="B70" s="34" t="s">
        <v>94</v>
      </c>
      <c r="C70" s="42">
        <f>C62+C68</f>
        <v>598997</v>
      </c>
      <c r="D70" s="42">
        <f t="shared" ref="D70:L70" si="22">D62+D68</f>
        <v>706802</v>
      </c>
      <c r="E70" s="42">
        <f t="shared" si="22"/>
        <v>811273</v>
      </c>
      <c r="F70" s="42">
        <f t="shared" si="22"/>
        <v>997630</v>
      </c>
      <c r="G70" s="42">
        <f t="shared" si="22"/>
        <v>1163015</v>
      </c>
      <c r="H70" s="42">
        <f t="shared" si="22"/>
        <v>1320065</v>
      </c>
      <c r="I70" s="42">
        <f t="shared" si="22"/>
        <v>1498622</v>
      </c>
      <c r="J70" s="42">
        <f t="shared" si="22"/>
        <v>1605882</v>
      </c>
      <c r="K70" s="42">
        <f t="shared" si="22"/>
        <v>1755048</v>
      </c>
      <c r="L70" s="42">
        <f t="shared" si="22"/>
        <v>1950121</v>
      </c>
    </row>
    <row r="72" spans="1:14" x14ac:dyDescent="0.25">
      <c r="B72" s="12" t="s">
        <v>95</v>
      </c>
      <c r="C72" s="12" t="b">
        <f>C70=C55</f>
        <v>1</v>
      </c>
      <c r="D72" s="12" t="b">
        <f t="shared" ref="D72:L72" si="23">D70=D55</f>
        <v>1</v>
      </c>
      <c r="E72" s="12" t="b">
        <f t="shared" si="23"/>
        <v>1</v>
      </c>
      <c r="F72" s="12" t="b">
        <f t="shared" si="23"/>
        <v>1</v>
      </c>
      <c r="G72" s="12" t="b">
        <f t="shared" si="23"/>
        <v>1</v>
      </c>
      <c r="H72" s="12" t="b">
        <f t="shared" si="23"/>
        <v>1</v>
      </c>
      <c r="I72" s="12" t="b">
        <f t="shared" si="23"/>
        <v>1</v>
      </c>
      <c r="J72" s="12" t="b">
        <f t="shared" si="23"/>
        <v>1</v>
      </c>
      <c r="K72" s="12" t="b">
        <f t="shared" si="23"/>
        <v>1</v>
      </c>
      <c r="L72" s="12" t="b">
        <f t="shared" si="23"/>
        <v>1</v>
      </c>
    </row>
    <row r="74" spans="1:14" x14ac:dyDescent="0.25">
      <c r="A74" s="12" t="s">
        <v>57</v>
      </c>
      <c r="B74" s="40" t="s">
        <v>115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</row>
    <row r="75" spans="1:14" x14ac:dyDescent="0.25">
      <c r="B75" s="12" t="s">
        <v>120</v>
      </c>
    </row>
    <row r="76" spans="1:14" x14ac:dyDescent="0.25">
      <c r="B76" s="12" t="s">
        <v>119</v>
      </c>
      <c r="C76" s="19">
        <f>'Data CFS'!J5</f>
        <v>38887</v>
      </c>
      <c r="D76" s="19">
        <f>'Data CFS'!K5</f>
        <v>44170</v>
      </c>
      <c r="E76" s="19">
        <f>'Data CFS'!L5</f>
        <v>62765</v>
      </c>
      <c r="F76" s="19">
        <f>'Data CFS'!M5</f>
        <v>83319</v>
      </c>
      <c r="G76" s="19">
        <f>'Data CFS'!N5</f>
        <v>85347</v>
      </c>
      <c r="H76" s="19">
        <f>'Data CFS'!O5</f>
        <v>80129</v>
      </c>
      <c r="I76" s="19">
        <f>'Data CFS'!P5</f>
        <v>113726</v>
      </c>
      <c r="J76" s="19">
        <f>'Data CFS'!Q5</f>
        <v>140963</v>
      </c>
      <c r="K76" s="19">
        <f>'Data CFS'!R5</f>
        <v>164383</v>
      </c>
      <c r="L76" s="19">
        <f>'Data CFS'!S5</f>
        <v>166904</v>
      </c>
    </row>
    <row r="77" spans="1:14" x14ac:dyDescent="0.25">
      <c r="B77" s="9" t="str">
        <f>'Data CFS'!G6</f>
        <v>Receivables</v>
      </c>
      <c r="C77" s="56">
        <f>'Data CFS'!J6</f>
        <v>-6880</v>
      </c>
      <c r="D77" s="56">
        <f>'Data CFS'!K6</f>
        <v>-8511</v>
      </c>
      <c r="E77" s="56">
        <f>'Data CFS'!L6</f>
        <v>-21991</v>
      </c>
      <c r="F77" s="56">
        <f>'Data CFS'!M6</f>
        <v>-40136</v>
      </c>
      <c r="G77" s="56">
        <f>'Data CFS'!N6</f>
        <v>-13792</v>
      </c>
      <c r="H77" s="56">
        <f>'Data CFS'!O6</f>
        <v>959</v>
      </c>
      <c r="I77" s="56">
        <f>'Data CFS'!P6</f>
        <v>-14180</v>
      </c>
      <c r="J77" s="56">
        <f>'Data CFS'!Q6</f>
        <v>13194</v>
      </c>
      <c r="K77" s="56">
        <f>'Data CFS'!R6</f>
        <v>-15674</v>
      </c>
      <c r="L77" s="56">
        <f>'Data CFS'!S6</f>
        <v>-17837</v>
      </c>
    </row>
    <row r="78" spans="1:14" x14ac:dyDescent="0.25">
      <c r="B78" s="9" t="str">
        <f>'Data CFS'!G7</f>
        <v>Inventory</v>
      </c>
      <c r="C78" s="56">
        <f>'Data CFS'!J7</f>
        <v>6758</v>
      </c>
      <c r="D78" s="56">
        <f>'Data CFS'!K7</f>
        <v>-6899</v>
      </c>
      <c r="E78" s="56">
        <f>'Data CFS'!L7</f>
        <v>-10474</v>
      </c>
      <c r="F78" s="56">
        <f>'Data CFS'!M7</f>
        <v>-6724</v>
      </c>
      <c r="G78" s="56">
        <f>'Data CFS'!N7</f>
        <v>-6342</v>
      </c>
      <c r="H78" s="56">
        <f>'Data CFS'!O7</f>
        <v>-7769</v>
      </c>
      <c r="I78" s="56">
        <f>'Data CFS'!P7</f>
        <v>-24983</v>
      </c>
      <c r="J78" s="56">
        <f>'Data CFS'!Q7</f>
        <v>-32228</v>
      </c>
      <c r="K78" s="56">
        <f>'Data CFS'!R7</f>
        <v>-12756</v>
      </c>
      <c r="L78" s="56">
        <f>'Data CFS'!S7</f>
        <v>3134</v>
      </c>
    </row>
    <row r="79" spans="1:14" x14ac:dyDescent="0.25">
      <c r="B79" s="9" t="str">
        <f>'Data CFS'!G8</f>
        <v>Payables</v>
      </c>
      <c r="C79" s="56">
        <f>'Data CFS'!J8</f>
        <v>7951</v>
      </c>
      <c r="D79" s="56">
        <f>'Data CFS'!K8</f>
        <v>30873</v>
      </c>
      <c r="E79" s="56">
        <f>'Data CFS'!L8</f>
        <v>51003</v>
      </c>
      <c r="F79" s="56">
        <f>'Data CFS'!M8</f>
        <v>18078</v>
      </c>
      <c r="G79" s="56">
        <f>'Data CFS'!N8</f>
        <v>38050</v>
      </c>
      <c r="H79" s="56">
        <f>'Data CFS'!O8</f>
        <v>-43148</v>
      </c>
      <c r="I79" s="56">
        <f>'Data CFS'!P8</f>
        <v>39888</v>
      </c>
      <c r="J79" s="56">
        <f>'Data CFS'!Q8</f>
        <v>-600</v>
      </c>
      <c r="K79" s="56">
        <f>'Data CFS'!R8</f>
        <v>34796</v>
      </c>
      <c r="L79" s="56">
        <f>'Data CFS'!S8</f>
        <v>38427</v>
      </c>
      <c r="N79" s="56"/>
    </row>
    <row r="80" spans="1:14" ht="15.75" thickBot="1" x14ac:dyDescent="0.3">
      <c r="B80" s="34" t="str">
        <f>'Data CFS'!G9</f>
        <v>Working capital changes</v>
      </c>
      <c r="C80" s="58">
        <f>'Data CFS'!J9</f>
        <v>7829</v>
      </c>
      <c r="D80" s="58">
        <f>'Data CFS'!K9</f>
        <v>15463</v>
      </c>
      <c r="E80" s="58">
        <f>'Data CFS'!L9</f>
        <v>18538</v>
      </c>
      <c r="F80" s="58">
        <f>'Data CFS'!M9</f>
        <v>-28782</v>
      </c>
      <c r="G80" s="58">
        <f>'Data CFS'!N9</f>
        <v>17916</v>
      </c>
      <c r="H80" s="58">
        <f>'Data CFS'!O9</f>
        <v>-49958</v>
      </c>
      <c r="I80" s="58">
        <f>'Data CFS'!P9</f>
        <v>725</v>
      </c>
      <c r="J80" s="58">
        <f>'Data CFS'!Q9</f>
        <v>-19634</v>
      </c>
      <c r="K80" s="58">
        <f>'Data CFS'!R9</f>
        <v>6366</v>
      </c>
      <c r="L80" s="58">
        <f>'Data CFS'!S9</f>
        <v>23724</v>
      </c>
      <c r="N80" s="13"/>
    </row>
    <row r="81" spans="2:14" x14ac:dyDescent="0.25">
      <c r="B81" s="9" t="str">
        <f>'Data CFS'!G10</f>
        <v>Direct taxes</v>
      </c>
      <c r="C81" s="56">
        <f>'Data CFS'!J10</f>
        <v>-8582</v>
      </c>
      <c r="D81" s="56">
        <f>'Data CFS'!K10</f>
        <v>-10083</v>
      </c>
      <c r="E81" s="56">
        <f>'Data CFS'!L10</f>
        <v>-9844</v>
      </c>
      <c r="F81" s="56">
        <f>'Data CFS'!M10</f>
        <v>-12191</v>
      </c>
      <c r="G81" s="56">
        <f>'Data CFS'!N10</f>
        <v>-8386</v>
      </c>
      <c r="H81" s="56">
        <f>'Data CFS'!O10</f>
        <v>-3213</v>
      </c>
      <c r="I81" s="56">
        <f>'Data CFS'!P10</f>
        <v>-3797</v>
      </c>
      <c r="J81" s="56">
        <f>'Data CFS'!Q10</f>
        <v>-6297</v>
      </c>
      <c r="K81" s="56">
        <f>'Data CFS'!R10</f>
        <v>-11961</v>
      </c>
      <c r="L81" s="56">
        <f>'Data CFS'!S10</f>
        <v>-11925</v>
      </c>
      <c r="N81" s="13"/>
    </row>
    <row r="82" spans="2:14" ht="15.75" thickBot="1" x14ac:dyDescent="0.3">
      <c r="B82" s="34" t="s">
        <v>120</v>
      </c>
      <c r="C82" s="58">
        <f>C76+C80+C81</f>
        <v>38134</v>
      </c>
      <c r="D82" s="58">
        <f t="shared" ref="D82:L82" si="24">D76+D80+D81</f>
        <v>49550</v>
      </c>
      <c r="E82" s="58">
        <f t="shared" si="24"/>
        <v>71459</v>
      </c>
      <c r="F82" s="58">
        <f t="shared" si="24"/>
        <v>42346</v>
      </c>
      <c r="G82" s="58">
        <f t="shared" si="24"/>
        <v>94877</v>
      </c>
      <c r="H82" s="58">
        <f t="shared" si="24"/>
        <v>26958</v>
      </c>
      <c r="I82" s="58">
        <f t="shared" si="24"/>
        <v>110654</v>
      </c>
      <c r="J82" s="58">
        <f t="shared" si="24"/>
        <v>115032</v>
      </c>
      <c r="K82" s="58">
        <f t="shared" si="24"/>
        <v>158788</v>
      </c>
      <c r="L82" s="58">
        <f t="shared" si="24"/>
        <v>178703</v>
      </c>
      <c r="N82" s="13"/>
    </row>
    <row r="83" spans="2:14" x14ac:dyDescent="0.25">
      <c r="N83" s="13"/>
    </row>
    <row r="84" spans="2:14" x14ac:dyDescent="0.25">
      <c r="B84" s="12" t="s">
        <v>121</v>
      </c>
      <c r="N84" s="13"/>
    </row>
    <row r="85" spans="2:14" x14ac:dyDescent="0.25">
      <c r="B85" s="9" t="str">
        <f>'Data CFS'!G12</f>
        <v>Fixed assets purchased</v>
      </c>
      <c r="C85" s="56">
        <f>'Data CFS'!J12</f>
        <v>-46898</v>
      </c>
      <c r="D85" s="56">
        <f>'Data CFS'!K12</f>
        <v>-78109</v>
      </c>
      <c r="E85" s="56">
        <f>'Data CFS'!L12</f>
        <v>-73953</v>
      </c>
      <c r="F85" s="56">
        <f>'Data CFS'!M12</f>
        <v>-93626</v>
      </c>
      <c r="G85" s="56">
        <f>'Data CFS'!N12</f>
        <v>-76517</v>
      </c>
      <c r="H85" s="56">
        <f>'Data CFS'!O12</f>
        <v>-105837</v>
      </c>
      <c r="I85" s="56">
        <f>'Data CFS'!P12</f>
        <v>-100145</v>
      </c>
      <c r="J85" s="56">
        <f>'Data CFS'!Q12</f>
        <v>-140988</v>
      </c>
      <c r="K85" s="56">
        <f>'Data CFS'!R12</f>
        <v>-152883</v>
      </c>
      <c r="L85" s="56">
        <f>'Data CFS'!S12</f>
        <v>-139967</v>
      </c>
      <c r="N85" s="13"/>
    </row>
    <row r="86" spans="2:14" x14ac:dyDescent="0.25">
      <c r="B86" s="9" t="str">
        <f>'Data CFS'!G13</f>
        <v>Fixed assets sold</v>
      </c>
      <c r="C86" s="56">
        <f>'Data CFS'!J13</f>
        <v>344</v>
      </c>
      <c r="D86" s="56">
        <f>'Data CFS'!K13</f>
        <v>1482</v>
      </c>
      <c r="E86" s="56">
        <f>'Data CFS'!L13</f>
        <v>999</v>
      </c>
      <c r="F86" s="56">
        <f>'Data CFS'!M13</f>
        <v>849</v>
      </c>
      <c r="G86" s="56">
        <f>'Data CFS'!N13</f>
        <v>964</v>
      </c>
      <c r="H86" s="56">
        <f>'Data CFS'!O13</f>
        <v>2319</v>
      </c>
      <c r="I86" s="56">
        <f>'Data CFS'!P13</f>
        <v>3137</v>
      </c>
      <c r="J86" s="56">
        <f>'Data CFS'!Q13</f>
        <v>9186</v>
      </c>
      <c r="K86" s="56">
        <f>'Data CFS'!R13</f>
        <v>15307</v>
      </c>
      <c r="L86" s="56">
        <f>'Data CFS'!S13</f>
        <v>2343</v>
      </c>
    </row>
    <row r="87" spans="2:14" x14ac:dyDescent="0.25">
      <c r="B87" s="9" t="str">
        <f>'Data CFS'!G14</f>
        <v>Investments purchased</v>
      </c>
      <c r="C87" s="56">
        <f>'Data CFS'!J14</f>
        <v>-715334</v>
      </c>
      <c r="D87" s="56">
        <f>'Data CFS'!K14</f>
        <v>-654760</v>
      </c>
      <c r="E87" s="56">
        <f>'Data CFS'!L14</f>
        <v>-533984</v>
      </c>
      <c r="F87" s="56">
        <f>'Data CFS'!M14</f>
        <v>-1107439</v>
      </c>
      <c r="G87" s="56">
        <f>'Data CFS'!N14</f>
        <v>-1156843</v>
      </c>
      <c r="H87" s="56">
        <f>'Data CFS'!O14</f>
        <v>-689866</v>
      </c>
      <c r="I87" s="56">
        <f>'Data CFS'!P14</f>
        <v>-667878</v>
      </c>
      <c r="J87" s="56">
        <f>'Data CFS'!Q14</f>
        <v>-471822</v>
      </c>
      <c r="K87" s="56">
        <f>'Data CFS'!R14</f>
        <v>-514380</v>
      </c>
      <c r="L87" s="56">
        <f>'Data CFS'!S14</f>
        <v>-684340</v>
      </c>
    </row>
    <row r="88" spans="2:14" x14ac:dyDescent="0.25">
      <c r="B88" s="9" t="str">
        <f>'Data CFS'!G15</f>
        <v>Investments sold</v>
      </c>
      <c r="C88" s="56">
        <f>'Data CFS'!J15</f>
        <v>721182</v>
      </c>
      <c r="D88" s="56">
        <f>'Data CFS'!K15</f>
        <v>663990</v>
      </c>
      <c r="E88" s="56">
        <f>'Data CFS'!L15</f>
        <v>537504</v>
      </c>
      <c r="F88" s="56">
        <f>'Data CFS'!M15</f>
        <v>1103615</v>
      </c>
      <c r="G88" s="56">
        <f>'Data CFS'!N15</f>
        <v>1174796</v>
      </c>
      <c r="H88" s="56">
        <f>'Data CFS'!O15</f>
        <v>642551</v>
      </c>
      <c r="I88" s="56">
        <f>'Data CFS'!P15</f>
        <v>668137</v>
      </c>
      <c r="J88" s="56">
        <f>'Data CFS'!Q15</f>
        <v>501266</v>
      </c>
      <c r="K88" s="56">
        <f>'Data CFS'!R15</f>
        <v>531355</v>
      </c>
      <c r="L88" s="56">
        <f>'Data CFS'!S15</f>
        <v>672558</v>
      </c>
    </row>
    <row r="89" spans="2:14" x14ac:dyDescent="0.25">
      <c r="B89" s="9" t="str">
        <f>'Data CFS'!G16</f>
        <v>Interest received</v>
      </c>
      <c r="C89" s="56">
        <f>'Data CFS'!J16</f>
        <v>2942</v>
      </c>
      <c r="D89" s="56">
        <f>'Data CFS'!K16</f>
        <v>1110</v>
      </c>
      <c r="E89" s="56">
        <f>'Data CFS'!L16</f>
        <v>1310</v>
      </c>
      <c r="F89" s="56">
        <f>'Data CFS'!M16</f>
        <v>972</v>
      </c>
      <c r="G89" s="56">
        <f>'Data CFS'!N16</f>
        <v>1441</v>
      </c>
      <c r="H89" s="56">
        <f>'Data CFS'!O16</f>
        <v>8400</v>
      </c>
      <c r="I89" s="56">
        <f>'Data CFS'!P16</f>
        <v>5933</v>
      </c>
      <c r="J89" s="56">
        <f>'Data CFS'!Q16</f>
        <v>11103</v>
      </c>
      <c r="K89" s="56">
        <f>'Data CFS'!R16</f>
        <v>10648</v>
      </c>
      <c r="L89" s="56">
        <f>'Data CFS'!S16</f>
        <v>15833</v>
      </c>
    </row>
    <row r="90" spans="2:14" x14ac:dyDescent="0.25">
      <c r="B90" s="9" t="str">
        <f>'Data CFS'!G17</f>
        <v>Dividends received</v>
      </c>
      <c r="C90" s="56">
        <f>'Data CFS'!J17</f>
        <v>732</v>
      </c>
      <c r="D90" s="56">
        <f>'Data CFS'!K17</f>
        <v>345</v>
      </c>
      <c r="E90" s="56">
        <f>'Data CFS'!L17</f>
        <v>1021</v>
      </c>
      <c r="F90" s="56">
        <f>'Data CFS'!M17</f>
        <v>501</v>
      </c>
      <c r="G90" s="56">
        <f>'Data CFS'!N17</f>
        <v>78</v>
      </c>
      <c r="H90" s="56">
        <f>'Data CFS'!O17</f>
        <v>26</v>
      </c>
      <c r="I90" s="56">
        <f>'Data CFS'!P17</f>
        <v>19</v>
      </c>
      <c r="J90" s="56">
        <f>'Data CFS'!Q17</f>
        <v>20</v>
      </c>
      <c r="K90" s="56">
        <f>'Data CFS'!R17</f>
        <v>75</v>
      </c>
      <c r="L90" s="56">
        <f>'Data CFS'!S17</f>
        <v>612</v>
      </c>
    </row>
    <row r="91" spans="2:14" x14ac:dyDescent="0.25">
      <c r="B91" s="9" t="str">
        <f>'Data CFS'!G18</f>
        <v>Other investing items</v>
      </c>
      <c r="C91" s="56">
        <f>'Data CFS'!J18</f>
        <v>846</v>
      </c>
      <c r="D91" s="56">
        <f>'Data CFS'!K18</f>
        <v>-259</v>
      </c>
      <c r="E91" s="56">
        <f>'Data CFS'!L18</f>
        <v>-1089</v>
      </c>
      <c r="F91" s="56">
        <f>'Data CFS'!M18</f>
        <v>621</v>
      </c>
      <c r="G91" s="56">
        <f>'Data CFS'!N18</f>
        <v>-16416</v>
      </c>
      <c r="H91" s="56">
        <f>'Data CFS'!O18</f>
        <v>22</v>
      </c>
      <c r="I91" s="56">
        <f>'Data CFS'!P18</f>
        <v>-18365</v>
      </c>
      <c r="J91" s="56">
        <f>'Data CFS'!Q18</f>
        <v>-1766</v>
      </c>
      <c r="K91" s="56">
        <f>'Data CFS'!R18</f>
        <v>-3703</v>
      </c>
      <c r="L91" s="56">
        <f>'Data CFS'!S18</f>
        <v>-4574</v>
      </c>
    </row>
    <row r="92" spans="2:14" ht="15.75" thickBot="1" x14ac:dyDescent="0.3">
      <c r="B92" s="34" t="s">
        <v>123</v>
      </c>
      <c r="C92" s="58">
        <f>SUM(C85:C91)</f>
        <v>-36186</v>
      </c>
      <c r="D92" s="58">
        <f t="shared" ref="D92:L92" si="25">SUM(D85:D91)</f>
        <v>-66201</v>
      </c>
      <c r="E92" s="58">
        <f t="shared" si="25"/>
        <v>-68192</v>
      </c>
      <c r="F92" s="58">
        <f t="shared" si="25"/>
        <v>-94507</v>
      </c>
      <c r="G92" s="58">
        <f t="shared" si="25"/>
        <v>-72497</v>
      </c>
      <c r="H92" s="58">
        <f t="shared" si="25"/>
        <v>-142385</v>
      </c>
      <c r="I92" s="58">
        <f t="shared" si="25"/>
        <v>-109162</v>
      </c>
      <c r="J92" s="58">
        <f t="shared" si="25"/>
        <v>-93001</v>
      </c>
      <c r="K92" s="58">
        <f t="shared" si="25"/>
        <v>-113581</v>
      </c>
      <c r="L92" s="58">
        <f t="shared" si="25"/>
        <v>-137535</v>
      </c>
    </row>
    <row r="94" spans="2:14" x14ac:dyDescent="0.25">
      <c r="B94" s="12" t="s">
        <v>122</v>
      </c>
    </row>
    <row r="95" spans="2:14" x14ac:dyDescent="0.25">
      <c r="B95" s="9" t="str">
        <f>'Data CFS'!G20</f>
        <v>Proceeds from shares</v>
      </c>
      <c r="C95" s="56">
        <f>'Data CFS'!J20</f>
        <v>288</v>
      </c>
      <c r="D95" s="56">
        <f>'Data CFS'!K20</f>
        <v>811</v>
      </c>
      <c r="E95" s="56">
        <f>'Data CFS'!L20</f>
        <v>406</v>
      </c>
      <c r="F95" s="56">
        <f>'Data CFS'!M20</f>
        <v>230</v>
      </c>
      <c r="G95" s="56">
        <f>'Data CFS'!N20</f>
        <v>129</v>
      </c>
      <c r="H95" s="56">
        <f>'Data CFS'!O20</f>
        <v>5</v>
      </c>
      <c r="I95" s="56">
        <f>'Data CFS'!P20</f>
        <v>455</v>
      </c>
      <c r="J95" s="56">
        <f>'Data CFS'!Q20</f>
        <v>479</v>
      </c>
      <c r="K95" s="56">
        <f>'Data CFS'!R20</f>
        <v>20915</v>
      </c>
      <c r="L95" s="56">
        <f>'Data CFS'!S20</f>
        <v>0</v>
      </c>
    </row>
    <row r="96" spans="2:14" x14ac:dyDescent="0.25">
      <c r="B96" s="9" t="str">
        <f>'Data CFS'!G21</f>
        <v>Proceeds from borrowings</v>
      </c>
      <c r="C96" s="56">
        <f>'Data CFS'!J21</f>
        <v>34673</v>
      </c>
      <c r="D96" s="56">
        <f>'Data CFS'!K21</f>
        <v>31728</v>
      </c>
      <c r="E96" s="56">
        <f>'Data CFS'!L21</f>
        <v>36970</v>
      </c>
      <c r="F96" s="56">
        <f>'Data CFS'!M21</f>
        <v>106701</v>
      </c>
      <c r="G96" s="56">
        <f>'Data CFS'!N21</f>
        <v>53760</v>
      </c>
      <c r="H96" s="56">
        <f>'Data CFS'!O21</f>
        <v>46421</v>
      </c>
      <c r="I96" s="56">
        <f>'Data CFS'!P21</f>
        <v>59343</v>
      </c>
      <c r="J96" s="56">
        <f>'Data CFS'!Q21</f>
        <v>67134</v>
      </c>
      <c r="K96" s="56">
        <f>'Data CFS'!R21</f>
        <v>69610</v>
      </c>
      <c r="L96" s="56">
        <f>'Data CFS'!S21</f>
        <v>51002</v>
      </c>
    </row>
    <row r="97" spans="2:12" x14ac:dyDescent="0.25">
      <c r="B97" s="9" t="str">
        <f>'Data CFS'!G22</f>
        <v>Repayment of borrowings</v>
      </c>
      <c r="C97" s="56">
        <f>'Data CFS'!J22</f>
        <v>-21693</v>
      </c>
      <c r="D97" s="56">
        <f>'Data CFS'!K22</f>
        <v>-18542</v>
      </c>
      <c r="E97" s="56">
        <f>'Data CFS'!L22</f>
        <v>-19813</v>
      </c>
      <c r="F97" s="56">
        <f>'Data CFS'!M22</f>
        <v>-20245</v>
      </c>
      <c r="G97" s="56">
        <f>'Data CFS'!N22</f>
        <v>-18179</v>
      </c>
      <c r="H97" s="56">
        <f>'Data CFS'!O22</f>
        <v>-116921</v>
      </c>
      <c r="I97" s="56">
        <f>'Data CFS'!P22</f>
        <v>-49493</v>
      </c>
      <c r="J97" s="56">
        <f>'Data CFS'!Q22</f>
        <v>-29059</v>
      </c>
      <c r="K97" s="56">
        <f>'Data CFS'!R22</f>
        <v>-60348</v>
      </c>
      <c r="L97" s="56">
        <f>'Data CFS'!S22</f>
        <v>-31755</v>
      </c>
    </row>
    <row r="98" spans="2:12" x14ac:dyDescent="0.25">
      <c r="B98" s="9" t="str">
        <f>'Data CFS'!G23</f>
        <v>Interest paid fin</v>
      </c>
      <c r="C98" s="56">
        <f>'Data CFS'!J23</f>
        <v>-9224</v>
      </c>
      <c r="D98" s="56">
        <f>'Data CFS'!K23</f>
        <v>-12920</v>
      </c>
      <c r="E98" s="56">
        <f>'Data CFS'!L23</f>
        <v>-17669</v>
      </c>
      <c r="F98" s="56">
        <f>'Data CFS'!M23</f>
        <v>-23338</v>
      </c>
      <c r="G98" s="56">
        <f>'Data CFS'!N23</f>
        <v>-28508</v>
      </c>
      <c r="H98" s="56">
        <f>'Data CFS'!O23</f>
        <v>-18340</v>
      </c>
      <c r="I98" s="56">
        <f>'Data CFS'!P23</f>
        <v>-26349</v>
      </c>
      <c r="J98" s="56">
        <f>'Data CFS'!Q23</f>
        <v>-21650</v>
      </c>
      <c r="K98" s="56">
        <f>'Data CFS'!R23</f>
        <v>-37173</v>
      </c>
      <c r="L98" s="56">
        <f>'Data CFS'!S23</f>
        <v>-41024</v>
      </c>
    </row>
    <row r="99" spans="2:12" x14ac:dyDescent="0.25">
      <c r="B99" s="9" t="str">
        <f>'Data CFS'!G24</f>
        <v>Dividends paid</v>
      </c>
      <c r="C99" s="56">
        <f>'Data CFS'!J24</f>
        <v>-7259</v>
      </c>
      <c r="D99" s="56">
        <f>'Data CFS'!K24</f>
        <v>-53</v>
      </c>
      <c r="E99" s="56">
        <f>'Data CFS'!L24</f>
        <v>-3916</v>
      </c>
      <c r="F99" s="56">
        <f>'Data CFS'!M24</f>
        <v>-4282</v>
      </c>
      <c r="G99" s="56">
        <f>'Data CFS'!N24</f>
        <v>-4592</v>
      </c>
      <c r="H99" s="56">
        <f>'Data CFS'!O24</f>
        <v>-3921</v>
      </c>
      <c r="I99" s="56">
        <f>'Data CFS'!P24</f>
        <v>-4297</v>
      </c>
      <c r="J99" s="56">
        <f>'Data CFS'!Q24</f>
        <v>-5083</v>
      </c>
      <c r="K99" s="56">
        <f>'Data CFS'!R24</f>
        <v>-6089</v>
      </c>
      <c r="L99" s="56">
        <f>'Data CFS'!S24</f>
        <v>-6766</v>
      </c>
    </row>
    <row r="100" spans="2:12" x14ac:dyDescent="0.25">
      <c r="B100" s="9" t="str">
        <f>'Data CFS'!G25</f>
        <v>Financial liabilities</v>
      </c>
      <c r="C100" s="56">
        <f>'Data CFS'!J25</f>
        <v>0</v>
      </c>
      <c r="D100" s="56">
        <f>'Data CFS'!K25</f>
        <v>0</v>
      </c>
      <c r="E100" s="56">
        <f>'Data CFS'!L25</f>
        <v>0</v>
      </c>
      <c r="F100" s="56">
        <f>'Data CFS'!M25</f>
        <v>0</v>
      </c>
      <c r="G100" s="56">
        <f>'Data CFS'!N25</f>
        <v>-1062</v>
      </c>
      <c r="H100" s="56">
        <f>'Data CFS'!O25</f>
        <v>-1022</v>
      </c>
      <c r="I100" s="56">
        <f>'Data CFS'!P25</f>
        <v>-2132</v>
      </c>
      <c r="J100" s="56">
        <f>'Data CFS'!Q25</f>
        <v>-1406</v>
      </c>
      <c r="K100" s="56">
        <f>'Data CFS'!R25</f>
        <v>-2483</v>
      </c>
      <c r="L100" s="56">
        <f>'Data CFS'!S25</f>
        <v>-5912</v>
      </c>
    </row>
    <row r="101" spans="2:12" x14ac:dyDescent="0.25">
      <c r="B101" s="9" t="str">
        <f>'Data CFS'!G26</f>
        <v>Share application money</v>
      </c>
      <c r="C101" s="56">
        <f>'Data CFS'!J26</f>
        <v>8</v>
      </c>
      <c r="D101" s="56">
        <f>'Data CFS'!K26</f>
        <v>4</v>
      </c>
      <c r="E101" s="56">
        <f>'Data CFS'!L26</f>
        <v>15</v>
      </c>
      <c r="F101" s="56">
        <f>'Data CFS'!M26</f>
        <v>2</v>
      </c>
      <c r="G101" s="56">
        <f>'Data CFS'!N26</f>
        <v>1</v>
      </c>
      <c r="H101" s="56">
        <f>'Data CFS'!O26</f>
        <v>0</v>
      </c>
      <c r="I101" s="56">
        <f>'Data CFS'!P26</f>
        <v>0</v>
      </c>
      <c r="J101" s="56">
        <f>'Data CFS'!Q26</f>
        <v>0</v>
      </c>
      <c r="K101" s="56">
        <f>'Data CFS'!R26</f>
        <v>0</v>
      </c>
      <c r="L101" s="56">
        <f>'Data CFS'!S26</f>
        <v>0</v>
      </c>
    </row>
    <row r="102" spans="2:12" x14ac:dyDescent="0.25">
      <c r="B102" s="9" t="str">
        <f>'Data CFS'!G27</f>
        <v>Other financing items</v>
      </c>
      <c r="C102" s="56">
        <f>'Data CFS'!J27</f>
        <v>-3</v>
      </c>
      <c r="D102" s="56">
        <f>'Data CFS'!K27</f>
        <v>7589</v>
      </c>
      <c r="E102" s="56">
        <f>'Data CFS'!L27</f>
        <v>2006</v>
      </c>
      <c r="F102" s="56">
        <f>'Data CFS'!M27</f>
        <v>-3162</v>
      </c>
      <c r="G102" s="56">
        <f>'Data CFS'!N27</f>
        <v>-4090</v>
      </c>
      <c r="H102" s="56">
        <f>'Data CFS'!O27</f>
        <v>195682</v>
      </c>
      <c r="I102" s="56">
        <f>'Data CFS'!P27</f>
        <v>39762</v>
      </c>
      <c r="J102" s="56">
        <f>'Data CFS'!Q27</f>
        <v>40</v>
      </c>
      <c r="K102" s="56">
        <f>'Data CFS'!R27</f>
        <v>-1078</v>
      </c>
      <c r="L102" s="56">
        <f>'Data CFS'!S27</f>
        <v>2564</v>
      </c>
    </row>
    <row r="103" spans="2:12" ht="15.75" thickBot="1" x14ac:dyDescent="0.3">
      <c r="B103" s="34" t="s">
        <v>122</v>
      </c>
      <c r="C103" s="58">
        <f>SUM(C95:C102)</f>
        <v>-3210</v>
      </c>
      <c r="D103" s="58">
        <f t="shared" ref="D103:L103" si="26">SUM(D95:D102)</f>
        <v>8617</v>
      </c>
      <c r="E103" s="58">
        <f t="shared" si="26"/>
        <v>-2001</v>
      </c>
      <c r="F103" s="58">
        <f t="shared" si="26"/>
        <v>55906</v>
      </c>
      <c r="G103" s="58">
        <f t="shared" si="26"/>
        <v>-2541</v>
      </c>
      <c r="H103" s="58">
        <f t="shared" si="26"/>
        <v>101904</v>
      </c>
      <c r="I103" s="58">
        <f t="shared" si="26"/>
        <v>17289</v>
      </c>
      <c r="J103" s="58">
        <f t="shared" si="26"/>
        <v>10455</v>
      </c>
      <c r="K103" s="58">
        <f t="shared" si="26"/>
        <v>-16646</v>
      </c>
      <c r="L103" s="58">
        <f t="shared" si="26"/>
        <v>-31891</v>
      </c>
    </row>
    <row r="105" spans="2:12" ht="15.75" thickBot="1" x14ac:dyDescent="0.3">
      <c r="B105" s="59" t="s">
        <v>21</v>
      </c>
      <c r="C105" s="60">
        <f>C82+C92+C103</f>
        <v>-1262</v>
      </c>
      <c r="D105" s="60">
        <f t="shared" ref="D105:L105" si="27">D82+D92+D103</f>
        <v>-8034</v>
      </c>
      <c r="E105" s="60">
        <f t="shared" si="27"/>
        <v>1266</v>
      </c>
      <c r="F105" s="60">
        <f t="shared" si="27"/>
        <v>3745</v>
      </c>
      <c r="G105" s="60">
        <f t="shared" si="27"/>
        <v>19839</v>
      </c>
      <c r="H105" s="60">
        <f t="shared" si="27"/>
        <v>-13523</v>
      </c>
      <c r="I105" s="60">
        <f t="shared" si="27"/>
        <v>18781</v>
      </c>
      <c r="J105" s="60">
        <f t="shared" si="27"/>
        <v>32486</v>
      </c>
      <c r="K105" s="60">
        <f t="shared" si="27"/>
        <v>28561</v>
      </c>
      <c r="L105" s="60">
        <f t="shared" si="27"/>
        <v>9277</v>
      </c>
    </row>
    <row r="106" spans="2:12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121A-51E3-4B2C-B165-639226A8634A}">
  <sheetPr>
    <tabColor rgb="FF92D050"/>
  </sheetPr>
  <dimension ref="B2:Q46"/>
  <sheetViews>
    <sheetView topLeftCell="A4" zoomScale="83" zoomScaleNormal="90" workbookViewId="0">
      <selection activeCell="B37" sqref="B37"/>
    </sheetView>
  </sheetViews>
  <sheetFormatPr defaultRowHeight="15" x14ac:dyDescent="0.25"/>
  <cols>
    <col min="1" max="1" width="9.140625" style="9"/>
    <col min="2" max="2" width="68.28515625" style="9" bestFit="1" customWidth="1"/>
    <col min="3" max="11" width="14.42578125" style="9" bestFit="1" customWidth="1"/>
    <col min="12" max="12" width="12.5703125" style="9" bestFit="1" customWidth="1"/>
    <col min="13" max="13" width="9.140625" style="9"/>
    <col min="14" max="14" width="27.42578125" style="9" bestFit="1" customWidth="1"/>
    <col min="15" max="16" width="9.140625" style="9"/>
    <col min="17" max="17" width="35" style="9" bestFit="1" customWidth="1"/>
    <col min="18" max="16384" width="9.140625" style="9"/>
  </cols>
  <sheetData>
    <row r="2" spans="2:14" x14ac:dyDescent="0.25">
      <c r="B2" s="61" t="s">
        <v>124</v>
      </c>
      <c r="C2" s="62"/>
      <c r="D2" s="62"/>
      <c r="E2" s="62"/>
      <c r="F2" s="63"/>
    </row>
    <row r="4" spans="2:14" x14ac:dyDescent="0.25">
      <c r="B4" s="64" t="s">
        <v>55</v>
      </c>
      <c r="C4" s="65">
        <f>'Historical Financial Statment'!C3</f>
        <v>42460</v>
      </c>
      <c r="D4" s="65">
        <f>'Historical Financial Statment'!D3</f>
        <v>42825</v>
      </c>
      <c r="E4" s="65">
        <f>'Historical Financial Statment'!E3</f>
        <v>43190</v>
      </c>
      <c r="F4" s="65">
        <f>'Historical Financial Statment'!F3</f>
        <v>43555</v>
      </c>
      <c r="G4" s="65">
        <f>'Historical Financial Statment'!G3</f>
        <v>43921</v>
      </c>
      <c r="H4" s="65">
        <f>'Historical Financial Statment'!H3</f>
        <v>44286</v>
      </c>
      <c r="I4" s="65">
        <f>'Historical Financial Statment'!I3</f>
        <v>44651</v>
      </c>
      <c r="J4" s="65">
        <f>'Historical Financial Statment'!J3</f>
        <v>45016</v>
      </c>
      <c r="K4" s="65">
        <f>'Historical Financial Statment'!K3</f>
        <v>45382</v>
      </c>
      <c r="L4" s="65">
        <f>'Historical Financial Statment'!L3</f>
        <v>45747</v>
      </c>
    </row>
    <row r="5" spans="2:14" x14ac:dyDescent="0.25">
      <c r="B5" s="12" t="s">
        <v>125</v>
      </c>
    </row>
    <row r="6" spans="2:14" x14ac:dyDescent="0.25">
      <c r="B6" s="9" t="s">
        <v>92</v>
      </c>
      <c r="C6" s="13">
        <f>'Historical Financial Statment'!C68</f>
        <v>61979</v>
      </c>
      <c r="D6" s="13">
        <f>'Historical Financial Statment'!D68</f>
        <v>60151</v>
      </c>
      <c r="E6" s="13">
        <f>'Historical Financial Statment'!E68</f>
        <v>82647</v>
      </c>
      <c r="F6" s="13">
        <f>'Historical Financial Statment'!F68</f>
        <v>108731</v>
      </c>
      <c r="G6" s="13">
        <f>'Historical Financial Statment'!G68</f>
        <v>124479</v>
      </c>
      <c r="H6" s="13">
        <f>'Historical Financial Statment'!H68</f>
        <v>118083</v>
      </c>
      <c r="I6" s="13">
        <f>'Historical Financial Statment'!I68</f>
        <v>167596</v>
      </c>
      <c r="J6" s="13">
        <f>'Historical Financial Statment'!J68</f>
        <v>237120</v>
      </c>
      <c r="K6" s="13">
        <f>'Historical Financial Statment'!K68</f>
        <v>281623</v>
      </c>
      <c r="L6" s="13">
        <f>'Historical Financial Statment'!L68</f>
        <v>294685</v>
      </c>
    </row>
    <row r="7" spans="2:14" x14ac:dyDescent="0.25">
      <c r="B7" s="9" t="s">
        <v>126</v>
      </c>
      <c r="C7" s="13">
        <f>'Historical Financial Statment'!C53</f>
        <v>194714</v>
      </c>
      <c r="D7" s="13">
        <f>'Historical Financial Statment'!D53</f>
        <v>217475</v>
      </c>
      <c r="E7" s="13">
        <f>'Historical Financial Statment'!E53</f>
        <v>239843</v>
      </c>
      <c r="F7" s="13">
        <f>'Historical Financial Statment'!F53</f>
        <v>307714</v>
      </c>
      <c r="G7" s="13">
        <f>'Historical Financial Statment'!G53</f>
        <v>355133</v>
      </c>
      <c r="H7" s="13">
        <f>'Historical Financial Statment'!H53</f>
        <v>278962</v>
      </c>
      <c r="I7" s="13">
        <f>'Historical Financial Statment'!I53</f>
        <v>319158</v>
      </c>
      <c r="J7" s="13">
        <f>'Historical Financial Statment'!J53</f>
        <v>451664</v>
      </c>
      <c r="K7" s="13">
        <f>'Historical Financial Statment'!K53</f>
        <v>458991</v>
      </c>
      <c r="L7" s="13">
        <f>'Historical Financial Statment'!L53</f>
        <v>369575</v>
      </c>
    </row>
    <row r="8" spans="2:14" x14ac:dyDescent="0.25">
      <c r="B8" s="67" t="s">
        <v>129</v>
      </c>
    </row>
    <row r="9" spans="2:14" x14ac:dyDescent="0.25">
      <c r="B9" s="31" t="s">
        <v>128</v>
      </c>
      <c r="C9" s="68">
        <f>C6/C7</f>
        <v>0.31830787719424386</v>
      </c>
      <c r="D9" s="68">
        <f t="shared" ref="D9:L9" si="0">D6/D7</f>
        <v>0.27658811357627311</v>
      </c>
      <c r="E9" s="68">
        <f t="shared" si="0"/>
        <v>0.34458791792964566</v>
      </c>
      <c r="F9" s="68">
        <f t="shared" si="0"/>
        <v>0.35335083876586698</v>
      </c>
      <c r="G9" s="68">
        <f t="shared" si="0"/>
        <v>0.35051375118617534</v>
      </c>
      <c r="H9" s="68">
        <f t="shared" si="0"/>
        <v>0.42329421211491169</v>
      </c>
      <c r="I9" s="68">
        <f t="shared" si="0"/>
        <v>0.52511921994748678</v>
      </c>
      <c r="J9" s="68">
        <f t="shared" si="0"/>
        <v>0.52499202947323675</v>
      </c>
      <c r="K9" s="68">
        <f t="shared" si="0"/>
        <v>0.61356976498449856</v>
      </c>
      <c r="L9" s="68">
        <f t="shared" si="0"/>
        <v>0.79736183453967391</v>
      </c>
    </row>
    <row r="11" spans="2:14" x14ac:dyDescent="0.25">
      <c r="B11" s="12" t="s">
        <v>130</v>
      </c>
    </row>
    <row r="12" spans="2:14" x14ac:dyDescent="0.25">
      <c r="B12" s="41" t="s">
        <v>150</v>
      </c>
      <c r="C12" s="13">
        <f>'Historical Financial Statment'!C68</f>
        <v>61979</v>
      </c>
      <c r="D12" s="13">
        <f>'Historical Financial Statment'!D68</f>
        <v>60151</v>
      </c>
      <c r="E12" s="13">
        <f>'Historical Financial Statment'!E68</f>
        <v>82647</v>
      </c>
      <c r="F12" s="13">
        <f>'Historical Financial Statment'!F68</f>
        <v>108731</v>
      </c>
      <c r="G12" s="13">
        <f>'Historical Financial Statment'!G68</f>
        <v>124479</v>
      </c>
      <c r="H12" s="13">
        <f>'Historical Financial Statment'!H68</f>
        <v>118083</v>
      </c>
      <c r="I12" s="13">
        <f>'Historical Financial Statment'!I68</f>
        <v>167596</v>
      </c>
      <c r="J12" s="13">
        <f>'Historical Financial Statment'!J68</f>
        <v>237120</v>
      </c>
      <c r="K12" s="13">
        <f>'Historical Financial Statment'!K68</f>
        <v>281623</v>
      </c>
      <c r="L12" s="13">
        <f>'Historical Financial Statment'!L68</f>
        <v>294685</v>
      </c>
    </row>
    <row r="13" spans="2:14" x14ac:dyDescent="0.25">
      <c r="B13" s="41" t="s">
        <v>30</v>
      </c>
      <c r="C13" s="13">
        <f>'Historical Financial Statment'!C66</f>
        <v>46486</v>
      </c>
      <c r="D13" s="13">
        <f>'Historical Financial Statment'!D66</f>
        <v>48951</v>
      </c>
      <c r="E13" s="13">
        <f>'Historical Financial Statment'!E66</f>
        <v>60837</v>
      </c>
      <c r="F13" s="13">
        <f>'Historical Financial Statment'!F66</f>
        <v>67561</v>
      </c>
      <c r="G13" s="13">
        <f>'Historical Financial Statment'!G66</f>
        <v>73903</v>
      </c>
      <c r="H13" s="13">
        <f>'Historical Financial Statment'!H66</f>
        <v>81672</v>
      </c>
      <c r="I13" s="13">
        <f>'Historical Financial Statment'!I66</f>
        <v>107778</v>
      </c>
      <c r="J13" s="13">
        <f>'Historical Financial Statment'!J66</f>
        <v>140008</v>
      </c>
      <c r="K13" s="13">
        <f>'Historical Financial Statment'!K66</f>
        <v>152770</v>
      </c>
      <c r="L13" s="13">
        <f>'Historical Financial Statment'!L66</f>
        <v>146062</v>
      </c>
    </row>
    <row r="14" spans="2:14" x14ac:dyDescent="0.25">
      <c r="B14" s="9" t="s">
        <v>151</v>
      </c>
      <c r="C14" s="13">
        <f>C12-C13</f>
        <v>15493</v>
      </c>
      <c r="D14" s="13">
        <f>D12-D13</f>
        <v>11200</v>
      </c>
      <c r="E14" s="13">
        <f>E12-E13</f>
        <v>21810</v>
      </c>
      <c r="F14" s="13">
        <f>F12-F13</f>
        <v>41170</v>
      </c>
      <c r="G14" s="13">
        <f>G12-G13</f>
        <v>50576</v>
      </c>
      <c r="H14" s="13">
        <f>H12-H13</f>
        <v>36411</v>
      </c>
      <c r="I14" s="13">
        <f>I12-I13</f>
        <v>59818</v>
      </c>
      <c r="J14" s="13">
        <f>J12-J13</f>
        <v>97112</v>
      </c>
      <c r="K14" s="13">
        <f>K12-K13</f>
        <v>128853</v>
      </c>
      <c r="L14" s="13">
        <f>L12-L13</f>
        <v>148623</v>
      </c>
    </row>
    <row r="15" spans="2:14" x14ac:dyDescent="0.25">
      <c r="B15" s="31" t="s">
        <v>131</v>
      </c>
      <c r="C15" s="69">
        <f>C14/C7</f>
        <v>7.9567981757860243E-2</v>
      </c>
      <c r="D15" s="69">
        <f>D14/D7</f>
        <v>5.1500172433613059E-2</v>
      </c>
      <c r="E15" s="69">
        <f>E14/E7</f>
        <v>9.0934486309794324E-2</v>
      </c>
      <c r="F15" s="69">
        <f>F14/F7</f>
        <v>0.13379306758873499</v>
      </c>
      <c r="G15" s="69">
        <f>G14/G7</f>
        <v>0.14241425043575223</v>
      </c>
      <c r="H15" s="69">
        <f>H14/H7</f>
        <v>0.13052315369118375</v>
      </c>
      <c r="I15" s="69">
        <f>I14/I7</f>
        <v>0.18742441048007569</v>
      </c>
      <c r="J15" s="69">
        <f>J14/J7</f>
        <v>0.21500938750929896</v>
      </c>
      <c r="K15" s="69">
        <f>K14/K7</f>
        <v>0.28073099472538676</v>
      </c>
      <c r="L15" s="69">
        <f>L14/L7</f>
        <v>0.40214570790773185</v>
      </c>
      <c r="N15" s="66" t="e">
        <f>(L12+#REF!)/L7</f>
        <v>#REF!</v>
      </c>
    </row>
    <row r="17" spans="2:17" x14ac:dyDescent="0.25">
      <c r="B17" s="12" t="s">
        <v>132</v>
      </c>
    </row>
    <row r="18" spans="2:17" x14ac:dyDescent="0.25">
      <c r="B18" s="9" t="s">
        <v>51</v>
      </c>
      <c r="C18" s="13">
        <f>'Historical Financial Statment'!C67</f>
        <v>11028</v>
      </c>
      <c r="D18" s="13">
        <f>'Historical Financial Statment'!D67</f>
        <v>3023</v>
      </c>
      <c r="E18" s="13">
        <f>'Historical Financial Statment'!E67</f>
        <v>4255</v>
      </c>
      <c r="F18" s="13">
        <f>'Historical Financial Statment'!F67</f>
        <v>11081</v>
      </c>
      <c r="G18" s="13">
        <f>'Historical Financial Statment'!G67</f>
        <v>30920</v>
      </c>
      <c r="H18" s="13">
        <f>'Historical Financial Statment'!H67</f>
        <v>17397</v>
      </c>
      <c r="I18" s="13">
        <f>'Historical Financial Statment'!I67</f>
        <v>36178</v>
      </c>
      <c r="J18" s="13">
        <f>'Historical Financial Statment'!J67</f>
        <v>68664</v>
      </c>
      <c r="K18" s="13">
        <f>'Historical Financial Statment'!K67</f>
        <v>97225</v>
      </c>
      <c r="L18" s="13">
        <f>'Historical Financial Statment'!L67</f>
        <v>106502</v>
      </c>
    </row>
    <row r="19" spans="2:17" x14ac:dyDescent="0.25">
      <c r="B19" s="9" t="s">
        <v>126</v>
      </c>
      <c r="C19" s="13">
        <f>C7</f>
        <v>194714</v>
      </c>
      <c r="D19" s="13">
        <f>D7</f>
        <v>217475</v>
      </c>
      <c r="E19" s="13">
        <f>E7</f>
        <v>239843</v>
      </c>
      <c r="F19" s="13">
        <f>F7</f>
        <v>307714</v>
      </c>
      <c r="G19" s="13">
        <f>G7</f>
        <v>355133</v>
      </c>
      <c r="H19" s="13">
        <f>H7</f>
        <v>278962</v>
      </c>
      <c r="I19" s="13">
        <f>I7</f>
        <v>319158</v>
      </c>
      <c r="J19" s="13">
        <f>J7</f>
        <v>451664</v>
      </c>
      <c r="K19" s="13">
        <f>K7</f>
        <v>458991</v>
      </c>
      <c r="L19" s="13">
        <f>L7</f>
        <v>369575</v>
      </c>
    </row>
    <row r="21" spans="2:17" x14ac:dyDescent="0.25">
      <c r="B21" s="31" t="s">
        <v>133</v>
      </c>
      <c r="C21" s="69">
        <f>C18/C19</f>
        <v>5.6636913627165997E-2</v>
      </c>
      <c r="D21" s="69">
        <f t="shared" ref="D21:L21" si="1">D18/D19</f>
        <v>1.3900448327393953E-2</v>
      </c>
      <c r="E21" s="69">
        <f t="shared" si="1"/>
        <v>1.7740772088407835E-2</v>
      </c>
      <c r="F21" s="69">
        <f t="shared" si="1"/>
        <v>3.6010711244857239E-2</v>
      </c>
      <c r="G21" s="69">
        <f t="shared" si="1"/>
        <v>8.7065972466653332E-2</v>
      </c>
      <c r="H21" s="69">
        <f t="shared" si="1"/>
        <v>6.2363332640287927E-2</v>
      </c>
      <c r="I21" s="69">
        <f t="shared" si="1"/>
        <v>0.11335451406513389</v>
      </c>
      <c r="J21" s="69">
        <f t="shared" si="1"/>
        <v>0.15202451379786744</v>
      </c>
      <c r="K21" s="69">
        <f t="shared" si="1"/>
        <v>0.2118233255118292</v>
      </c>
      <c r="L21" s="69">
        <f t="shared" si="1"/>
        <v>0.28817425421091797</v>
      </c>
    </row>
    <row r="23" spans="2:17" x14ac:dyDescent="0.25">
      <c r="B23" s="12" t="s">
        <v>134</v>
      </c>
      <c r="N23" s="12" t="s">
        <v>137</v>
      </c>
      <c r="Q23" s="9" t="s">
        <v>138</v>
      </c>
    </row>
    <row r="24" spans="2:17" x14ac:dyDescent="0.25">
      <c r="B24" s="9" t="s">
        <v>135</v>
      </c>
      <c r="C24" s="13">
        <f>C14</f>
        <v>15493</v>
      </c>
      <c r="D24" s="13">
        <f t="shared" ref="D24:L24" si="2">D14</f>
        <v>11200</v>
      </c>
      <c r="E24" s="13">
        <f t="shared" si="2"/>
        <v>21810</v>
      </c>
      <c r="F24" s="13">
        <f t="shared" si="2"/>
        <v>41170</v>
      </c>
      <c r="G24" s="13">
        <f t="shared" si="2"/>
        <v>50576</v>
      </c>
      <c r="H24" s="13">
        <f t="shared" si="2"/>
        <v>36411</v>
      </c>
      <c r="I24" s="13">
        <f t="shared" si="2"/>
        <v>59818</v>
      </c>
      <c r="J24" s="13">
        <f t="shared" si="2"/>
        <v>97112</v>
      </c>
      <c r="K24" s="13">
        <f t="shared" si="2"/>
        <v>128853</v>
      </c>
      <c r="L24" s="13">
        <f t="shared" si="2"/>
        <v>148623</v>
      </c>
      <c r="N24" s="9" t="s">
        <v>139</v>
      </c>
      <c r="Q24" s="9">
        <f>'Historical Financial Statment'!C19</f>
        <v>34540</v>
      </c>
    </row>
    <row r="25" spans="2:17" x14ac:dyDescent="0.25">
      <c r="B25" s="9" t="s">
        <v>136</v>
      </c>
      <c r="C25" s="66">
        <f>('Historical Financial Statment'!C19-'Historical Financial Statment'!C17)/365</f>
        <v>62.945205479452056</v>
      </c>
      <c r="D25" s="66">
        <f>('Historical Financial Statment'!D19-'Historical Financial Statment'!D17)/365</f>
        <v>66.265753424657532</v>
      </c>
      <c r="E25" s="66">
        <f>('Historical Financial Statment'!E19-'Historical Financial Statment'!E17)/365</f>
        <v>95.293150684931504</v>
      </c>
      <c r="F25" s="66">
        <f>('Historical Financial Statment'!F19-'Historical Financial Statment'!F17)/365</f>
        <v>165.40547945205481</v>
      </c>
      <c r="G25" s="66">
        <f>('Historical Financial Statment'!G19-'Historical Financial Statment'!G17)/365</f>
        <v>207.23561643835617</v>
      </c>
      <c r="H25" s="66">
        <f>('Historical Financial Statment'!H19-'Historical Financial Statment'!H17)/365</f>
        <v>197.02739726027397</v>
      </c>
      <c r="I25" s="66">
        <f>('Historical Financial Statment'!I19-'Historical Financial Statment'!I17)/365</f>
        <v>227.46301369863014</v>
      </c>
      <c r="J25" s="66">
        <f>('Historical Financial Statment'!J19-'Historical Financial Statment'!J17)/365</f>
        <v>276.36986301369865</v>
      </c>
      <c r="K25" s="66">
        <f>('Historical Financial Statment'!K19-'Historical Financial Statment'!K17)/365</f>
        <v>303.52602739726029</v>
      </c>
      <c r="L25" s="66">
        <f>('Historical Financial Statment'!L19-'Historical Financial Statment'!L17)/365</f>
        <v>464.54794520547944</v>
      </c>
      <c r="N25" s="9" t="s">
        <v>140</v>
      </c>
      <c r="Q25" s="9">
        <f>'Historical Financial Statment'!C17</f>
        <v>11565</v>
      </c>
    </row>
    <row r="27" spans="2:17" x14ac:dyDescent="0.25">
      <c r="B27" s="31" t="s">
        <v>141</v>
      </c>
      <c r="C27" s="69">
        <f>C24/C25</f>
        <v>246.1347116430903</v>
      </c>
      <c r="D27" s="69">
        <f t="shared" ref="D27:L27" si="3">D24/D25</f>
        <v>169.01641377599537</v>
      </c>
      <c r="E27" s="69">
        <f t="shared" si="3"/>
        <v>228.87269277212351</v>
      </c>
      <c r="F27" s="69">
        <f t="shared" si="3"/>
        <v>248.90348334520397</v>
      </c>
      <c r="G27" s="69">
        <f t="shared" si="3"/>
        <v>244.05071323752989</v>
      </c>
      <c r="H27" s="69">
        <f t="shared" si="3"/>
        <v>184.80171035249947</v>
      </c>
      <c r="I27" s="69">
        <f t="shared" si="3"/>
        <v>262.97901811524378</v>
      </c>
      <c r="J27" s="69">
        <f t="shared" si="3"/>
        <v>351.38418835192067</v>
      </c>
      <c r="K27" s="69">
        <f t="shared" si="3"/>
        <v>424.52043109751139</v>
      </c>
      <c r="L27" s="69">
        <f t="shared" si="3"/>
        <v>319.93037862703471</v>
      </c>
      <c r="N27" s="12" t="s">
        <v>137</v>
      </c>
      <c r="Q27" s="66">
        <f>(Q24-Q25)/365</f>
        <v>62.945205479452056</v>
      </c>
    </row>
    <row r="29" spans="2:17" x14ac:dyDescent="0.25">
      <c r="B29" s="12" t="s">
        <v>142</v>
      </c>
    </row>
    <row r="30" spans="2:17" x14ac:dyDescent="0.25">
      <c r="B30" s="9" t="s">
        <v>92</v>
      </c>
      <c r="C30" s="13">
        <f>C6</f>
        <v>61979</v>
      </c>
      <c r="D30" s="13">
        <f t="shared" ref="D30:L30" si="4">D6</f>
        <v>60151</v>
      </c>
      <c r="E30" s="13">
        <f t="shared" si="4"/>
        <v>82647</v>
      </c>
      <c r="F30" s="13">
        <f t="shared" si="4"/>
        <v>108731</v>
      </c>
      <c r="G30" s="13">
        <f t="shared" si="4"/>
        <v>124479</v>
      </c>
      <c r="H30" s="13">
        <f t="shared" si="4"/>
        <v>118083</v>
      </c>
      <c r="I30" s="13">
        <f t="shared" si="4"/>
        <v>167596</v>
      </c>
      <c r="J30" s="13">
        <f t="shared" si="4"/>
        <v>237120</v>
      </c>
      <c r="K30" s="13">
        <f t="shared" si="4"/>
        <v>281623</v>
      </c>
      <c r="L30" s="13">
        <f t="shared" si="4"/>
        <v>294685</v>
      </c>
    </row>
    <row r="31" spans="2:17" x14ac:dyDescent="0.25">
      <c r="B31" s="9" t="s">
        <v>126</v>
      </c>
      <c r="C31" s="13">
        <f>C7</f>
        <v>194714</v>
      </c>
      <c r="D31" s="13">
        <f t="shared" ref="D31:L31" si="5">D7</f>
        <v>217475</v>
      </c>
      <c r="E31" s="13">
        <f t="shared" si="5"/>
        <v>239843</v>
      </c>
      <c r="F31" s="13">
        <f t="shared" si="5"/>
        <v>307714</v>
      </c>
      <c r="G31" s="13">
        <f t="shared" si="5"/>
        <v>355133</v>
      </c>
      <c r="H31" s="13">
        <f t="shared" si="5"/>
        <v>278962</v>
      </c>
      <c r="I31" s="13">
        <f t="shared" si="5"/>
        <v>319158</v>
      </c>
      <c r="J31" s="13">
        <f t="shared" si="5"/>
        <v>451664</v>
      </c>
      <c r="K31" s="13">
        <f t="shared" si="5"/>
        <v>458991</v>
      </c>
      <c r="L31" s="13">
        <f t="shared" si="5"/>
        <v>369575</v>
      </c>
    </row>
    <row r="33" spans="2:12" x14ac:dyDescent="0.25">
      <c r="B33" s="31" t="s">
        <v>143</v>
      </c>
      <c r="C33" s="33">
        <f>C30-C31</f>
        <v>-132735</v>
      </c>
      <c r="D33" s="33">
        <f t="shared" ref="D33:L33" si="6">D30-D31</f>
        <v>-157324</v>
      </c>
      <c r="E33" s="33">
        <f t="shared" si="6"/>
        <v>-157196</v>
      </c>
      <c r="F33" s="33">
        <f t="shared" si="6"/>
        <v>-198983</v>
      </c>
      <c r="G33" s="33">
        <f t="shared" si="6"/>
        <v>-230654</v>
      </c>
      <c r="H33" s="33">
        <f t="shared" si="6"/>
        <v>-160879</v>
      </c>
      <c r="I33" s="33">
        <f t="shared" si="6"/>
        <v>-151562</v>
      </c>
      <c r="J33" s="33">
        <f t="shared" si="6"/>
        <v>-214544</v>
      </c>
      <c r="K33" s="33">
        <f t="shared" si="6"/>
        <v>-177368</v>
      </c>
      <c r="L33" s="33">
        <f t="shared" si="6"/>
        <v>-74890</v>
      </c>
    </row>
    <row r="36" spans="2:12" x14ac:dyDescent="0.25">
      <c r="B36" s="12" t="s">
        <v>145</v>
      </c>
    </row>
    <row r="37" spans="2:12" x14ac:dyDescent="0.25">
      <c r="B37" s="9" t="s">
        <v>144</v>
      </c>
      <c r="C37" s="13">
        <f>'Historical Financial Statment'!C82</f>
        <v>38134</v>
      </c>
      <c r="D37" s="13">
        <f>'Historical Financial Statment'!D82</f>
        <v>49550</v>
      </c>
      <c r="E37" s="13">
        <f>'Historical Financial Statment'!E82</f>
        <v>71459</v>
      </c>
      <c r="F37" s="13">
        <f>'Historical Financial Statment'!F82</f>
        <v>42346</v>
      </c>
      <c r="G37" s="13">
        <f>'Historical Financial Statment'!G82</f>
        <v>94877</v>
      </c>
      <c r="H37" s="13">
        <f>'Historical Financial Statment'!H82</f>
        <v>26958</v>
      </c>
      <c r="I37" s="13">
        <f>'Historical Financial Statment'!I82</f>
        <v>110654</v>
      </c>
      <c r="J37" s="13">
        <f>'Historical Financial Statment'!J82</f>
        <v>115032</v>
      </c>
      <c r="K37" s="13">
        <f>'Historical Financial Statment'!K82</f>
        <v>158788</v>
      </c>
      <c r="L37" s="13">
        <f>'Historical Financial Statment'!L82</f>
        <v>178703</v>
      </c>
    </row>
    <row r="38" spans="2:12" x14ac:dyDescent="0.25">
      <c r="B38" s="9" t="s">
        <v>126</v>
      </c>
      <c r="C38" s="13">
        <f>C7</f>
        <v>194714</v>
      </c>
      <c r="D38" s="13">
        <f t="shared" ref="D38:L38" si="7">D7</f>
        <v>217475</v>
      </c>
      <c r="E38" s="13">
        <f t="shared" si="7"/>
        <v>239843</v>
      </c>
      <c r="F38" s="13">
        <f t="shared" si="7"/>
        <v>307714</v>
      </c>
      <c r="G38" s="13">
        <f t="shared" si="7"/>
        <v>355133</v>
      </c>
      <c r="H38" s="13">
        <f t="shared" si="7"/>
        <v>278962</v>
      </c>
      <c r="I38" s="13">
        <f t="shared" si="7"/>
        <v>319158</v>
      </c>
      <c r="J38" s="13">
        <f t="shared" si="7"/>
        <v>451664</v>
      </c>
      <c r="K38" s="13">
        <f t="shared" si="7"/>
        <v>458991</v>
      </c>
      <c r="L38" s="13">
        <f t="shared" si="7"/>
        <v>369575</v>
      </c>
    </row>
    <row r="40" spans="2:12" x14ac:dyDescent="0.25">
      <c r="B40" s="31" t="s">
        <v>146</v>
      </c>
      <c r="C40" s="68">
        <f>C37/C38</f>
        <v>0.19584621547500436</v>
      </c>
      <c r="D40" s="68">
        <f t="shared" ref="D40:L40" si="8">D37/D38</f>
        <v>0.22784228072192206</v>
      </c>
      <c r="E40" s="68">
        <f t="shared" si="8"/>
        <v>0.29794073623161821</v>
      </c>
      <c r="F40" s="68">
        <f t="shared" si="8"/>
        <v>0.13761479815672994</v>
      </c>
      <c r="G40" s="68">
        <f t="shared" si="8"/>
        <v>0.2671590643505391</v>
      </c>
      <c r="H40" s="68">
        <f t="shared" si="8"/>
        <v>9.6636817917852613E-2</v>
      </c>
      <c r="I40" s="68">
        <f t="shared" si="8"/>
        <v>0.34670602021569252</v>
      </c>
      <c r="J40" s="68">
        <f t="shared" si="8"/>
        <v>0.25468489850862586</v>
      </c>
      <c r="K40" s="68">
        <f t="shared" si="8"/>
        <v>0.34595013845587386</v>
      </c>
      <c r="L40" s="68">
        <f t="shared" si="8"/>
        <v>0.48353649462220116</v>
      </c>
    </row>
    <row r="42" spans="2:12" x14ac:dyDescent="0.25">
      <c r="B42" s="12" t="s">
        <v>147</v>
      </c>
    </row>
    <row r="43" spans="2:12" x14ac:dyDescent="0.25">
      <c r="B43" s="9" t="s">
        <v>58</v>
      </c>
      <c r="C43" s="13">
        <f>'Historical Financial Statment'!C8</f>
        <v>207827</v>
      </c>
      <c r="D43" s="13">
        <f>'Historical Financial Statment'!D8</f>
        <v>233460</v>
      </c>
      <c r="E43" s="13">
        <f>'Historical Financial Statment'!E8</f>
        <v>291726</v>
      </c>
      <c r="F43" s="13">
        <f>'Historical Financial Statment'!F8</f>
        <v>423714</v>
      </c>
      <c r="G43" s="13">
        <f>'Historical Financial Statment'!G8</f>
        <v>431772</v>
      </c>
      <c r="H43" s="13">
        <f>'Historical Financial Statment'!H8</f>
        <v>313602</v>
      </c>
      <c r="I43" s="13">
        <f>'Historical Financial Statment'!I8</f>
        <v>503068</v>
      </c>
      <c r="J43" s="13">
        <f>'Historical Financial Statment'!J8</f>
        <v>633203</v>
      </c>
      <c r="K43" s="13">
        <f>'Historical Financial Statment'!K8</f>
        <v>625756</v>
      </c>
      <c r="L43" s="13">
        <f>'Historical Financial Statment'!L8</f>
        <v>629689</v>
      </c>
    </row>
    <row r="44" spans="2:12" x14ac:dyDescent="0.25">
      <c r="B44" s="9" t="s">
        <v>148</v>
      </c>
      <c r="C44" s="13"/>
      <c r="D44" s="13">
        <f>('Historical Financial Statment'!C66+'Historical Financial Statment'!D66)/2</f>
        <v>47718.5</v>
      </c>
      <c r="E44" s="13">
        <f>('Historical Financial Statment'!D66+'Historical Financial Statment'!E66)/2</f>
        <v>54894</v>
      </c>
      <c r="F44" s="13">
        <f>('Historical Financial Statment'!E66+'Historical Financial Statment'!F66)/2</f>
        <v>64199</v>
      </c>
      <c r="G44" s="13">
        <f>('Historical Financial Statment'!F66+'Historical Financial Statment'!G66)/2</f>
        <v>70732</v>
      </c>
      <c r="H44" s="13">
        <f>('Historical Financial Statment'!G66+'Historical Financial Statment'!H66)/2</f>
        <v>77787.5</v>
      </c>
      <c r="I44" s="13">
        <f>('Historical Financial Statment'!H66+'Historical Financial Statment'!I66)/2</f>
        <v>94725</v>
      </c>
      <c r="J44" s="13">
        <f>('Historical Financial Statment'!I66+'Historical Financial Statment'!J66)/2</f>
        <v>123893</v>
      </c>
      <c r="K44" s="13">
        <f>('Historical Financial Statment'!J66+'Historical Financial Statment'!K66)/2</f>
        <v>146389</v>
      </c>
      <c r="L44" s="13">
        <f>('Historical Financial Statment'!K66+'Historical Financial Statment'!L66)/2</f>
        <v>149416</v>
      </c>
    </row>
    <row r="46" spans="2:12" x14ac:dyDescent="0.25">
      <c r="B46" s="31" t="s">
        <v>149</v>
      </c>
      <c r="C46" s="69" t="s">
        <v>152</v>
      </c>
      <c r="D46" s="68">
        <f>D43/D44</f>
        <v>4.8924421346018843</v>
      </c>
      <c r="E46" s="68">
        <f t="shared" ref="E46:L46" si="9">E43/E44</f>
        <v>5.3143512952235215</v>
      </c>
      <c r="F46" s="68">
        <f t="shared" si="9"/>
        <v>6.6000093459399682</v>
      </c>
      <c r="G46" s="68">
        <f t="shared" si="9"/>
        <v>6.1043374992931065</v>
      </c>
      <c r="H46" s="68">
        <f t="shared" si="9"/>
        <v>4.0315217740639566</v>
      </c>
      <c r="I46" s="68">
        <f t="shared" si="9"/>
        <v>5.3108260754816579</v>
      </c>
      <c r="J46" s="68">
        <f t="shared" si="9"/>
        <v>5.1108860064733275</v>
      </c>
      <c r="K46" s="68">
        <f t="shared" si="9"/>
        <v>4.2746107972593572</v>
      </c>
      <c r="L46" s="68">
        <f t="shared" si="9"/>
        <v>4.2143344755581733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4C678-B63B-48A6-8769-FBB7A8A2C52A}">
  <sheetPr>
    <tabColor rgb="FF92D050"/>
  </sheetPr>
  <dimension ref="D3:S28"/>
  <sheetViews>
    <sheetView workbookViewId="0">
      <selection activeCell="G25" sqref="G25"/>
    </sheetView>
  </sheetViews>
  <sheetFormatPr defaultRowHeight="15" x14ac:dyDescent="0.25"/>
  <cols>
    <col min="7" max="7" width="36.85546875" bestFit="1" customWidth="1"/>
    <col min="8" max="12" width="11" bestFit="1" customWidth="1"/>
    <col min="13" max="14" width="12.140625" bestFit="1" customWidth="1"/>
    <col min="15" max="16" width="12.5703125" bestFit="1" customWidth="1"/>
    <col min="17" max="17" width="11.7109375" bestFit="1" customWidth="1"/>
    <col min="18" max="19" width="12.5703125" bestFit="1" customWidth="1"/>
  </cols>
  <sheetData>
    <row r="3" spans="4:19" ht="15.75" thickBot="1" x14ac:dyDescent="0.3">
      <c r="G3" s="9"/>
      <c r="H3" s="43"/>
      <c r="I3" s="43"/>
      <c r="J3" s="43">
        <v>42430</v>
      </c>
      <c r="K3" s="43">
        <v>42795</v>
      </c>
      <c r="L3" s="43">
        <v>43160</v>
      </c>
      <c r="M3" s="43">
        <v>43525</v>
      </c>
      <c r="N3" s="43">
        <v>43891</v>
      </c>
      <c r="O3" s="43">
        <v>44256</v>
      </c>
      <c r="P3" s="43">
        <v>44621</v>
      </c>
      <c r="Q3" s="43">
        <v>44986</v>
      </c>
      <c r="R3" s="43">
        <v>45352</v>
      </c>
      <c r="S3" s="43">
        <v>45717</v>
      </c>
    </row>
    <row r="4" spans="4:19" ht="16.5" thickTop="1" thickBot="1" x14ac:dyDescent="0.3">
      <c r="G4" s="44" t="s">
        <v>116</v>
      </c>
      <c r="H4" s="45"/>
      <c r="I4" s="45"/>
      <c r="J4" s="45">
        <v>38134</v>
      </c>
      <c r="K4" s="45">
        <v>49550</v>
      </c>
      <c r="L4" s="45">
        <v>71459</v>
      </c>
      <c r="M4" s="45">
        <v>42346</v>
      </c>
      <c r="N4" s="45">
        <v>94877</v>
      </c>
      <c r="O4" s="45">
        <v>26958</v>
      </c>
      <c r="P4" s="45">
        <v>110654</v>
      </c>
      <c r="Q4" s="45">
        <v>115032</v>
      </c>
      <c r="R4" s="45">
        <v>158788</v>
      </c>
      <c r="S4" s="45">
        <v>178703</v>
      </c>
    </row>
    <row r="5" spans="4:19" ht="15.75" thickTop="1" x14ac:dyDescent="0.25">
      <c r="G5" s="46" t="s">
        <v>96</v>
      </c>
      <c r="H5" s="45"/>
      <c r="I5" s="45"/>
      <c r="J5" s="45">
        <v>38887</v>
      </c>
      <c r="K5" s="45">
        <v>44170</v>
      </c>
      <c r="L5" s="45">
        <v>62765</v>
      </c>
      <c r="M5" s="45">
        <v>83319</v>
      </c>
      <c r="N5" s="45">
        <v>85347</v>
      </c>
      <c r="O5" s="45">
        <v>80129</v>
      </c>
      <c r="P5" s="45">
        <v>113726</v>
      </c>
      <c r="Q5" s="45">
        <v>140963</v>
      </c>
      <c r="R5" s="45">
        <v>164383</v>
      </c>
      <c r="S5" s="45">
        <v>166904</v>
      </c>
    </row>
    <row r="6" spans="4:19" x14ac:dyDescent="0.25">
      <c r="G6" s="47" t="s">
        <v>43</v>
      </c>
      <c r="H6" s="48"/>
      <c r="I6" s="48"/>
      <c r="J6" s="48">
        <v>-6880</v>
      </c>
      <c r="K6" s="48">
        <v>-8511</v>
      </c>
      <c r="L6" s="48">
        <v>-21991</v>
      </c>
      <c r="M6" s="48">
        <v>-40136</v>
      </c>
      <c r="N6" s="48">
        <v>-13792</v>
      </c>
      <c r="O6" s="49">
        <v>959</v>
      </c>
      <c r="P6" s="48">
        <v>-14180</v>
      </c>
      <c r="Q6" s="48">
        <v>13194</v>
      </c>
      <c r="R6" s="48">
        <v>-15674</v>
      </c>
      <c r="S6" s="48">
        <v>-17837</v>
      </c>
    </row>
    <row r="7" spans="4:19" x14ac:dyDescent="0.25">
      <c r="G7" s="47" t="s">
        <v>30</v>
      </c>
      <c r="H7" s="48"/>
      <c r="I7" s="48"/>
      <c r="J7" s="48">
        <v>6758</v>
      </c>
      <c r="K7" s="48">
        <v>-6899</v>
      </c>
      <c r="L7" s="48">
        <v>-10474</v>
      </c>
      <c r="M7" s="48">
        <v>-6724</v>
      </c>
      <c r="N7" s="48">
        <v>-6342</v>
      </c>
      <c r="O7" s="48">
        <v>-7769</v>
      </c>
      <c r="P7" s="48">
        <v>-24983</v>
      </c>
      <c r="Q7" s="48">
        <v>-32228</v>
      </c>
      <c r="R7" s="48">
        <v>-12756</v>
      </c>
      <c r="S7" s="48">
        <v>3134</v>
      </c>
    </row>
    <row r="8" spans="4:19" ht="15.75" thickBot="1" x14ac:dyDescent="0.3">
      <c r="G8" s="47" t="s">
        <v>97</v>
      </c>
      <c r="H8" s="48"/>
      <c r="I8" s="48"/>
      <c r="J8" s="48">
        <v>7951</v>
      </c>
      <c r="K8" s="48">
        <v>30873</v>
      </c>
      <c r="L8" s="48">
        <v>51003</v>
      </c>
      <c r="M8" s="48">
        <v>18078</v>
      </c>
      <c r="N8" s="48">
        <v>38050</v>
      </c>
      <c r="O8" s="48">
        <v>-43148</v>
      </c>
      <c r="P8" s="48">
        <v>39888</v>
      </c>
      <c r="Q8" s="49">
        <v>-600</v>
      </c>
      <c r="R8" s="48">
        <v>34796</v>
      </c>
      <c r="S8" s="48">
        <v>38427</v>
      </c>
    </row>
    <row r="9" spans="4:19" ht="15.75" thickTop="1" x14ac:dyDescent="0.25">
      <c r="G9" s="46" t="s">
        <v>98</v>
      </c>
      <c r="H9" s="45"/>
      <c r="I9" s="45"/>
      <c r="J9" s="45">
        <v>7829</v>
      </c>
      <c r="K9" s="45">
        <v>15463</v>
      </c>
      <c r="L9" s="45">
        <v>18538</v>
      </c>
      <c r="M9" s="45">
        <v>-28782</v>
      </c>
      <c r="N9" s="45">
        <v>17916</v>
      </c>
      <c r="O9" s="45">
        <v>-49958</v>
      </c>
      <c r="P9" s="50">
        <v>725</v>
      </c>
      <c r="Q9" s="45">
        <v>-19634</v>
      </c>
      <c r="R9" s="45">
        <v>6366</v>
      </c>
      <c r="S9" s="45">
        <v>23724</v>
      </c>
    </row>
    <row r="10" spans="4:19" ht="15.75" thickBot="1" x14ac:dyDescent="0.3">
      <c r="D10" s="57"/>
      <c r="G10" s="47" t="s">
        <v>99</v>
      </c>
      <c r="H10" s="48"/>
      <c r="I10" s="48"/>
      <c r="J10" s="48">
        <v>-8582</v>
      </c>
      <c r="K10" s="48">
        <v>-10083</v>
      </c>
      <c r="L10" s="48">
        <v>-9844</v>
      </c>
      <c r="M10" s="48">
        <v>-12191</v>
      </c>
      <c r="N10" s="48">
        <v>-8386</v>
      </c>
      <c r="O10" s="48">
        <v>-3213</v>
      </c>
      <c r="P10" s="48">
        <v>-3797</v>
      </c>
      <c r="Q10" s="48">
        <v>-6297</v>
      </c>
      <c r="R10" s="48">
        <v>-11961</v>
      </c>
      <c r="S10" s="48">
        <v>-11925</v>
      </c>
    </row>
    <row r="11" spans="4:19" ht="15.75" thickTop="1" x14ac:dyDescent="0.25">
      <c r="G11" s="51" t="s">
        <v>117</v>
      </c>
      <c r="H11" s="52"/>
      <c r="I11" s="52"/>
      <c r="J11" s="52">
        <v>-36186</v>
      </c>
      <c r="K11" s="52">
        <v>-66201</v>
      </c>
      <c r="L11" s="52">
        <v>-68192</v>
      </c>
      <c r="M11" s="52">
        <v>-94507</v>
      </c>
      <c r="N11" s="52">
        <v>-72497</v>
      </c>
      <c r="O11" s="52">
        <v>-142385</v>
      </c>
      <c r="P11" s="52">
        <v>-109162</v>
      </c>
      <c r="Q11" s="52">
        <v>-93001</v>
      </c>
      <c r="R11" s="52">
        <v>-113581</v>
      </c>
      <c r="S11" s="52">
        <v>-137535</v>
      </c>
    </row>
    <row r="12" spans="4:19" x14ac:dyDescent="0.25">
      <c r="G12" s="53" t="s">
        <v>100</v>
      </c>
      <c r="H12" s="54"/>
      <c r="I12" s="54"/>
      <c r="J12" s="54">
        <v>-46898</v>
      </c>
      <c r="K12" s="54">
        <v>-78109</v>
      </c>
      <c r="L12" s="54">
        <v>-73953</v>
      </c>
      <c r="M12" s="54">
        <v>-93626</v>
      </c>
      <c r="N12" s="54">
        <v>-76517</v>
      </c>
      <c r="O12" s="54">
        <v>-105837</v>
      </c>
      <c r="P12" s="54">
        <v>-100145</v>
      </c>
      <c r="Q12" s="54">
        <v>-140988</v>
      </c>
      <c r="R12" s="54">
        <v>-152883</v>
      </c>
      <c r="S12" s="54">
        <v>-139967</v>
      </c>
    </row>
    <row r="13" spans="4:19" x14ac:dyDescent="0.25">
      <c r="G13" s="53" t="s">
        <v>101</v>
      </c>
      <c r="H13" s="55"/>
      <c r="I13" s="55"/>
      <c r="J13" s="55">
        <v>344</v>
      </c>
      <c r="K13" s="54">
        <v>1482</v>
      </c>
      <c r="L13" s="55">
        <v>999</v>
      </c>
      <c r="M13" s="55">
        <v>849</v>
      </c>
      <c r="N13" s="55">
        <v>964</v>
      </c>
      <c r="O13" s="54">
        <v>2319</v>
      </c>
      <c r="P13" s="54">
        <v>3137</v>
      </c>
      <c r="Q13" s="54">
        <v>9186</v>
      </c>
      <c r="R13" s="54">
        <v>15307</v>
      </c>
      <c r="S13" s="54">
        <v>2343</v>
      </c>
    </row>
    <row r="14" spans="4:19" x14ac:dyDescent="0.25">
      <c r="G14" s="53" t="s">
        <v>102</v>
      </c>
      <c r="H14" s="54"/>
      <c r="I14" s="54"/>
      <c r="J14" s="54">
        <v>-715334</v>
      </c>
      <c r="K14" s="54">
        <v>-654760</v>
      </c>
      <c r="L14" s="54">
        <v>-533984</v>
      </c>
      <c r="M14" s="54">
        <v>-1107439</v>
      </c>
      <c r="N14" s="54">
        <v>-1156843</v>
      </c>
      <c r="O14" s="54">
        <v>-689866</v>
      </c>
      <c r="P14" s="54">
        <v>-667878</v>
      </c>
      <c r="Q14" s="54">
        <v>-471822</v>
      </c>
      <c r="R14" s="54">
        <v>-514380</v>
      </c>
      <c r="S14" s="54">
        <v>-684340</v>
      </c>
    </row>
    <row r="15" spans="4:19" x14ac:dyDescent="0.25">
      <c r="G15" s="53" t="s">
        <v>103</v>
      </c>
      <c r="H15" s="54"/>
      <c r="I15" s="54"/>
      <c r="J15" s="54">
        <v>721182</v>
      </c>
      <c r="K15" s="54">
        <v>663990</v>
      </c>
      <c r="L15" s="54">
        <v>537504</v>
      </c>
      <c r="M15" s="54">
        <v>1103615</v>
      </c>
      <c r="N15" s="54">
        <v>1174796</v>
      </c>
      <c r="O15" s="54">
        <v>642551</v>
      </c>
      <c r="P15" s="54">
        <v>668137</v>
      </c>
      <c r="Q15" s="54">
        <v>501266</v>
      </c>
      <c r="R15" s="54">
        <v>531355</v>
      </c>
      <c r="S15" s="54">
        <v>672558</v>
      </c>
    </row>
    <row r="16" spans="4:19" x14ac:dyDescent="0.25">
      <c r="G16" s="53" t="s">
        <v>104</v>
      </c>
      <c r="H16" s="54"/>
      <c r="I16" s="54"/>
      <c r="J16" s="54">
        <v>2942</v>
      </c>
      <c r="K16" s="54">
        <v>1110</v>
      </c>
      <c r="L16" s="54">
        <v>1310</v>
      </c>
      <c r="M16" s="55">
        <v>972</v>
      </c>
      <c r="N16" s="54">
        <v>1441</v>
      </c>
      <c r="O16" s="54">
        <v>8400</v>
      </c>
      <c r="P16" s="54">
        <v>5933</v>
      </c>
      <c r="Q16" s="54">
        <v>11103</v>
      </c>
      <c r="R16" s="54">
        <v>10648</v>
      </c>
      <c r="S16" s="54">
        <v>15833</v>
      </c>
    </row>
    <row r="17" spans="4:19" x14ac:dyDescent="0.25">
      <c r="D17" s="57"/>
      <c r="G17" s="53" t="s">
        <v>105</v>
      </c>
      <c r="H17" s="55"/>
      <c r="I17" s="55"/>
      <c r="J17" s="55">
        <v>732</v>
      </c>
      <c r="K17" s="55">
        <v>345</v>
      </c>
      <c r="L17" s="54">
        <v>1021</v>
      </c>
      <c r="M17" s="55">
        <v>501</v>
      </c>
      <c r="N17" s="55">
        <v>78</v>
      </c>
      <c r="O17" s="55">
        <v>26</v>
      </c>
      <c r="P17" s="55">
        <v>19</v>
      </c>
      <c r="Q17" s="55">
        <v>20</v>
      </c>
      <c r="R17" s="55">
        <v>75</v>
      </c>
      <c r="S17" s="55">
        <v>612</v>
      </c>
    </row>
    <row r="18" spans="4:19" ht="15.75" thickBot="1" x14ac:dyDescent="0.3">
      <c r="G18" s="53" t="s">
        <v>106</v>
      </c>
      <c r="H18" s="54"/>
      <c r="I18" s="54"/>
      <c r="J18" s="55">
        <v>846</v>
      </c>
      <c r="K18" s="55">
        <v>-259</v>
      </c>
      <c r="L18" s="54">
        <v>-1089</v>
      </c>
      <c r="M18" s="55">
        <v>621</v>
      </c>
      <c r="N18" s="54">
        <v>-16416</v>
      </c>
      <c r="O18" s="55">
        <v>22</v>
      </c>
      <c r="P18" s="54">
        <v>-18365</v>
      </c>
      <c r="Q18" s="54">
        <v>-1766</v>
      </c>
      <c r="R18" s="54">
        <v>-3703</v>
      </c>
      <c r="S18" s="54">
        <v>-4574</v>
      </c>
    </row>
    <row r="19" spans="4:19" ht="15.75" thickTop="1" x14ac:dyDescent="0.25">
      <c r="G19" s="44" t="s">
        <v>118</v>
      </c>
      <c r="H19" s="45"/>
      <c r="I19" s="45"/>
      <c r="J19" s="45">
        <v>-3210</v>
      </c>
      <c r="K19" s="45">
        <v>8617</v>
      </c>
      <c r="L19" s="45">
        <v>-2001</v>
      </c>
      <c r="M19" s="45">
        <v>55906</v>
      </c>
      <c r="N19" s="45">
        <v>-2541</v>
      </c>
      <c r="O19" s="45">
        <v>101904</v>
      </c>
      <c r="P19" s="45">
        <v>17289</v>
      </c>
      <c r="Q19" s="45">
        <v>10455</v>
      </c>
      <c r="R19" s="45">
        <v>-16646</v>
      </c>
      <c r="S19" s="45">
        <v>-31891</v>
      </c>
    </row>
    <row r="20" spans="4:19" x14ac:dyDescent="0.25">
      <c r="G20" s="47" t="s">
        <v>107</v>
      </c>
      <c r="H20" s="49"/>
      <c r="I20" s="49"/>
      <c r="J20" s="49">
        <v>288</v>
      </c>
      <c r="K20" s="49">
        <v>811</v>
      </c>
      <c r="L20" s="49">
        <v>406</v>
      </c>
      <c r="M20" s="49">
        <v>230</v>
      </c>
      <c r="N20" s="49">
        <v>129</v>
      </c>
      <c r="O20" s="49">
        <v>5</v>
      </c>
      <c r="P20" s="49">
        <v>455</v>
      </c>
      <c r="Q20" s="49">
        <v>479</v>
      </c>
      <c r="R20" s="48">
        <v>20915</v>
      </c>
      <c r="S20" s="49">
        <v>0</v>
      </c>
    </row>
    <row r="21" spans="4:19" x14ac:dyDescent="0.25">
      <c r="G21" s="47" t="s">
        <v>108</v>
      </c>
      <c r="H21" s="48"/>
      <c r="I21" s="48"/>
      <c r="J21" s="48">
        <v>34673</v>
      </c>
      <c r="K21" s="48">
        <v>31728</v>
      </c>
      <c r="L21" s="48">
        <v>36970</v>
      </c>
      <c r="M21" s="48">
        <v>106701</v>
      </c>
      <c r="N21" s="48">
        <v>53760</v>
      </c>
      <c r="O21" s="48">
        <v>46421</v>
      </c>
      <c r="P21" s="48">
        <v>59343</v>
      </c>
      <c r="Q21" s="48">
        <v>67134</v>
      </c>
      <c r="R21" s="48">
        <v>69610</v>
      </c>
      <c r="S21" s="48">
        <v>51002</v>
      </c>
    </row>
    <row r="22" spans="4:19" x14ac:dyDescent="0.25">
      <c r="G22" s="47" t="s">
        <v>109</v>
      </c>
      <c r="H22" s="48"/>
      <c r="I22" s="48"/>
      <c r="J22" s="48">
        <v>-21693</v>
      </c>
      <c r="K22" s="48">
        <v>-18542</v>
      </c>
      <c r="L22" s="48">
        <v>-19813</v>
      </c>
      <c r="M22" s="48">
        <v>-20245</v>
      </c>
      <c r="N22" s="48">
        <v>-18179</v>
      </c>
      <c r="O22" s="48">
        <v>-116921</v>
      </c>
      <c r="P22" s="48">
        <v>-49493</v>
      </c>
      <c r="Q22" s="48">
        <v>-29059</v>
      </c>
      <c r="R22" s="48">
        <v>-60348</v>
      </c>
      <c r="S22" s="48">
        <v>-31755</v>
      </c>
    </row>
    <row r="23" spans="4:19" x14ac:dyDescent="0.25">
      <c r="G23" s="47" t="s">
        <v>110</v>
      </c>
      <c r="H23" s="48"/>
      <c r="I23" s="48"/>
      <c r="J23" s="48">
        <v>-9224</v>
      </c>
      <c r="K23" s="48">
        <v>-12920</v>
      </c>
      <c r="L23" s="48">
        <v>-17669</v>
      </c>
      <c r="M23" s="48">
        <v>-23338</v>
      </c>
      <c r="N23" s="48">
        <v>-28508</v>
      </c>
      <c r="O23" s="48">
        <v>-18340</v>
      </c>
      <c r="P23" s="48">
        <v>-26349</v>
      </c>
      <c r="Q23" s="48">
        <v>-21650</v>
      </c>
      <c r="R23" s="48">
        <v>-37173</v>
      </c>
      <c r="S23" s="48">
        <v>-41024</v>
      </c>
    </row>
    <row r="24" spans="4:19" x14ac:dyDescent="0.25">
      <c r="G24" s="47" t="s">
        <v>111</v>
      </c>
      <c r="H24" s="48"/>
      <c r="I24" s="48"/>
      <c r="J24" s="48">
        <v>-7259</v>
      </c>
      <c r="K24" s="49">
        <v>-53</v>
      </c>
      <c r="L24" s="48">
        <v>-3916</v>
      </c>
      <c r="M24" s="48">
        <v>-4282</v>
      </c>
      <c r="N24" s="48">
        <v>-4592</v>
      </c>
      <c r="O24" s="48">
        <v>-3921</v>
      </c>
      <c r="P24" s="48">
        <v>-4297</v>
      </c>
      <c r="Q24" s="48">
        <v>-5083</v>
      </c>
      <c r="R24" s="48">
        <v>-6089</v>
      </c>
      <c r="S24" s="48">
        <v>-6766</v>
      </c>
    </row>
    <row r="25" spans="4:19" x14ac:dyDescent="0.25">
      <c r="G25" s="47" t="s">
        <v>112</v>
      </c>
      <c r="H25" s="49"/>
      <c r="I25" s="49"/>
      <c r="J25" s="49">
        <v>0</v>
      </c>
      <c r="K25" s="49">
        <v>0</v>
      </c>
      <c r="L25" s="49">
        <v>0</v>
      </c>
      <c r="M25" s="49">
        <v>0</v>
      </c>
      <c r="N25" s="48">
        <v>-1062</v>
      </c>
      <c r="O25" s="48">
        <v>-1022</v>
      </c>
      <c r="P25" s="48">
        <v>-2132</v>
      </c>
      <c r="Q25" s="48">
        <v>-1406</v>
      </c>
      <c r="R25" s="48">
        <v>-2483</v>
      </c>
      <c r="S25" s="48">
        <v>-5912</v>
      </c>
    </row>
    <row r="26" spans="4:19" x14ac:dyDescent="0.25">
      <c r="G26" s="47" t="s">
        <v>113</v>
      </c>
      <c r="H26" s="49"/>
      <c r="I26" s="49"/>
      <c r="J26" s="49">
        <v>8</v>
      </c>
      <c r="K26" s="49">
        <v>4</v>
      </c>
      <c r="L26" s="49">
        <v>15</v>
      </c>
      <c r="M26" s="49">
        <v>2</v>
      </c>
      <c r="N26" s="49">
        <v>1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</row>
    <row r="27" spans="4:19" ht="15.75" thickBot="1" x14ac:dyDescent="0.3">
      <c r="G27" s="47" t="s">
        <v>114</v>
      </c>
      <c r="H27" s="49"/>
      <c r="I27" s="49"/>
      <c r="J27" s="49">
        <v>-3</v>
      </c>
      <c r="K27" s="48">
        <v>7589</v>
      </c>
      <c r="L27" s="48">
        <v>2006</v>
      </c>
      <c r="M27" s="48">
        <v>-3162</v>
      </c>
      <c r="N27" s="48">
        <v>-4090</v>
      </c>
      <c r="O27" s="48">
        <v>195682</v>
      </c>
      <c r="P27" s="48">
        <v>39762</v>
      </c>
      <c r="Q27" s="49">
        <v>40</v>
      </c>
      <c r="R27" s="48">
        <v>-1078</v>
      </c>
      <c r="S27" s="48">
        <v>2564</v>
      </c>
    </row>
    <row r="28" spans="4:19" ht="15.75" thickTop="1" x14ac:dyDescent="0.25">
      <c r="G28" s="51" t="s">
        <v>21</v>
      </c>
      <c r="H28" s="52"/>
      <c r="I28" s="52"/>
      <c r="J28" s="52">
        <v>-1262</v>
      </c>
      <c r="K28" s="52">
        <v>-8034</v>
      </c>
      <c r="L28" s="52">
        <v>1266</v>
      </c>
      <c r="M28" s="52">
        <v>3745</v>
      </c>
      <c r="N28" s="52">
        <v>19839</v>
      </c>
      <c r="O28" s="52">
        <v>-13523</v>
      </c>
      <c r="P28" s="52">
        <v>18781</v>
      </c>
      <c r="Q28" s="52">
        <v>32486</v>
      </c>
      <c r="R28" s="52">
        <v>28561</v>
      </c>
      <c r="S28" s="52">
        <v>9277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Normal="100" zoomScalePageLayoutView="120" workbookViewId="0">
      <pane xSplit="1" ySplit="1" topLeftCell="B41" activePane="bottomRight" state="frozen"/>
      <selection activeCell="C4" sqref="C4"/>
      <selection pane="topRight" activeCell="C4" sqref="C4"/>
      <selection pane="bottomLeft" activeCell="C4" sqref="C4"/>
      <selection pane="bottomRight" activeCell="A60" sqref="A60"/>
    </sheetView>
  </sheetViews>
  <sheetFormatPr defaultColWidth="8.85546875" defaultRowHeight="15" x14ac:dyDescent="0.25"/>
  <cols>
    <col min="1" max="1" width="27.7109375" style="2" bestFit="1" customWidth="1"/>
    <col min="2" max="10" width="16" style="2" bestFit="1" customWidth="1"/>
    <col min="11" max="11" width="13.5703125" style="2" bestFit="1" customWidth="1"/>
    <col min="12" max="16384" width="8.85546875" style="2"/>
  </cols>
  <sheetData>
    <row r="1" spans="1:11" s="1" customFormat="1" x14ac:dyDescent="0.25">
      <c r="A1" s="1" t="s">
        <v>0</v>
      </c>
      <c r="B1" s="1" t="s">
        <v>33</v>
      </c>
      <c r="E1" s="70" t="str">
        <f>IF(B2&lt;&gt;B3, "A NEW VERSION OF THE WORKSHEET IS AVAILABLE", "")</f>
        <v/>
      </c>
      <c r="F1" s="70"/>
      <c r="G1" s="70"/>
      <c r="H1" s="70"/>
      <c r="I1" s="70"/>
      <c r="J1" s="70"/>
      <c r="K1" s="70"/>
    </row>
    <row r="2" spans="1:11" x14ac:dyDescent="0.25">
      <c r="A2" s="1" t="s">
        <v>31</v>
      </c>
      <c r="B2" s="2">
        <v>2.1</v>
      </c>
      <c r="E2" s="71" t="s">
        <v>22</v>
      </c>
      <c r="F2" s="71"/>
      <c r="G2" s="71"/>
      <c r="H2" s="71"/>
      <c r="I2" s="71"/>
      <c r="J2" s="71"/>
      <c r="K2" s="71"/>
    </row>
    <row r="3" spans="1:11" x14ac:dyDescent="0.25">
      <c r="A3" s="1" t="s">
        <v>32</v>
      </c>
      <c r="B3" s="2">
        <v>2.1</v>
      </c>
    </row>
    <row r="4" spans="1:11" x14ac:dyDescent="0.25">
      <c r="A4" s="1"/>
    </row>
    <row r="5" spans="1:11" x14ac:dyDescent="0.25">
      <c r="A5" s="1" t="s">
        <v>34</v>
      </c>
    </row>
    <row r="6" spans="1:11" x14ac:dyDescent="0.25">
      <c r="A6" s="2" t="s">
        <v>28</v>
      </c>
      <c r="B6" s="2">
        <f>IF(B9&gt;0, B9/B8, 0)</f>
        <v>1353.2468632202479</v>
      </c>
    </row>
    <row r="7" spans="1:11" x14ac:dyDescent="0.25">
      <c r="A7" s="2" t="s">
        <v>17</v>
      </c>
      <c r="B7">
        <v>10</v>
      </c>
    </row>
    <row r="8" spans="1:11" x14ac:dyDescent="0.25">
      <c r="A8" s="2" t="s">
        <v>29</v>
      </c>
      <c r="B8">
        <v>1485.6</v>
      </c>
    </row>
    <row r="9" spans="1:11" x14ac:dyDescent="0.25">
      <c r="A9" s="2" t="s">
        <v>44</v>
      </c>
      <c r="B9">
        <v>2010383.54</v>
      </c>
    </row>
    <row r="15" spans="1:11" x14ac:dyDescent="0.25">
      <c r="A15" s="1" t="s">
        <v>23</v>
      </c>
    </row>
    <row r="16" spans="1:11" s="6" customFormat="1" x14ac:dyDescent="0.25">
      <c r="A16" s="5" t="s">
        <v>24</v>
      </c>
      <c r="B16" s="4">
        <v>42460</v>
      </c>
      <c r="C16" s="4">
        <v>42825</v>
      </c>
      <c r="D16" s="4">
        <v>43190</v>
      </c>
      <c r="E16" s="4">
        <v>43555</v>
      </c>
      <c r="F16" s="4">
        <v>43921</v>
      </c>
      <c r="G16" s="4">
        <v>44286</v>
      </c>
      <c r="H16" s="4">
        <v>44651</v>
      </c>
      <c r="I16" s="4">
        <v>45016</v>
      </c>
      <c r="J16" s="4">
        <v>45382</v>
      </c>
      <c r="K16" s="4">
        <v>45747</v>
      </c>
    </row>
    <row r="17" spans="1:11" s="3" customFormat="1" x14ac:dyDescent="0.25">
      <c r="A17" s="3" t="s">
        <v>1</v>
      </c>
      <c r="B17" s="24">
        <v>272583</v>
      </c>
      <c r="C17" s="24">
        <v>303954</v>
      </c>
      <c r="D17" s="24">
        <v>390823</v>
      </c>
      <c r="E17" s="24">
        <v>568337</v>
      </c>
      <c r="F17" s="24">
        <v>596679</v>
      </c>
      <c r="G17" s="24">
        <v>466307</v>
      </c>
      <c r="H17" s="24">
        <v>694673</v>
      </c>
      <c r="I17" s="24">
        <v>876396</v>
      </c>
      <c r="J17" s="24">
        <v>899041</v>
      </c>
      <c r="K17" s="24">
        <v>964693</v>
      </c>
    </row>
    <row r="18" spans="1:11" s="3" customFormat="1" x14ac:dyDescent="0.25">
      <c r="A18" s="2" t="s">
        <v>45</v>
      </c>
      <c r="B18" s="24">
        <v>186254</v>
      </c>
      <c r="C18" s="24">
        <v>217518</v>
      </c>
      <c r="D18" s="24">
        <v>276076</v>
      </c>
      <c r="E18" s="24">
        <v>399167</v>
      </c>
      <c r="F18" s="24">
        <v>410288</v>
      </c>
      <c r="G18" s="24">
        <v>301765</v>
      </c>
      <c r="H18" s="24">
        <v>494449</v>
      </c>
      <c r="I18" s="24">
        <v>618746</v>
      </c>
      <c r="J18" s="24">
        <v>590226</v>
      </c>
      <c r="K18" s="24">
        <v>644813</v>
      </c>
    </row>
    <row r="19" spans="1:11" s="3" customFormat="1" x14ac:dyDescent="0.25">
      <c r="A19" s="2" t="s">
        <v>46</v>
      </c>
      <c r="B19" s="24">
        <v>-2560</v>
      </c>
      <c r="C19" s="24">
        <v>5218</v>
      </c>
      <c r="D19" s="24">
        <v>8610</v>
      </c>
      <c r="E19" s="24">
        <v>4680</v>
      </c>
      <c r="F19" s="24">
        <v>5048</v>
      </c>
      <c r="G19" s="24">
        <v>9064</v>
      </c>
      <c r="H19" s="24">
        <v>21457</v>
      </c>
      <c r="I19" s="24">
        <v>30263</v>
      </c>
      <c r="J19" s="24">
        <v>4883</v>
      </c>
      <c r="K19" s="24">
        <v>15124</v>
      </c>
    </row>
    <row r="20" spans="1:11" s="3" customFormat="1" x14ac:dyDescent="0.25">
      <c r="A20" s="2" t="s">
        <v>47</v>
      </c>
      <c r="B20" s="24">
        <v>10741</v>
      </c>
      <c r="C20" s="24">
        <v>11251</v>
      </c>
      <c r="D20" s="24">
        <v>14569</v>
      </c>
      <c r="E20" s="24">
        <v>17029</v>
      </c>
      <c r="F20" s="24">
        <v>15098</v>
      </c>
      <c r="G20" s="24">
        <v>13214</v>
      </c>
      <c r="H20" s="24">
        <v>17902</v>
      </c>
      <c r="I20" s="24">
        <v>25062</v>
      </c>
      <c r="J20" s="24">
        <v>22137</v>
      </c>
      <c r="K20" s="25"/>
    </row>
    <row r="21" spans="1:11" s="3" customFormat="1" x14ac:dyDescent="0.25">
      <c r="A21" s="2" t="s">
        <v>62</v>
      </c>
      <c r="B21" s="24">
        <v>8272</v>
      </c>
      <c r="C21" s="24">
        <v>9909</v>
      </c>
      <c r="D21" s="24">
        <v>9691</v>
      </c>
      <c r="E21" s="24">
        <v>12198</v>
      </c>
      <c r="F21" s="24">
        <v>11434</v>
      </c>
      <c r="G21" s="24">
        <v>7687</v>
      </c>
      <c r="H21" s="24">
        <v>12174</v>
      </c>
      <c r="I21" s="24">
        <v>19658</v>
      </c>
      <c r="J21" s="24">
        <v>18276</v>
      </c>
      <c r="K21" s="25"/>
    </row>
    <row r="22" spans="1:11" s="3" customFormat="1" x14ac:dyDescent="0.25">
      <c r="A22" s="2" t="s">
        <v>48</v>
      </c>
      <c r="B22" s="24">
        <v>7407</v>
      </c>
      <c r="C22" s="24">
        <v>8388</v>
      </c>
      <c r="D22" s="24">
        <v>9523</v>
      </c>
      <c r="E22" s="24">
        <v>12488</v>
      </c>
      <c r="F22" s="24">
        <v>14075</v>
      </c>
      <c r="G22" s="24">
        <v>14817</v>
      </c>
      <c r="H22" s="24">
        <v>18758</v>
      </c>
      <c r="I22" s="24">
        <v>24872</v>
      </c>
      <c r="J22" s="24">
        <v>25679</v>
      </c>
      <c r="K22" s="24">
        <v>28559</v>
      </c>
    </row>
    <row r="23" spans="1:11" s="3" customFormat="1" x14ac:dyDescent="0.25">
      <c r="A23" s="2" t="s">
        <v>49</v>
      </c>
      <c r="B23" s="24">
        <v>18808</v>
      </c>
      <c r="C23" s="24">
        <v>18520</v>
      </c>
      <c r="D23" s="24">
        <v>29111</v>
      </c>
      <c r="E23" s="24">
        <v>50221</v>
      </c>
      <c r="F23" s="24">
        <v>62622</v>
      </c>
      <c r="G23" s="24">
        <v>56154</v>
      </c>
      <c r="H23" s="24">
        <v>63513</v>
      </c>
      <c r="I23" s="24">
        <v>67369</v>
      </c>
      <c r="J23" s="24">
        <v>77292</v>
      </c>
      <c r="K23" s="25"/>
    </row>
    <row r="24" spans="1:11" s="3" customFormat="1" x14ac:dyDescent="0.25">
      <c r="A24" s="2" t="s">
        <v>50</v>
      </c>
      <c r="B24" s="24">
        <v>-3240</v>
      </c>
      <c r="C24" s="24">
        <v>-2721</v>
      </c>
      <c r="D24" s="24">
        <v>-3852</v>
      </c>
      <c r="E24" s="24">
        <v>-2336</v>
      </c>
      <c r="F24" s="24">
        <v>-1056</v>
      </c>
      <c r="G24" s="24">
        <v>944</v>
      </c>
      <c r="H24" s="24">
        <v>753</v>
      </c>
      <c r="I24" s="24">
        <v>8634</v>
      </c>
      <c r="J24" s="24">
        <v>7816</v>
      </c>
      <c r="K24" s="24">
        <v>141001</v>
      </c>
    </row>
    <row r="25" spans="1:11" s="3" customFormat="1" x14ac:dyDescent="0.25">
      <c r="A25" s="3" t="s">
        <v>4</v>
      </c>
      <c r="B25" s="24">
        <v>12212</v>
      </c>
      <c r="C25" s="24">
        <v>9222</v>
      </c>
      <c r="D25" s="24">
        <v>9869</v>
      </c>
      <c r="E25" s="24">
        <v>8406</v>
      </c>
      <c r="F25" s="24">
        <v>8570</v>
      </c>
      <c r="G25" s="24">
        <v>22432</v>
      </c>
      <c r="H25" s="24">
        <v>19600</v>
      </c>
      <c r="I25" s="24">
        <v>12020</v>
      </c>
      <c r="J25" s="24">
        <v>16179</v>
      </c>
      <c r="K25" s="24">
        <v>17978</v>
      </c>
    </row>
    <row r="26" spans="1:11" s="3" customFormat="1" x14ac:dyDescent="0.25">
      <c r="A26" s="3" t="s">
        <v>5</v>
      </c>
      <c r="B26" s="24">
        <v>11565</v>
      </c>
      <c r="C26" s="24">
        <v>11646</v>
      </c>
      <c r="D26" s="24">
        <v>16706</v>
      </c>
      <c r="E26" s="24">
        <v>20934</v>
      </c>
      <c r="F26" s="24">
        <v>22203</v>
      </c>
      <c r="G26" s="24">
        <v>26572</v>
      </c>
      <c r="H26" s="24">
        <v>29782</v>
      </c>
      <c r="I26" s="24">
        <v>40303</v>
      </c>
      <c r="J26" s="24">
        <v>50832</v>
      </c>
      <c r="K26" s="24">
        <v>53136</v>
      </c>
    </row>
    <row r="27" spans="1:11" s="3" customFormat="1" x14ac:dyDescent="0.25">
      <c r="A27" s="3" t="s">
        <v>6</v>
      </c>
      <c r="B27" s="24">
        <v>3691</v>
      </c>
      <c r="C27" s="24">
        <v>3849</v>
      </c>
      <c r="D27" s="24">
        <v>8052</v>
      </c>
      <c r="E27" s="24">
        <v>16495</v>
      </c>
      <c r="F27" s="24">
        <v>22027</v>
      </c>
      <c r="G27" s="24">
        <v>21189</v>
      </c>
      <c r="H27" s="24">
        <v>14584</v>
      </c>
      <c r="I27" s="24">
        <v>19571</v>
      </c>
      <c r="J27" s="24">
        <v>23118</v>
      </c>
      <c r="K27" s="24">
        <v>24269</v>
      </c>
    </row>
    <row r="28" spans="1:11" s="3" customFormat="1" x14ac:dyDescent="0.25">
      <c r="A28" s="3" t="s">
        <v>7</v>
      </c>
      <c r="B28" s="24">
        <v>38737</v>
      </c>
      <c r="C28" s="24">
        <v>40034</v>
      </c>
      <c r="D28" s="24">
        <v>49426</v>
      </c>
      <c r="E28" s="24">
        <v>55227</v>
      </c>
      <c r="F28" s="24">
        <v>53606</v>
      </c>
      <c r="G28" s="24">
        <v>55461</v>
      </c>
      <c r="H28" s="24">
        <v>83815</v>
      </c>
      <c r="I28" s="24">
        <v>94464</v>
      </c>
      <c r="J28" s="24">
        <v>104727</v>
      </c>
      <c r="K28" s="24">
        <v>106017</v>
      </c>
    </row>
    <row r="29" spans="1:11" s="3" customFormat="1" x14ac:dyDescent="0.25">
      <c r="A29" s="3" t="s">
        <v>8</v>
      </c>
      <c r="B29" s="24">
        <v>8876</v>
      </c>
      <c r="C29" s="24">
        <v>10201</v>
      </c>
      <c r="D29" s="24">
        <v>13346</v>
      </c>
      <c r="E29" s="24">
        <v>15390</v>
      </c>
      <c r="F29" s="24">
        <v>13726</v>
      </c>
      <c r="G29" s="24">
        <v>1722</v>
      </c>
      <c r="H29" s="24">
        <v>15970</v>
      </c>
      <c r="I29" s="24">
        <v>20376</v>
      </c>
      <c r="J29" s="24">
        <v>25707</v>
      </c>
      <c r="K29" s="24">
        <v>25230</v>
      </c>
    </row>
    <row r="30" spans="1:11" s="3" customFormat="1" x14ac:dyDescent="0.25">
      <c r="A30" s="1" t="s">
        <v>9</v>
      </c>
      <c r="B30" s="28">
        <v>29745</v>
      </c>
      <c r="C30" s="28">
        <v>29901</v>
      </c>
      <c r="D30" s="28">
        <v>36075</v>
      </c>
      <c r="E30" s="28">
        <v>39588</v>
      </c>
      <c r="F30" s="28">
        <v>39354</v>
      </c>
      <c r="G30" s="28">
        <v>49128</v>
      </c>
      <c r="H30" s="28">
        <v>60705</v>
      </c>
      <c r="I30" s="28">
        <v>66702</v>
      </c>
      <c r="J30" s="28">
        <v>69621</v>
      </c>
      <c r="K30" s="28">
        <v>69648</v>
      </c>
    </row>
    <row r="31" spans="1:11" s="3" customFormat="1" x14ac:dyDescent="0.25">
      <c r="A31" s="3" t="s">
        <v>35</v>
      </c>
      <c r="B31" s="24">
        <v>3095.4</v>
      </c>
      <c r="C31" s="24">
        <v>3254.9</v>
      </c>
      <c r="D31" s="24">
        <v>3553.2</v>
      </c>
      <c r="E31" s="24">
        <v>3851.9</v>
      </c>
      <c r="F31" s="24">
        <v>4120.3500000000004</v>
      </c>
      <c r="G31" s="24">
        <v>4511.5</v>
      </c>
      <c r="H31" s="24">
        <v>5412</v>
      </c>
      <c r="I31" s="24">
        <v>6089.4</v>
      </c>
      <c r="J31" s="24">
        <v>6766</v>
      </c>
      <c r="K31" s="24">
        <v>7442.6</v>
      </c>
    </row>
    <row r="32" spans="1:11" s="3" customFormat="1" x14ac:dyDescent="0.25"/>
    <row r="33" spans="1:11" x14ac:dyDescent="0.25">
      <c r="A33" s="3"/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25</v>
      </c>
    </row>
    <row r="41" spans="1:11" s="6" customFormat="1" x14ac:dyDescent="0.25">
      <c r="A41" s="5" t="s">
        <v>24</v>
      </c>
      <c r="B41" s="4">
        <v>44926</v>
      </c>
      <c r="C41" s="4">
        <v>45016</v>
      </c>
      <c r="D41" s="4">
        <v>45107</v>
      </c>
      <c r="E41" s="4">
        <v>45199</v>
      </c>
      <c r="F41" s="4">
        <v>45291</v>
      </c>
      <c r="G41" s="4">
        <v>45382</v>
      </c>
      <c r="H41" s="4">
        <v>45473</v>
      </c>
      <c r="I41" s="4">
        <v>45565</v>
      </c>
      <c r="J41" s="4">
        <v>45657</v>
      </c>
      <c r="K41" s="4">
        <v>45747</v>
      </c>
    </row>
    <row r="42" spans="1:11" s="3" customFormat="1" x14ac:dyDescent="0.25">
      <c r="A42" s="3" t="s">
        <v>1</v>
      </c>
      <c r="B42">
        <v>216737</v>
      </c>
      <c r="C42">
        <v>212834</v>
      </c>
      <c r="D42">
        <v>207559</v>
      </c>
      <c r="E42">
        <v>231886</v>
      </c>
      <c r="F42">
        <v>225086</v>
      </c>
      <c r="G42">
        <v>236533</v>
      </c>
      <c r="H42">
        <v>231784</v>
      </c>
      <c r="I42">
        <v>231535</v>
      </c>
      <c r="J42">
        <v>239986</v>
      </c>
      <c r="K42">
        <v>261388</v>
      </c>
    </row>
    <row r="43" spans="1:11" s="3" customFormat="1" x14ac:dyDescent="0.25">
      <c r="A43" s="3" t="s">
        <v>2</v>
      </c>
      <c r="B43">
        <v>181728</v>
      </c>
      <c r="C43">
        <v>174478</v>
      </c>
      <c r="D43">
        <v>169466</v>
      </c>
      <c r="E43">
        <v>190918</v>
      </c>
      <c r="F43">
        <v>184430</v>
      </c>
      <c r="G43">
        <v>194017</v>
      </c>
      <c r="H43">
        <v>193019</v>
      </c>
      <c r="I43">
        <v>192477</v>
      </c>
      <c r="J43">
        <v>196197</v>
      </c>
      <c r="K43">
        <v>217556</v>
      </c>
    </row>
    <row r="44" spans="1:11" s="3" customFormat="1" x14ac:dyDescent="0.25">
      <c r="A44" s="3" t="s">
        <v>4</v>
      </c>
      <c r="B44">
        <v>3377</v>
      </c>
      <c r="C44">
        <v>2996</v>
      </c>
      <c r="D44">
        <v>3813</v>
      </c>
      <c r="E44">
        <v>3841</v>
      </c>
      <c r="F44">
        <v>3869</v>
      </c>
      <c r="G44">
        <v>4534</v>
      </c>
      <c r="H44">
        <v>3983</v>
      </c>
      <c r="I44">
        <v>4876</v>
      </c>
      <c r="J44">
        <v>4214</v>
      </c>
      <c r="K44">
        <v>4905</v>
      </c>
    </row>
    <row r="45" spans="1:11" s="3" customFormat="1" x14ac:dyDescent="0.25">
      <c r="A45" s="3" t="s">
        <v>5</v>
      </c>
      <c r="B45">
        <v>10183</v>
      </c>
      <c r="C45">
        <v>11452</v>
      </c>
      <c r="D45">
        <v>11775</v>
      </c>
      <c r="E45">
        <v>12585</v>
      </c>
      <c r="F45">
        <v>12903</v>
      </c>
      <c r="G45">
        <v>13569</v>
      </c>
      <c r="H45">
        <v>13596</v>
      </c>
      <c r="I45">
        <v>12880</v>
      </c>
      <c r="J45">
        <v>13181</v>
      </c>
      <c r="K45">
        <v>13479</v>
      </c>
    </row>
    <row r="46" spans="1:11" s="3" customFormat="1" x14ac:dyDescent="0.25">
      <c r="A46" s="3" t="s">
        <v>6</v>
      </c>
      <c r="B46">
        <v>5201</v>
      </c>
      <c r="C46">
        <v>5819</v>
      </c>
      <c r="D46">
        <v>5837</v>
      </c>
      <c r="E46">
        <v>5731</v>
      </c>
      <c r="F46">
        <v>5789</v>
      </c>
      <c r="G46">
        <v>5761</v>
      </c>
      <c r="H46">
        <v>5918</v>
      </c>
      <c r="I46">
        <v>6017</v>
      </c>
      <c r="J46">
        <v>6179</v>
      </c>
      <c r="K46">
        <v>6155</v>
      </c>
    </row>
    <row r="47" spans="1:11" s="3" customFormat="1" x14ac:dyDescent="0.25">
      <c r="A47" s="3" t="s">
        <v>7</v>
      </c>
      <c r="B47">
        <v>23002</v>
      </c>
      <c r="C47">
        <v>24081</v>
      </c>
      <c r="D47">
        <v>24294</v>
      </c>
      <c r="E47">
        <v>26493</v>
      </c>
      <c r="F47">
        <v>25833</v>
      </c>
      <c r="G47">
        <v>27720</v>
      </c>
      <c r="H47">
        <v>23234</v>
      </c>
      <c r="I47">
        <v>25037</v>
      </c>
      <c r="J47">
        <v>28643</v>
      </c>
      <c r="K47">
        <v>29103</v>
      </c>
    </row>
    <row r="48" spans="1:11" s="3" customFormat="1" x14ac:dyDescent="0.25">
      <c r="A48" s="3" t="s">
        <v>8</v>
      </c>
      <c r="B48">
        <v>5196</v>
      </c>
      <c r="C48">
        <v>2754</v>
      </c>
      <c r="D48">
        <v>6112</v>
      </c>
      <c r="E48">
        <v>6673</v>
      </c>
      <c r="F48">
        <v>6345</v>
      </c>
      <c r="G48">
        <v>6577</v>
      </c>
      <c r="H48">
        <v>5786</v>
      </c>
      <c r="I48">
        <v>5936</v>
      </c>
      <c r="J48">
        <v>6839</v>
      </c>
      <c r="K48">
        <v>6669</v>
      </c>
    </row>
    <row r="49" spans="1:11" s="3" customFormat="1" x14ac:dyDescent="0.25">
      <c r="A49" s="3" t="s">
        <v>9</v>
      </c>
      <c r="B49">
        <v>15792</v>
      </c>
      <c r="C49">
        <v>19299</v>
      </c>
      <c r="D49">
        <v>16011</v>
      </c>
      <c r="E49">
        <v>17394</v>
      </c>
      <c r="F49">
        <v>17265</v>
      </c>
      <c r="G49">
        <v>18951</v>
      </c>
      <c r="H49">
        <v>15138</v>
      </c>
      <c r="I49">
        <v>16563</v>
      </c>
      <c r="J49">
        <v>18540</v>
      </c>
      <c r="K49">
        <v>19407</v>
      </c>
    </row>
    <row r="50" spans="1:11" x14ac:dyDescent="0.25">
      <c r="A50" s="3" t="s">
        <v>3</v>
      </c>
      <c r="B50">
        <v>35009</v>
      </c>
      <c r="C50">
        <v>38356</v>
      </c>
      <c r="D50">
        <v>38093</v>
      </c>
      <c r="E50">
        <v>40968</v>
      </c>
      <c r="F50">
        <v>40656</v>
      </c>
      <c r="G50">
        <v>42516</v>
      </c>
      <c r="H50">
        <v>38765</v>
      </c>
      <c r="I50">
        <v>39058</v>
      </c>
      <c r="J50">
        <v>43789</v>
      </c>
      <c r="K50">
        <v>43832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26</v>
      </c>
    </row>
    <row r="56" spans="1:11" s="6" customFormat="1" x14ac:dyDescent="0.25">
      <c r="A56" s="5" t="s">
        <v>24</v>
      </c>
      <c r="B56" s="4">
        <v>42460</v>
      </c>
      <c r="C56" s="4">
        <v>42825</v>
      </c>
      <c r="D56" s="4">
        <v>43190</v>
      </c>
      <c r="E56" s="4">
        <v>43555</v>
      </c>
      <c r="F56" s="4">
        <v>43921</v>
      </c>
      <c r="G56" s="4">
        <v>44286</v>
      </c>
      <c r="H56" s="4">
        <v>44651</v>
      </c>
      <c r="I56" s="4">
        <v>45016</v>
      </c>
      <c r="J56" s="4">
        <v>45382</v>
      </c>
      <c r="K56" s="4">
        <v>45747</v>
      </c>
    </row>
    <row r="57" spans="1:11" x14ac:dyDescent="0.25">
      <c r="A57" s="3" t="s">
        <v>11</v>
      </c>
      <c r="B57" s="26">
        <v>2948</v>
      </c>
      <c r="C57" s="26">
        <v>2959</v>
      </c>
      <c r="D57" s="26">
        <v>5922</v>
      </c>
      <c r="E57" s="26">
        <v>5926</v>
      </c>
      <c r="F57" s="26">
        <v>6339</v>
      </c>
      <c r="G57" s="26">
        <v>6445</v>
      </c>
      <c r="H57" s="26">
        <v>6765</v>
      </c>
      <c r="I57" s="26">
        <v>6766</v>
      </c>
      <c r="J57" s="26">
        <v>6766</v>
      </c>
      <c r="K57" s="26">
        <v>13532</v>
      </c>
    </row>
    <row r="58" spans="1:11" x14ac:dyDescent="0.25">
      <c r="A58" s="3" t="s">
        <v>12</v>
      </c>
      <c r="B58" s="26">
        <v>228608</v>
      </c>
      <c r="C58" s="26">
        <v>260750</v>
      </c>
      <c r="D58" s="26">
        <v>287584</v>
      </c>
      <c r="E58" s="26">
        <v>381186</v>
      </c>
      <c r="F58" s="26">
        <v>442827</v>
      </c>
      <c r="G58" s="26">
        <v>693727</v>
      </c>
      <c r="H58" s="26">
        <v>772720</v>
      </c>
      <c r="I58" s="26">
        <v>709106</v>
      </c>
      <c r="J58" s="26">
        <v>786715</v>
      </c>
      <c r="K58" s="26">
        <v>829668</v>
      </c>
    </row>
    <row r="59" spans="1:11" x14ac:dyDescent="0.25">
      <c r="A59" s="3" t="s">
        <v>36</v>
      </c>
      <c r="B59" s="26">
        <v>194714</v>
      </c>
      <c r="C59" s="26">
        <v>217475</v>
      </c>
      <c r="D59" s="26">
        <v>239843</v>
      </c>
      <c r="E59" s="26">
        <v>307714</v>
      </c>
      <c r="F59" s="26">
        <v>355133</v>
      </c>
      <c r="G59" s="26">
        <v>278962</v>
      </c>
      <c r="H59" s="26">
        <v>319158</v>
      </c>
      <c r="I59" s="26">
        <v>451664</v>
      </c>
      <c r="J59" s="26">
        <v>458991</v>
      </c>
      <c r="K59" s="26">
        <v>369575</v>
      </c>
    </row>
    <row r="60" spans="1:11" x14ac:dyDescent="0.25">
      <c r="A60" s="3" t="s">
        <v>37</v>
      </c>
      <c r="B60" s="26">
        <v>172727</v>
      </c>
      <c r="C60" s="26">
        <v>225618</v>
      </c>
      <c r="D60" s="26">
        <v>277924</v>
      </c>
      <c r="E60" s="26">
        <v>302804</v>
      </c>
      <c r="F60" s="26">
        <v>358716</v>
      </c>
      <c r="G60" s="26">
        <v>340931</v>
      </c>
      <c r="H60" s="26">
        <v>399979</v>
      </c>
      <c r="I60" s="26">
        <v>438346</v>
      </c>
      <c r="J60" s="26">
        <v>502576</v>
      </c>
      <c r="K60" s="26">
        <v>737346</v>
      </c>
    </row>
    <row r="61" spans="1:11" s="1" customFormat="1" x14ac:dyDescent="0.25">
      <c r="A61" s="1" t="s">
        <v>13</v>
      </c>
      <c r="B61" s="26">
        <v>598997</v>
      </c>
      <c r="C61" s="26">
        <v>706802</v>
      </c>
      <c r="D61" s="26">
        <v>811273</v>
      </c>
      <c r="E61" s="26">
        <v>997630</v>
      </c>
      <c r="F61" s="26">
        <v>1163015</v>
      </c>
      <c r="G61" s="26">
        <v>1320065</v>
      </c>
      <c r="H61" s="26">
        <v>1498622</v>
      </c>
      <c r="I61" s="26">
        <v>1605882</v>
      </c>
      <c r="J61" s="26">
        <v>1755048</v>
      </c>
      <c r="K61" s="26">
        <v>1950121</v>
      </c>
    </row>
    <row r="62" spans="1:11" x14ac:dyDescent="0.25">
      <c r="A62" s="3" t="s">
        <v>14</v>
      </c>
      <c r="B62" s="26">
        <v>184910</v>
      </c>
      <c r="C62" s="26">
        <v>198526</v>
      </c>
      <c r="D62" s="26">
        <v>403885</v>
      </c>
      <c r="E62" s="26">
        <v>398374</v>
      </c>
      <c r="F62" s="26">
        <v>532658</v>
      </c>
      <c r="G62" s="26">
        <v>541258</v>
      </c>
      <c r="H62" s="26">
        <v>627798</v>
      </c>
      <c r="I62" s="26">
        <v>724805</v>
      </c>
      <c r="J62" s="26">
        <v>779985</v>
      </c>
      <c r="K62" s="26">
        <v>1092041</v>
      </c>
    </row>
    <row r="63" spans="1:11" x14ac:dyDescent="0.25">
      <c r="A63" s="3" t="s">
        <v>15</v>
      </c>
      <c r="B63" s="26">
        <v>228697</v>
      </c>
      <c r="C63" s="26">
        <v>324837</v>
      </c>
      <c r="D63" s="26">
        <v>187022</v>
      </c>
      <c r="E63" s="26">
        <v>179463</v>
      </c>
      <c r="F63" s="26">
        <v>109106</v>
      </c>
      <c r="G63" s="26">
        <v>125953</v>
      </c>
      <c r="H63" s="26">
        <v>172506</v>
      </c>
      <c r="I63" s="26">
        <v>293752</v>
      </c>
      <c r="J63" s="26">
        <v>338855</v>
      </c>
      <c r="K63" s="26">
        <v>169710</v>
      </c>
    </row>
    <row r="64" spans="1:11" x14ac:dyDescent="0.25">
      <c r="A64" s="3" t="s">
        <v>16</v>
      </c>
      <c r="B64" s="26">
        <v>84015</v>
      </c>
      <c r="C64" s="26">
        <v>82899</v>
      </c>
      <c r="D64" s="26">
        <v>82862</v>
      </c>
      <c r="E64" s="26">
        <v>235635</v>
      </c>
      <c r="F64" s="26">
        <v>276767</v>
      </c>
      <c r="G64" s="26">
        <v>364828</v>
      </c>
      <c r="H64" s="26">
        <v>394264</v>
      </c>
      <c r="I64" s="26">
        <v>235560</v>
      </c>
      <c r="J64" s="26">
        <v>225672</v>
      </c>
      <c r="K64" s="26">
        <v>242381</v>
      </c>
    </row>
    <row r="65" spans="1:11" x14ac:dyDescent="0.25">
      <c r="A65" s="3" t="s">
        <v>38</v>
      </c>
      <c r="B65" s="26">
        <v>101375</v>
      </c>
      <c r="C65" s="26">
        <v>100540</v>
      </c>
      <c r="D65" s="26">
        <v>137504</v>
      </c>
      <c r="E65" s="26">
        <v>184158</v>
      </c>
      <c r="F65" s="26">
        <v>244484</v>
      </c>
      <c r="G65" s="26">
        <v>288026</v>
      </c>
      <c r="H65" s="26">
        <v>304054</v>
      </c>
      <c r="I65" s="26">
        <v>351765</v>
      </c>
      <c r="J65" s="26">
        <v>410536</v>
      </c>
      <c r="K65" s="26">
        <v>445989</v>
      </c>
    </row>
    <row r="66" spans="1:11" s="1" customFormat="1" x14ac:dyDescent="0.25">
      <c r="A66" s="1" t="s">
        <v>13</v>
      </c>
      <c r="B66" s="26">
        <v>598997</v>
      </c>
      <c r="C66" s="26">
        <v>706802</v>
      </c>
      <c r="D66" s="26">
        <v>811273</v>
      </c>
      <c r="E66" s="26">
        <v>997630</v>
      </c>
      <c r="F66" s="26">
        <v>1163015</v>
      </c>
      <c r="G66" s="26">
        <v>1320065</v>
      </c>
      <c r="H66" s="26">
        <v>1498622</v>
      </c>
      <c r="I66" s="26">
        <v>1605882</v>
      </c>
      <c r="J66" s="26">
        <v>1755048</v>
      </c>
      <c r="K66" s="26">
        <v>1950121</v>
      </c>
    </row>
    <row r="67" spans="1:11" s="3" customFormat="1" x14ac:dyDescent="0.25">
      <c r="A67" s="3" t="s">
        <v>43</v>
      </c>
      <c r="B67" s="26">
        <v>4465</v>
      </c>
      <c r="C67" s="26">
        <v>8177</v>
      </c>
      <c r="D67" s="26">
        <v>17555</v>
      </c>
      <c r="E67" s="26">
        <v>30089</v>
      </c>
      <c r="F67" s="26">
        <v>19656</v>
      </c>
      <c r="G67" s="26">
        <v>19014</v>
      </c>
      <c r="H67" s="26">
        <v>23640</v>
      </c>
      <c r="I67" s="26">
        <v>28448</v>
      </c>
      <c r="J67" s="26">
        <v>31628</v>
      </c>
      <c r="K67" s="26">
        <v>42121</v>
      </c>
    </row>
    <row r="68" spans="1:11" x14ac:dyDescent="0.25">
      <c r="A68" s="3" t="s">
        <v>30</v>
      </c>
      <c r="B68" s="26">
        <v>46486</v>
      </c>
      <c r="C68" s="26">
        <v>48951</v>
      </c>
      <c r="D68" s="26">
        <v>60837</v>
      </c>
      <c r="E68" s="26">
        <v>67561</v>
      </c>
      <c r="F68" s="26">
        <v>73903</v>
      </c>
      <c r="G68" s="26">
        <v>81672</v>
      </c>
      <c r="H68" s="26">
        <v>107778</v>
      </c>
      <c r="I68" s="26">
        <v>140008</v>
      </c>
      <c r="J68" s="26">
        <v>152770</v>
      </c>
      <c r="K68" s="26">
        <v>146062</v>
      </c>
    </row>
    <row r="69" spans="1:11" x14ac:dyDescent="0.25">
      <c r="A69" s="2" t="s">
        <v>51</v>
      </c>
      <c r="B69" s="26">
        <v>11028</v>
      </c>
      <c r="C69" s="26">
        <v>3023</v>
      </c>
      <c r="D69" s="26">
        <v>4255</v>
      </c>
      <c r="E69" s="26">
        <v>11081</v>
      </c>
      <c r="F69" s="26">
        <v>30920</v>
      </c>
      <c r="G69" s="26">
        <v>17397</v>
      </c>
      <c r="H69" s="26">
        <v>36178</v>
      </c>
      <c r="I69" s="26">
        <v>68664</v>
      </c>
      <c r="J69" s="26">
        <v>97225</v>
      </c>
      <c r="K69" s="26">
        <v>106502</v>
      </c>
    </row>
    <row r="70" spans="1:11" x14ac:dyDescent="0.25">
      <c r="A70" s="2" t="s">
        <v>39</v>
      </c>
      <c r="B70" s="26">
        <v>2948021694</v>
      </c>
      <c r="C70" s="26">
        <v>2958924277</v>
      </c>
      <c r="D70" s="26">
        <v>5921826196</v>
      </c>
      <c r="E70" s="26">
        <v>5925868997</v>
      </c>
      <c r="F70" s="26">
        <v>6338693823</v>
      </c>
      <c r="G70" s="26">
        <v>6762068814</v>
      </c>
      <c r="H70" s="26">
        <v>6765994014</v>
      </c>
      <c r="I70" s="26">
        <v>6766094014</v>
      </c>
      <c r="J70" s="26">
        <v>6766094014</v>
      </c>
      <c r="K70" s="27"/>
    </row>
    <row r="71" spans="1:11" x14ac:dyDescent="0.25">
      <c r="A71" s="2" t="s">
        <v>40</v>
      </c>
      <c r="B71" s="27"/>
      <c r="C71" s="27"/>
      <c r="D71" s="26">
        <v>2959863235</v>
      </c>
      <c r="E71" s="26">
        <v>2959863235</v>
      </c>
      <c r="F71" s="27"/>
      <c r="G71" s="27"/>
      <c r="H71" s="27"/>
      <c r="I71" s="27"/>
      <c r="J71" s="27"/>
      <c r="K71" s="27"/>
    </row>
    <row r="72" spans="1:11" x14ac:dyDescent="0.25">
      <c r="A72" s="2" t="s">
        <v>52</v>
      </c>
      <c r="B72" s="26">
        <v>10</v>
      </c>
      <c r="C72" s="26">
        <v>10</v>
      </c>
      <c r="D72" s="26">
        <v>10</v>
      </c>
      <c r="E72" s="26">
        <v>10</v>
      </c>
      <c r="F72" s="26">
        <v>10</v>
      </c>
      <c r="G72" s="26">
        <v>10</v>
      </c>
      <c r="H72" s="26">
        <v>10</v>
      </c>
      <c r="I72" s="26">
        <v>10</v>
      </c>
      <c r="J72" s="26">
        <v>10</v>
      </c>
      <c r="K72" s="26">
        <v>10</v>
      </c>
    </row>
    <row r="74" spans="1:11" x14ac:dyDescent="0.25">
      <c r="A74" s="3"/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27</v>
      </c>
    </row>
    <row r="81" spans="1:11" s="6" customFormat="1" x14ac:dyDescent="0.25">
      <c r="A81" s="5" t="s">
        <v>24</v>
      </c>
      <c r="B81" s="4">
        <v>42460</v>
      </c>
      <c r="C81" s="4">
        <v>42825</v>
      </c>
      <c r="D81" s="4">
        <v>43190</v>
      </c>
      <c r="E81" s="4">
        <v>43555</v>
      </c>
      <c r="F81" s="4">
        <v>43921</v>
      </c>
      <c r="G81" s="4">
        <v>44286</v>
      </c>
      <c r="H81" s="4">
        <v>44651</v>
      </c>
      <c r="I81" s="4">
        <v>45016</v>
      </c>
      <c r="J81" s="4">
        <v>45382</v>
      </c>
      <c r="K81" s="4">
        <v>45747</v>
      </c>
    </row>
    <row r="82" spans="1:11" s="1" customFormat="1" x14ac:dyDescent="0.25">
      <c r="A82" s="3" t="s">
        <v>18</v>
      </c>
      <c r="B82">
        <v>38134</v>
      </c>
      <c r="C82">
        <v>49550</v>
      </c>
      <c r="D82">
        <v>71459</v>
      </c>
      <c r="E82">
        <v>42346</v>
      </c>
      <c r="F82">
        <v>94877</v>
      </c>
      <c r="G82">
        <v>26958</v>
      </c>
      <c r="H82">
        <v>110654</v>
      </c>
      <c r="I82">
        <v>115032</v>
      </c>
      <c r="J82">
        <v>158788</v>
      </c>
      <c r="K82">
        <v>178703</v>
      </c>
    </row>
    <row r="83" spans="1:11" s="3" customFormat="1" x14ac:dyDescent="0.25">
      <c r="A83" s="3" t="s">
        <v>19</v>
      </c>
      <c r="B83">
        <v>-36186</v>
      </c>
      <c r="C83">
        <v>-66201</v>
      </c>
      <c r="D83">
        <v>-68192</v>
      </c>
      <c r="E83">
        <v>-94507</v>
      </c>
      <c r="F83">
        <v>-72497</v>
      </c>
      <c r="G83">
        <v>-142385</v>
      </c>
      <c r="H83">
        <v>-109162</v>
      </c>
      <c r="I83">
        <v>-93001</v>
      </c>
      <c r="J83">
        <v>-113581</v>
      </c>
      <c r="K83">
        <v>-137535</v>
      </c>
    </row>
    <row r="84" spans="1:11" s="3" customFormat="1" x14ac:dyDescent="0.25">
      <c r="A84" s="3" t="s">
        <v>20</v>
      </c>
      <c r="B84">
        <v>-3210</v>
      </c>
      <c r="C84">
        <v>8617</v>
      </c>
      <c r="D84">
        <v>-2001</v>
      </c>
      <c r="E84">
        <v>55906</v>
      </c>
      <c r="F84">
        <v>-2541</v>
      </c>
      <c r="G84">
        <v>101904</v>
      </c>
      <c r="H84">
        <v>17289</v>
      </c>
      <c r="I84">
        <v>10455</v>
      </c>
      <c r="J84">
        <v>-16646</v>
      </c>
      <c r="K84">
        <v>-31891</v>
      </c>
    </row>
    <row r="85" spans="1:11" s="1" customFormat="1" x14ac:dyDescent="0.25">
      <c r="A85" s="3" t="s">
        <v>21</v>
      </c>
      <c r="B85">
        <v>-1262</v>
      </c>
      <c r="C85">
        <v>-8034</v>
      </c>
      <c r="D85">
        <v>1266</v>
      </c>
      <c r="E85">
        <v>3745</v>
      </c>
      <c r="F85">
        <v>19839</v>
      </c>
      <c r="G85">
        <v>-13523</v>
      </c>
      <c r="H85">
        <v>18781</v>
      </c>
      <c r="I85">
        <v>32486</v>
      </c>
      <c r="J85">
        <v>28561</v>
      </c>
      <c r="K85">
        <v>9277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s="1" customFormat="1" x14ac:dyDescent="0.25">
      <c r="A90" s="1" t="s">
        <v>42</v>
      </c>
      <c r="B90">
        <v>237.46</v>
      </c>
      <c r="C90">
        <v>300.08999999999997</v>
      </c>
      <c r="D90">
        <v>401.08</v>
      </c>
      <c r="E90">
        <v>619.42999999999995</v>
      </c>
      <c r="F90">
        <v>506.06</v>
      </c>
      <c r="G90">
        <v>918.78</v>
      </c>
      <c r="H90">
        <v>1208.51</v>
      </c>
      <c r="I90">
        <v>1069.21</v>
      </c>
      <c r="J90">
        <v>1485.85</v>
      </c>
      <c r="K90">
        <v>1275.0999999999999</v>
      </c>
    </row>
    <row r="92" spans="1:11" s="1" customFormat="1" x14ac:dyDescent="0.25">
      <c r="A92" s="1" t="s">
        <v>41</v>
      </c>
    </row>
    <row r="93" spans="1:11" x14ac:dyDescent="0.25">
      <c r="A93" s="2" t="s">
        <v>53</v>
      </c>
      <c r="B93" s="7">
        <v>1382.58</v>
      </c>
      <c r="C93" s="7">
        <v>1387.22</v>
      </c>
      <c r="D93" s="7">
        <v>1351.39</v>
      </c>
      <c r="E93" s="7">
        <v>1352.26</v>
      </c>
      <c r="F93" s="7">
        <v>1352.37</v>
      </c>
      <c r="G93" s="7">
        <v>1267.8900000000001</v>
      </c>
      <c r="H93" s="7">
        <v>1352.98</v>
      </c>
      <c r="I93" s="7">
        <v>1353.12</v>
      </c>
      <c r="J93" s="7">
        <v>1353.14</v>
      </c>
      <c r="K93" s="7">
        <v>1353.24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Historical Financial Statment</vt:lpstr>
      <vt:lpstr>Liquidity Ratio</vt:lpstr>
      <vt:lpstr>Data CFS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Rajneesh Choudhary</cp:lastModifiedBy>
  <cp:lastPrinted>2012-12-06T18:14:13Z</cp:lastPrinted>
  <dcterms:created xsi:type="dcterms:W3CDTF">2012-08-17T09:55:37Z</dcterms:created>
  <dcterms:modified xsi:type="dcterms:W3CDTF">2025-07-18T09:29:22Z</dcterms:modified>
</cp:coreProperties>
</file>