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ne\Downloads\"/>
    </mc:Choice>
  </mc:AlternateContent>
  <xr:revisionPtr revIDLastSave="0" documentId="8_{DB41AF9F-7226-4338-A2C6-74B6FB4B3FB5}" xr6:coauthVersionLast="47" xr6:coauthVersionMax="47" xr10:uidLastSave="{00000000-0000-0000-0000-000000000000}"/>
  <bookViews>
    <workbookView xWindow="-120" yWindow="-120" windowWidth="29040" windowHeight="15720" firstSheet="3" activeTab="9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Data Sheet" sheetId="6" r:id="rId5"/>
    <sheet name="Cash flow Statement" sheetId="8" r:id="rId6"/>
    <sheet name="Historical financial statements" sheetId="7" r:id="rId7"/>
    <sheet name="2nd Financial Model" sheetId="9" r:id="rId8"/>
    <sheet name="Ratio" sheetId="10" r:id="rId9"/>
    <sheet name="Forceasting" sheetId="13" r:id="rId10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3" l="1"/>
  <c r="G4" i="13"/>
  <c r="B4" i="13"/>
  <c r="N20" i="13"/>
  <c r="N19" i="13"/>
  <c r="N18" i="13"/>
  <c r="N17" i="13"/>
  <c r="O18" i="13" s="1"/>
  <c r="N16" i="13"/>
  <c r="O15" i="13"/>
  <c r="O14" i="13"/>
  <c r="O13" i="13"/>
  <c r="O12" i="13"/>
  <c r="O11" i="13"/>
  <c r="O10" i="13"/>
  <c r="O9" i="13"/>
  <c r="O8" i="13"/>
  <c r="O7" i="13"/>
  <c r="N6" i="13" a="1"/>
  <c r="N6" i="13" s="1"/>
  <c r="O20" i="13"/>
  <c r="O19" i="13"/>
  <c r="J20" i="13"/>
  <c r="J19" i="13"/>
  <c r="J18" i="13"/>
  <c r="J17" i="13"/>
  <c r="J16" i="13"/>
  <c r="I20" i="13"/>
  <c r="I19" i="13"/>
  <c r="I18" i="13"/>
  <c r="I17" i="13"/>
  <c r="I16" i="13"/>
  <c r="J15" i="13"/>
  <c r="J14" i="13"/>
  <c r="J13" i="13"/>
  <c r="J12" i="13"/>
  <c r="J11" i="13"/>
  <c r="J10" i="13"/>
  <c r="J9" i="13"/>
  <c r="J8" i="13"/>
  <c r="J7" i="13"/>
  <c r="I6" i="13" a="1"/>
  <c r="I6" i="13" s="1"/>
  <c r="E17" i="13"/>
  <c r="E18" i="13"/>
  <c r="E19" i="13"/>
  <c r="E20" i="13"/>
  <c r="E16" i="13"/>
  <c r="D20" i="13"/>
  <c r="D19" i="13"/>
  <c r="D18" i="13"/>
  <c r="D17" i="13"/>
  <c r="D16" i="13"/>
  <c r="E15" i="13"/>
  <c r="E14" i="13"/>
  <c r="E13" i="13"/>
  <c r="E12" i="13"/>
  <c r="E11" i="13"/>
  <c r="E10" i="13"/>
  <c r="E9" i="13"/>
  <c r="E8" i="13"/>
  <c r="E7" i="13"/>
  <c r="D6" i="13" a="1"/>
  <c r="D6" i="13" s="1"/>
  <c r="C8" i="13"/>
  <c r="C9" i="13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7" i="13"/>
  <c r="C6" i="13"/>
  <c r="O17" i="13" l="1"/>
  <c r="N14" i="13"/>
  <c r="N9" i="13"/>
  <c r="N8" i="13"/>
  <c r="N15" i="13"/>
  <c r="N12" i="13"/>
  <c r="N10" i="13"/>
  <c r="N7" i="13"/>
  <c r="N13" i="13"/>
  <c r="N11" i="13"/>
  <c r="I15" i="13"/>
  <c r="I13" i="13"/>
  <c r="I11" i="13"/>
  <c r="I10" i="13"/>
  <c r="I8" i="13"/>
  <c r="I7" i="13"/>
  <c r="I14" i="13"/>
  <c r="I12" i="13"/>
  <c r="I9" i="13"/>
  <c r="D8" i="13"/>
  <c r="D15" i="13"/>
  <c r="D14" i="13"/>
  <c r="D13" i="13"/>
  <c r="D12" i="13"/>
  <c r="D11" i="13"/>
  <c r="D10" i="13"/>
  <c r="D9" i="13"/>
  <c r="D7" i="13"/>
  <c r="O16" i="13" l="1"/>
  <c r="B7" i="13" l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C92" i="7"/>
  <c r="C78" i="7"/>
  <c r="D44" i="7"/>
  <c r="C44" i="7"/>
  <c r="L29" i="10"/>
  <c r="K29" i="10"/>
  <c r="J29" i="10"/>
  <c r="I29" i="10"/>
  <c r="I36" i="10" s="1"/>
  <c r="H29" i="10"/>
  <c r="H36" i="10" s="1"/>
  <c r="G29" i="10"/>
  <c r="G36" i="10" s="1"/>
  <c r="F29" i="10"/>
  <c r="E29" i="10"/>
  <c r="D29" i="10"/>
  <c r="C29" i="10"/>
  <c r="C36" i="10" s="1"/>
  <c r="L28" i="10"/>
  <c r="K28" i="10"/>
  <c r="J28" i="10"/>
  <c r="I28" i="10"/>
  <c r="H28" i="10"/>
  <c r="G28" i="10"/>
  <c r="G35" i="10" s="1"/>
  <c r="F28" i="10"/>
  <c r="F35" i="10" s="1"/>
  <c r="E28" i="10"/>
  <c r="N28" i="10" s="1"/>
  <c r="D28" i="10"/>
  <c r="C28" i="10"/>
  <c r="D34" i="10"/>
  <c r="C34" i="10"/>
  <c r="L27" i="10"/>
  <c r="K27" i="10"/>
  <c r="J27" i="10"/>
  <c r="I27" i="10"/>
  <c r="H27" i="10"/>
  <c r="H34" i="10" s="1"/>
  <c r="G27" i="10"/>
  <c r="F27" i="10"/>
  <c r="F34" i="10" s="1"/>
  <c r="E27" i="10"/>
  <c r="E34" i="10" s="1"/>
  <c r="D35" i="10"/>
  <c r="I35" i="10"/>
  <c r="J35" i="10"/>
  <c r="K35" i="10"/>
  <c r="J36" i="10"/>
  <c r="D30" i="10"/>
  <c r="E30" i="10"/>
  <c r="F30" i="10"/>
  <c r="G30" i="10"/>
  <c r="H30" i="10"/>
  <c r="I30" i="10"/>
  <c r="N30" i="10" s="1"/>
  <c r="J30" i="10"/>
  <c r="K30" i="10"/>
  <c r="L30" i="10"/>
  <c r="D31" i="10"/>
  <c r="E31" i="10"/>
  <c r="F31" i="10"/>
  <c r="G31" i="10"/>
  <c r="H31" i="10"/>
  <c r="I31" i="10"/>
  <c r="J31" i="10"/>
  <c r="K31" i="10"/>
  <c r="L31" i="10"/>
  <c r="N31" i="10"/>
  <c r="L36" i="10"/>
  <c r="K36" i="10"/>
  <c r="F36" i="10"/>
  <c r="L35" i="10"/>
  <c r="E35" i="10"/>
  <c r="K34" i="10"/>
  <c r="J34" i="10"/>
  <c r="G34" i="10"/>
  <c r="D27" i="10"/>
  <c r="B2" i="10"/>
  <c r="L34" i="10"/>
  <c r="O42" i="10"/>
  <c r="O41" i="10"/>
  <c r="O40" i="10"/>
  <c r="O29" i="10"/>
  <c r="O25" i="10"/>
  <c r="O24" i="10"/>
  <c r="O23" i="10"/>
  <c r="O22" i="10"/>
  <c r="O21" i="10"/>
  <c r="O19" i="10"/>
  <c r="O18" i="10"/>
  <c r="O17" i="10"/>
  <c r="O15" i="10"/>
  <c r="O14" i="10"/>
  <c r="O13" i="10"/>
  <c r="O12" i="10"/>
  <c r="O11" i="10"/>
  <c r="O9" i="10"/>
  <c r="O8" i="10"/>
  <c r="O7" i="10"/>
  <c r="O6" i="10"/>
  <c r="O5" i="10"/>
  <c r="N42" i="10"/>
  <c r="N41" i="10"/>
  <c r="N40" i="10"/>
  <c r="N25" i="10"/>
  <c r="N24" i="10"/>
  <c r="N23" i="10"/>
  <c r="N22" i="10"/>
  <c r="N21" i="10"/>
  <c r="N19" i="10"/>
  <c r="N18" i="10"/>
  <c r="N17" i="10"/>
  <c r="N15" i="10"/>
  <c r="N14" i="10"/>
  <c r="N13" i="10"/>
  <c r="N12" i="10"/>
  <c r="N11" i="10"/>
  <c r="N5" i="10"/>
  <c r="N6" i="10"/>
  <c r="N7" i="10"/>
  <c r="N8" i="10"/>
  <c r="N9" i="10"/>
  <c r="M8" i="9"/>
  <c r="L8" i="9"/>
  <c r="K8" i="9"/>
  <c r="J8" i="9"/>
  <c r="I8" i="9"/>
  <c r="H8" i="9"/>
  <c r="G8" i="9"/>
  <c r="F8" i="9"/>
  <c r="E8" i="9"/>
  <c r="D8" i="9"/>
  <c r="C8" i="9"/>
  <c r="M9" i="7"/>
  <c r="L9" i="7"/>
  <c r="K9" i="7"/>
  <c r="J9" i="7"/>
  <c r="I9" i="7"/>
  <c r="H9" i="7"/>
  <c r="G9" i="7"/>
  <c r="F9" i="7"/>
  <c r="E9" i="7"/>
  <c r="D9" i="7"/>
  <c r="C9" i="7"/>
  <c r="L42" i="10"/>
  <c r="K42" i="10"/>
  <c r="J42" i="10"/>
  <c r="I42" i="10"/>
  <c r="H42" i="10"/>
  <c r="G42" i="10"/>
  <c r="F42" i="10"/>
  <c r="E42" i="10"/>
  <c r="D42" i="10"/>
  <c r="L41" i="10"/>
  <c r="K41" i="10"/>
  <c r="J41" i="10"/>
  <c r="I41" i="10"/>
  <c r="H41" i="10"/>
  <c r="G41" i="10"/>
  <c r="F41" i="10"/>
  <c r="E41" i="10"/>
  <c r="D41" i="10"/>
  <c r="L40" i="10"/>
  <c r="K40" i="10"/>
  <c r="J40" i="10"/>
  <c r="I40" i="10"/>
  <c r="H40" i="10"/>
  <c r="G40" i="10"/>
  <c r="F40" i="10"/>
  <c r="E40" i="10"/>
  <c r="D40" i="10"/>
  <c r="C42" i="10"/>
  <c r="C41" i="10"/>
  <c r="C40" i="10"/>
  <c r="I34" i="10"/>
  <c r="C31" i="10"/>
  <c r="C30" i="10"/>
  <c r="C35" i="10"/>
  <c r="C27" i="10"/>
  <c r="L18" i="10"/>
  <c r="K18" i="10"/>
  <c r="J18" i="10"/>
  <c r="I18" i="10"/>
  <c r="H18" i="10"/>
  <c r="G18" i="10"/>
  <c r="F18" i="10"/>
  <c r="E18" i="10"/>
  <c r="D18" i="10"/>
  <c r="L17" i="10"/>
  <c r="K17" i="10"/>
  <c r="J17" i="10"/>
  <c r="I17" i="10"/>
  <c r="H17" i="10"/>
  <c r="G17" i="10"/>
  <c r="F17" i="10"/>
  <c r="E17" i="10"/>
  <c r="D17" i="10"/>
  <c r="C18" i="10"/>
  <c r="C17" i="10"/>
  <c r="L9" i="10"/>
  <c r="K9" i="10"/>
  <c r="J9" i="10"/>
  <c r="I9" i="10"/>
  <c r="H9" i="10"/>
  <c r="G9" i="10"/>
  <c r="F9" i="10"/>
  <c r="E9" i="10"/>
  <c r="L5" i="10"/>
  <c r="K5" i="10"/>
  <c r="J5" i="10"/>
  <c r="I5" i="10"/>
  <c r="H5" i="10"/>
  <c r="G5" i="10"/>
  <c r="F5" i="10"/>
  <c r="E5" i="10"/>
  <c r="D9" i="10"/>
  <c r="D5" i="10"/>
  <c r="E3" i="10"/>
  <c r="F3" i="10"/>
  <c r="G3" i="10"/>
  <c r="H3" i="10"/>
  <c r="I3" i="10"/>
  <c r="J3" i="10"/>
  <c r="K3" i="10"/>
  <c r="L3" i="10"/>
  <c r="D3" i="10"/>
  <c r="C3" i="10"/>
  <c r="C2" i="9"/>
  <c r="D2" i="9"/>
  <c r="E2" i="9"/>
  <c r="F2" i="9"/>
  <c r="G2" i="9"/>
  <c r="H2" i="9"/>
  <c r="I2" i="9"/>
  <c r="J2" i="9"/>
  <c r="K2" i="9"/>
  <c r="L2" i="9"/>
  <c r="D72" i="9"/>
  <c r="E72" i="9"/>
  <c r="F72" i="9"/>
  <c r="G72" i="9"/>
  <c r="H72" i="9"/>
  <c r="I72" i="9"/>
  <c r="J72" i="9"/>
  <c r="K72" i="9"/>
  <c r="L72" i="9"/>
  <c r="C72" i="9"/>
  <c r="D70" i="9"/>
  <c r="E70" i="9"/>
  <c r="F70" i="9"/>
  <c r="F74" i="9" s="1"/>
  <c r="G70" i="9"/>
  <c r="G74" i="9" s="1"/>
  <c r="H70" i="9"/>
  <c r="H74" i="9" s="1"/>
  <c r="I70" i="9"/>
  <c r="I74" i="9" s="1"/>
  <c r="J70" i="9"/>
  <c r="K70" i="9"/>
  <c r="L70" i="9"/>
  <c r="C70" i="9"/>
  <c r="D68" i="9"/>
  <c r="D74" i="9" s="1"/>
  <c r="E68" i="9"/>
  <c r="E74" i="9" s="1"/>
  <c r="F68" i="9"/>
  <c r="G68" i="9"/>
  <c r="H68" i="9"/>
  <c r="I68" i="9"/>
  <c r="J68" i="9"/>
  <c r="J74" i="9" s="1"/>
  <c r="K68" i="9"/>
  <c r="K74" i="9" s="1"/>
  <c r="L68" i="9"/>
  <c r="L74" i="9" s="1"/>
  <c r="C68" i="9"/>
  <c r="L60" i="9"/>
  <c r="K60" i="9"/>
  <c r="J60" i="9"/>
  <c r="I60" i="9"/>
  <c r="H60" i="9"/>
  <c r="G60" i="9"/>
  <c r="F60" i="9"/>
  <c r="E60" i="9"/>
  <c r="D60" i="9"/>
  <c r="C60" i="9"/>
  <c r="L59" i="9"/>
  <c r="K59" i="9"/>
  <c r="J59" i="9"/>
  <c r="I59" i="9"/>
  <c r="H59" i="9"/>
  <c r="G59" i="9"/>
  <c r="F59" i="9"/>
  <c r="E59" i="9"/>
  <c r="D59" i="9"/>
  <c r="C59" i="9"/>
  <c r="L58" i="9"/>
  <c r="K58" i="9"/>
  <c r="J58" i="9"/>
  <c r="I58" i="9"/>
  <c r="H58" i="9"/>
  <c r="G58" i="9"/>
  <c r="F58" i="9"/>
  <c r="E58" i="9"/>
  <c r="D58" i="9"/>
  <c r="C58" i="9"/>
  <c r="L55" i="9"/>
  <c r="K55" i="9"/>
  <c r="J55" i="9"/>
  <c r="I55" i="9"/>
  <c r="H55" i="9"/>
  <c r="G55" i="9"/>
  <c r="F55" i="9"/>
  <c r="E55" i="9"/>
  <c r="D55" i="9"/>
  <c r="C55" i="9"/>
  <c r="L54" i="9"/>
  <c r="K54" i="9"/>
  <c r="J54" i="9"/>
  <c r="I54" i="9"/>
  <c r="H54" i="9"/>
  <c r="G54" i="9"/>
  <c r="F54" i="9"/>
  <c r="E54" i="9"/>
  <c r="D54" i="9"/>
  <c r="C54" i="9"/>
  <c r="L53" i="9"/>
  <c r="K53" i="9"/>
  <c r="J53" i="9"/>
  <c r="I53" i="9"/>
  <c r="H53" i="9"/>
  <c r="G53" i="9"/>
  <c r="F53" i="9"/>
  <c r="E53" i="9"/>
  <c r="D53" i="9"/>
  <c r="C53" i="9"/>
  <c r="L52" i="9"/>
  <c r="K52" i="9"/>
  <c r="J52" i="9"/>
  <c r="I52" i="9"/>
  <c r="H52" i="9"/>
  <c r="G52" i="9"/>
  <c r="F52" i="9"/>
  <c r="E52" i="9"/>
  <c r="D52" i="9"/>
  <c r="C52" i="9"/>
  <c r="L49" i="9"/>
  <c r="K49" i="9"/>
  <c r="J49" i="9"/>
  <c r="I49" i="9"/>
  <c r="H49" i="9"/>
  <c r="G49" i="9"/>
  <c r="F49" i="9"/>
  <c r="E49" i="9"/>
  <c r="D49" i="9"/>
  <c r="C49" i="9"/>
  <c r="L48" i="9"/>
  <c r="K48" i="9"/>
  <c r="J48" i="9"/>
  <c r="I48" i="9"/>
  <c r="H48" i="9"/>
  <c r="G48" i="9"/>
  <c r="F48" i="9"/>
  <c r="E48" i="9"/>
  <c r="D48" i="9"/>
  <c r="C48" i="9"/>
  <c r="L47" i="9"/>
  <c r="K47" i="9"/>
  <c r="J47" i="9"/>
  <c r="I47" i="9"/>
  <c r="H47" i="9"/>
  <c r="G47" i="9"/>
  <c r="F47" i="9"/>
  <c r="E47" i="9"/>
  <c r="D47" i="9"/>
  <c r="C47" i="9"/>
  <c r="L46" i="9"/>
  <c r="K46" i="9"/>
  <c r="J46" i="9"/>
  <c r="I46" i="9"/>
  <c r="H46" i="9"/>
  <c r="G46" i="9"/>
  <c r="F46" i="9"/>
  <c r="E46" i="9"/>
  <c r="D46" i="9"/>
  <c r="C46" i="9"/>
  <c r="L45" i="9"/>
  <c r="L67" i="9" s="1"/>
  <c r="K45" i="9"/>
  <c r="K67" i="9" s="1"/>
  <c r="J45" i="9"/>
  <c r="J67" i="9" s="1"/>
  <c r="I45" i="9"/>
  <c r="I67" i="9" s="1"/>
  <c r="H45" i="9"/>
  <c r="H67" i="9" s="1"/>
  <c r="G45" i="9"/>
  <c r="G67" i="9" s="1"/>
  <c r="F45" i="9"/>
  <c r="F67" i="9" s="1"/>
  <c r="E45" i="9"/>
  <c r="E67" i="9" s="1"/>
  <c r="D45" i="9"/>
  <c r="D67" i="9" s="1"/>
  <c r="C45" i="9"/>
  <c r="C67" i="9" s="1"/>
  <c r="M40" i="9"/>
  <c r="L40" i="9"/>
  <c r="K40" i="9"/>
  <c r="J40" i="9"/>
  <c r="I40" i="9"/>
  <c r="H40" i="9"/>
  <c r="G40" i="9"/>
  <c r="F40" i="9"/>
  <c r="E40" i="9"/>
  <c r="D40" i="9"/>
  <c r="C40" i="9"/>
  <c r="M35" i="9"/>
  <c r="L35" i="9"/>
  <c r="K35" i="9"/>
  <c r="J35" i="9"/>
  <c r="I35" i="9"/>
  <c r="H35" i="9"/>
  <c r="G35" i="9"/>
  <c r="F35" i="9"/>
  <c r="E35" i="9"/>
  <c r="D35" i="9"/>
  <c r="C35" i="9"/>
  <c r="M29" i="9"/>
  <c r="L29" i="9"/>
  <c r="K29" i="9"/>
  <c r="J29" i="9"/>
  <c r="I29" i="9"/>
  <c r="H29" i="9"/>
  <c r="G29" i="9"/>
  <c r="F29" i="9"/>
  <c r="E29" i="9"/>
  <c r="D29" i="9"/>
  <c r="C29" i="9"/>
  <c r="M23" i="9"/>
  <c r="L23" i="9"/>
  <c r="K23" i="9"/>
  <c r="J23" i="9"/>
  <c r="I23" i="9"/>
  <c r="H23" i="9"/>
  <c r="G23" i="9"/>
  <c r="F23" i="9"/>
  <c r="E23" i="9"/>
  <c r="D23" i="9"/>
  <c r="C23" i="9"/>
  <c r="M20" i="9"/>
  <c r="L20" i="9"/>
  <c r="K20" i="9"/>
  <c r="J20" i="9"/>
  <c r="I20" i="9"/>
  <c r="H20" i="9"/>
  <c r="G20" i="9"/>
  <c r="F20" i="9"/>
  <c r="E20" i="9"/>
  <c r="D20" i="9"/>
  <c r="C20" i="9"/>
  <c r="L14" i="9"/>
  <c r="K14" i="9"/>
  <c r="J14" i="9"/>
  <c r="I14" i="9"/>
  <c r="H14" i="9"/>
  <c r="G14" i="9"/>
  <c r="F14" i="9"/>
  <c r="E14" i="9"/>
  <c r="D14" i="9"/>
  <c r="C14" i="9"/>
  <c r="M5" i="9"/>
  <c r="M15" i="9" s="1"/>
  <c r="L5" i="9"/>
  <c r="K5" i="9"/>
  <c r="J5" i="9"/>
  <c r="I5" i="9"/>
  <c r="H5" i="9"/>
  <c r="G5" i="9"/>
  <c r="F5" i="9"/>
  <c r="E5" i="9"/>
  <c r="D5" i="9"/>
  <c r="C5" i="9"/>
  <c r="B1" i="9"/>
  <c r="L105" i="7"/>
  <c r="K105" i="7"/>
  <c r="J105" i="7"/>
  <c r="I105" i="7"/>
  <c r="H105" i="7"/>
  <c r="G105" i="7"/>
  <c r="F105" i="7"/>
  <c r="E105" i="7"/>
  <c r="D105" i="7"/>
  <c r="C105" i="7"/>
  <c r="L78" i="7"/>
  <c r="K78" i="7"/>
  <c r="J78" i="7"/>
  <c r="I78" i="7"/>
  <c r="H78" i="7"/>
  <c r="G78" i="7"/>
  <c r="F78" i="7"/>
  <c r="E78" i="7"/>
  <c r="D78" i="7"/>
  <c r="L103" i="7"/>
  <c r="K103" i="7"/>
  <c r="J103" i="7"/>
  <c r="I103" i="7"/>
  <c r="H103" i="7"/>
  <c r="G103" i="7"/>
  <c r="F103" i="7"/>
  <c r="E103" i="7"/>
  <c r="D103" i="7"/>
  <c r="C103" i="7"/>
  <c r="C96" i="7"/>
  <c r="D96" i="7"/>
  <c r="E96" i="7"/>
  <c r="F96" i="7"/>
  <c r="G96" i="7"/>
  <c r="H96" i="7"/>
  <c r="I96" i="7"/>
  <c r="J96" i="7"/>
  <c r="K96" i="7"/>
  <c r="L96" i="7"/>
  <c r="C97" i="7"/>
  <c r="D97" i="7"/>
  <c r="E97" i="7"/>
  <c r="F97" i="7"/>
  <c r="G97" i="7"/>
  <c r="H97" i="7"/>
  <c r="I97" i="7"/>
  <c r="J97" i="7"/>
  <c r="K97" i="7"/>
  <c r="L97" i="7"/>
  <c r="C98" i="7"/>
  <c r="D98" i="7"/>
  <c r="E98" i="7"/>
  <c r="F98" i="7"/>
  <c r="G98" i="7"/>
  <c r="H98" i="7"/>
  <c r="I98" i="7"/>
  <c r="J98" i="7"/>
  <c r="K98" i="7"/>
  <c r="L98" i="7"/>
  <c r="C99" i="7"/>
  <c r="D99" i="7"/>
  <c r="E99" i="7"/>
  <c r="F99" i="7"/>
  <c r="G99" i="7"/>
  <c r="H99" i="7"/>
  <c r="I99" i="7"/>
  <c r="J99" i="7"/>
  <c r="K99" i="7"/>
  <c r="L99" i="7"/>
  <c r="C100" i="7"/>
  <c r="D100" i="7"/>
  <c r="E100" i="7"/>
  <c r="F100" i="7"/>
  <c r="G100" i="7"/>
  <c r="H100" i="7"/>
  <c r="I100" i="7"/>
  <c r="J100" i="7"/>
  <c r="K100" i="7"/>
  <c r="L100" i="7"/>
  <c r="C101" i="7"/>
  <c r="D101" i="7"/>
  <c r="E101" i="7"/>
  <c r="F101" i="7"/>
  <c r="G101" i="7"/>
  <c r="H101" i="7"/>
  <c r="I101" i="7"/>
  <c r="J101" i="7"/>
  <c r="K101" i="7"/>
  <c r="L101" i="7"/>
  <c r="C102" i="7"/>
  <c r="D102" i="7"/>
  <c r="E102" i="7"/>
  <c r="F102" i="7"/>
  <c r="G102" i="7"/>
  <c r="H102" i="7"/>
  <c r="I102" i="7"/>
  <c r="J102" i="7"/>
  <c r="K102" i="7"/>
  <c r="L102" i="7"/>
  <c r="D95" i="7"/>
  <c r="E95" i="7"/>
  <c r="F95" i="7"/>
  <c r="G95" i="7"/>
  <c r="H95" i="7"/>
  <c r="I95" i="7"/>
  <c r="J95" i="7"/>
  <c r="K95" i="7"/>
  <c r="L95" i="7"/>
  <c r="C95" i="7"/>
  <c r="L92" i="7"/>
  <c r="K92" i="7"/>
  <c r="J92" i="7"/>
  <c r="I92" i="7"/>
  <c r="H92" i="7"/>
  <c r="G92" i="7"/>
  <c r="F92" i="7"/>
  <c r="E92" i="7"/>
  <c r="D92" i="7"/>
  <c r="C82" i="7"/>
  <c r="D82" i="7"/>
  <c r="E82" i="7"/>
  <c r="F82" i="7"/>
  <c r="G82" i="7"/>
  <c r="H82" i="7"/>
  <c r="I82" i="7"/>
  <c r="J82" i="7"/>
  <c r="K82" i="7"/>
  <c r="L82" i="7"/>
  <c r="C83" i="7"/>
  <c r="D83" i="7"/>
  <c r="E83" i="7"/>
  <c r="F83" i="7"/>
  <c r="G83" i="7"/>
  <c r="H83" i="7"/>
  <c r="I83" i="7"/>
  <c r="J83" i="7"/>
  <c r="K83" i="7"/>
  <c r="L83" i="7"/>
  <c r="C84" i="7"/>
  <c r="D84" i="7"/>
  <c r="E84" i="7"/>
  <c r="F84" i="7"/>
  <c r="G84" i="7"/>
  <c r="H84" i="7"/>
  <c r="I84" i="7"/>
  <c r="J84" i="7"/>
  <c r="K84" i="7"/>
  <c r="L84" i="7"/>
  <c r="C85" i="7"/>
  <c r="D85" i="7"/>
  <c r="E85" i="7"/>
  <c r="F85" i="7"/>
  <c r="G85" i="7"/>
  <c r="H85" i="7"/>
  <c r="I85" i="7"/>
  <c r="J85" i="7"/>
  <c r="K85" i="7"/>
  <c r="L85" i="7"/>
  <c r="C86" i="7"/>
  <c r="D86" i="7"/>
  <c r="E86" i="7"/>
  <c r="F86" i="7"/>
  <c r="G86" i="7"/>
  <c r="H86" i="7"/>
  <c r="I86" i="7"/>
  <c r="J86" i="7"/>
  <c r="K86" i="7"/>
  <c r="L86" i="7"/>
  <c r="C87" i="7"/>
  <c r="D87" i="7"/>
  <c r="E87" i="7"/>
  <c r="F87" i="7"/>
  <c r="G87" i="7"/>
  <c r="H87" i="7"/>
  <c r="I87" i="7"/>
  <c r="J87" i="7"/>
  <c r="K87" i="7"/>
  <c r="L87" i="7"/>
  <c r="C88" i="7"/>
  <c r="D88" i="7"/>
  <c r="E88" i="7"/>
  <c r="F88" i="7"/>
  <c r="G88" i="7"/>
  <c r="H88" i="7"/>
  <c r="I88" i="7"/>
  <c r="J88" i="7"/>
  <c r="K88" i="7"/>
  <c r="L88" i="7"/>
  <c r="C89" i="7"/>
  <c r="D89" i="7"/>
  <c r="E89" i="7"/>
  <c r="F89" i="7"/>
  <c r="G89" i="7"/>
  <c r="H89" i="7"/>
  <c r="I89" i="7"/>
  <c r="J89" i="7"/>
  <c r="K89" i="7"/>
  <c r="L89" i="7"/>
  <c r="C90" i="7"/>
  <c r="D90" i="7"/>
  <c r="E90" i="7"/>
  <c r="F90" i="7"/>
  <c r="G90" i="7"/>
  <c r="H90" i="7"/>
  <c r="I90" i="7"/>
  <c r="J90" i="7"/>
  <c r="K90" i="7"/>
  <c r="L90" i="7"/>
  <c r="C91" i="7"/>
  <c r="D91" i="7"/>
  <c r="E91" i="7"/>
  <c r="F91" i="7"/>
  <c r="G91" i="7"/>
  <c r="H91" i="7"/>
  <c r="I91" i="7"/>
  <c r="J91" i="7"/>
  <c r="K91" i="7"/>
  <c r="L91" i="7"/>
  <c r="D81" i="7"/>
  <c r="E81" i="7"/>
  <c r="F81" i="7"/>
  <c r="G81" i="7"/>
  <c r="H81" i="7"/>
  <c r="I81" i="7"/>
  <c r="J81" i="7"/>
  <c r="K81" i="7"/>
  <c r="L81" i="7"/>
  <c r="C81" i="7"/>
  <c r="C71" i="7"/>
  <c r="D71" i="7"/>
  <c r="E71" i="7"/>
  <c r="F71" i="7"/>
  <c r="G71" i="7"/>
  <c r="H71" i="7"/>
  <c r="I71" i="7"/>
  <c r="J71" i="7"/>
  <c r="K71" i="7"/>
  <c r="L71" i="7"/>
  <c r="C72" i="7"/>
  <c r="D72" i="7"/>
  <c r="E72" i="7"/>
  <c r="F72" i="7"/>
  <c r="G72" i="7"/>
  <c r="H72" i="7"/>
  <c r="I72" i="7"/>
  <c r="J72" i="7"/>
  <c r="K72" i="7"/>
  <c r="L72" i="7"/>
  <c r="C73" i="7"/>
  <c r="D73" i="7"/>
  <c r="E73" i="7"/>
  <c r="F73" i="7"/>
  <c r="G73" i="7"/>
  <c r="H73" i="7"/>
  <c r="I73" i="7"/>
  <c r="J73" i="7"/>
  <c r="K73" i="7"/>
  <c r="L73" i="7"/>
  <c r="C74" i="7"/>
  <c r="D74" i="7"/>
  <c r="E74" i="7"/>
  <c r="F74" i="7"/>
  <c r="G74" i="7"/>
  <c r="H74" i="7"/>
  <c r="I74" i="7"/>
  <c r="J74" i="7"/>
  <c r="K74" i="7"/>
  <c r="L74" i="7"/>
  <c r="C75" i="7"/>
  <c r="D75" i="7"/>
  <c r="E75" i="7"/>
  <c r="F75" i="7"/>
  <c r="G75" i="7"/>
  <c r="H75" i="7"/>
  <c r="I75" i="7"/>
  <c r="J75" i="7"/>
  <c r="K75" i="7"/>
  <c r="L75" i="7"/>
  <c r="C76" i="7"/>
  <c r="D76" i="7"/>
  <c r="E76" i="7"/>
  <c r="F76" i="7"/>
  <c r="G76" i="7"/>
  <c r="H76" i="7"/>
  <c r="I76" i="7"/>
  <c r="J76" i="7"/>
  <c r="K76" i="7"/>
  <c r="L76" i="7"/>
  <c r="C77" i="7"/>
  <c r="D77" i="7"/>
  <c r="E77" i="7"/>
  <c r="F77" i="7"/>
  <c r="G77" i="7"/>
  <c r="H77" i="7"/>
  <c r="I77" i="7"/>
  <c r="J77" i="7"/>
  <c r="K77" i="7"/>
  <c r="L77" i="7"/>
  <c r="D70" i="7"/>
  <c r="E70" i="7"/>
  <c r="F70" i="7"/>
  <c r="G70" i="7"/>
  <c r="H70" i="7"/>
  <c r="I70" i="7"/>
  <c r="J70" i="7"/>
  <c r="K70" i="7"/>
  <c r="L70" i="7"/>
  <c r="C70" i="7"/>
  <c r="L68" i="7"/>
  <c r="K68" i="7"/>
  <c r="J68" i="7"/>
  <c r="I68" i="7"/>
  <c r="H68" i="7"/>
  <c r="G68" i="7"/>
  <c r="F68" i="7"/>
  <c r="E68" i="7"/>
  <c r="D68" i="7"/>
  <c r="C68" i="7"/>
  <c r="I66" i="7"/>
  <c r="H66" i="7"/>
  <c r="G66" i="7"/>
  <c r="L57" i="7"/>
  <c r="K57" i="7"/>
  <c r="J57" i="7"/>
  <c r="I57" i="7"/>
  <c r="H57" i="7"/>
  <c r="G57" i="7"/>
  <c r="F57" i="7"/>
  <c r="E57" i="7"/>
  <c r="D57" i="7"/>
  <c r="C57" i="7"/>
  <c r="L56" i="7"/>
  <c r="K56" i="7"/>
  <c r="J56" i="7"/>
  <c r="I56" i="7"/>
  <c r="H56" i="7"/>
  <c r="G56" i="7"/>
  <c r="F56" i="7"/>
  <c r="E56" i="7"/>
  <c r="D56" i="7"/>
  <c r="C56" i="7"/>
  <c r="I64" i="7"/>
  <c r="H64" i="7"/>
  <c r="G64" i="7"/>
  <c r="F64" i="7"/>
  <c r="E64" i="7"/>
  <c r="D64" i="7"/>
  <c r="C64" i="7"/>
  <c r="C66" i="7" s="1"/>
  <c r="L62" i="7"/>
  <c r="L64" i="7" s="1"/>
  <c r="L66" i="7" s="1"/>
  <c r="K62" i="7"/>
  <c r="K64" i="7" s="1"/>
  <c r="K66" i="7" s="1"/>
  <c r="J62" i="7"/>
  <c r="J64" i="7" s="1"/>
  <c r="J66" i="7" s="1"/>
  <c r="I62" i="7"/>
  <c r="H62" i="7"/>
  <c r="G62" i="7"/>
  <c r="F62" i="7"/>
  <c r="E62" i="7"/>
  <c r="D62" i="7"/>
  <c r="C62" i="7"/>
  <c r="C60" i="7"/>
  <c r="D60" i="7"/>
  <c r="E60" i="7"/>
  <c r="F60" i="7"/>
  <c r="G60" i="7"/>
  <c r="H60" i="7"/>
  <c r="I60" i="7"/>
  <c r="J60" i="7"/>
  <c r="K60" i="7"/>
  <c r="L60" i="7"/>
  <c r="C61" i="7"/>
  <c r="D61" i="7"/>
  <c r="E61" i="7"/>
  <c r="F61" i="7"/>
  <c r="G61" i="7"/>
  <c r="H61" i="7"/>
  <c r="I61" i="7"/>
  <c r="J61" i="7"/>
  <c r="K61" i="7"/>
  <c r="L61" i="7"/>
  <c r="D59" i="7"/>
  <c r="E59" i="7"/>
  <c r="F59" i="7"/>
  <c r="G59" i="7"/>
  <c r="H59" i="7"/>
  <c r="I59" i="7"/>
  <c r="J59" i="7"/>
  <c r="K59" i="7"/>
  <c r="L59" i="7"/>
  <c r="C59" i="7"/>
  <c r="C54" i="7"/>
  <c r="D54" i="7"/>
  <c r="E54" i="7"/>
  <c r="F54" i="7"/>
  <c r="G54" i="7"/>
  <c r="H54" i="7"/>
  <c r="I54" i="7"/>
  <c r="J54" i="7"/>
  <c r="K54" i="7"/>
  <c r="L54" i="7"/>
  <c r="C55" i="7"/>
  <c r="D55" i="7"/>
  <c r="E55" i="7"/>
  <c r="F55" i="7"/>
  <c r="G55" i="7"/>
  <c r="H55" i="7"/>
  <c r="I55" i="7"/>
  <c r="J55" i="7"/>
  <c r="K55" i="7"/>
  <c r="L55" i="7"/>
  <c r="D53" i="7"/>
  <c r="E53" i="7"/>
  <c r="F53" i="7"/>
  <c r="G53" i="7"/>
  <c r="H53" i="7"/>
  <c r="I53" i="7"/>
  <c r="J53" i="7"/>
  <c r="K53" i="7"/>
  <c r="L53" i="7"/>
  <c r="C53" i="7"/>
  <c r="L51" i="7"/>
  <c r="K51" i="7"/>
  <c r="J51" i="7"/>
  <c r="I51" i="7"/>
  <c r="H51" i="7"/>
  <c r="G51" i="7"/>
  <c r="F51" i="7"/>
  <c r="E51" i="7"/>
  <c r="D51" i="7"/>
  <c r="C51" i="7"/>
  <c r="D47" i="7"/>
  <c r="E47" i="7"/>
  <c r="F47" i="7"/>
  <c r="G47" i="7"/>
  <c r="H47" i="7"/>
  <c r="I47" i="7"/>
  <c r="J47" i="7"/>
  <c r="K47" i="7"/>
  <c r="L47" i="7"/>
  <c r="D48" i="7"/>
  <c r="E48" i="7"/>
  <c r="F48" i="7"/>
  <c r="G48" i="7"/>
  <c r="H48" i="7"/>
  <c r="I48" i="7"/>
  <c r="J48" i="7"/>
  <c r="K48" i="7"/>
  <c r="L48" i="7"/>
  <c r="D49" i="7"/>
  <c r="E49" i="7"/>
  <c r="F49" i="7"/>
  <c r="G49" i="7"/>
  <c r="H49" i="7"/>
  <c r="I49" i="7"/>
  <c r="J49" i="7"/>
  <c r="K49" i="7"/>
  <c r="L49" i="7"/>
  <c r="D50" i="7"/>
  <c r="E50" i="7"/>
  <c r="F50" i="7"/>
  <c r="G50" i="7"/>
  <c r="H50" i="7"/>
  <c r="I50" i="7"/>
  <c r="J50" i="7"/>
  <c r="K50" i="7"/>
  <c r="L50" i="7"/>
  <c r="C48" i="7"/>
  <c r="C49" i="7"/>
  <c r="C50" i="7"/>
  <c r="C47" i="7"/>
  <c r="E46" i="7"/>
  <c r="F46" i="7"/>
  <c r="G46" i="7"/>
  <c r="H46" i="7"/>
  <c r="I46" i="7"/>
  <c r="J46" i="7"/>
  <c r="K46" i="7"/>
  <c r="L46" i="7"/>
  <c r="D46" i="7"/>
  <c r="C46" i="7"/>
  <c r="D41" i="7"/>
  <c r="E41" i="7"/>
  <c r="F41" i="7"/>
  <c r="G41" i="7"/>
  <c r="H41" i="7"/>
  <c r="I41" i="7"/>
  <c r="J41" i="7"/>
  <c r="K41" i="7"/>
  <c r="L41" i="7"/>
  <c r="M41" i="7"/>
  <c r="C41" i="7"/>
  <c r="D36" i="7"/>
  <c r="E36" i="7"/>
  <c r="F36" i="7"/>
  <c r="G36" i="7"/>
  <c r="H36" i="7"/>
  <c r="I36" i="7"/>
  <c r="J36" i="7"/>
  <c r="K36" i="7"/>
  <c r="L36" i="7"/>
  <c r="M36" i="7"/>
  <c r="C36" i="7"/>
  <c r="M30" i="7"/>
  <c r="D30" i="7"/>
  <c r="E30" i="7"/>
  <c r="F30" i="7"/>
  <c r="G30" i="7"/>
  <c r="H30" i="7"/>
  <c r="I30" i="7"/>
  <c r="J30" i="7"/>
  <c r="K30" i="7"/>
  <c r="L30" i="7"/>
  <c r="C30" i="7"/>
  <c r="M24" i="7"/>
  <c r="D24" i="7"/>
  <c r="E24" i="7"/>
  <c r="F24" i="7"/>
  <c r="G24" i="7"/>
  <c r="H24" i="7"/>
  <c r="I24" i="7"/>
  <c r="J24" i="7"/>
  <c r="K24" i="7"/>
  <c r="L24" i="7"/>
  <c r="C24" i="7"/>
  <c r="M21" i="7"/>
  <c r="D21" i="7"/>
  <c r="E21" i="7"/>
  <c r="F21" i="7"/>
  <c r="G21" i="7"/>
  <c r="H21" i="7"/>
  <c r="I21" i="7"/>
  <c r="J21" i="7"/>
  <c r="K21" i="7"/>
  <c r="L21" i="7"/>
  <c r="C21" i="7"/>
  <c r="D15" i="7"/>
  <c r="E15" i="7"/>
  <c r="F15" i="7"/>
  <c r="G15" i="7"/>
  <c r="H15" i="7"/>
  <c r="I15" i="7"/>
  <c r="J15" i="7"/>
  <c r="K15" i="7"/>
  <c r="L15" i="7"/>
  <c r="C15" i="7"/>
  <c r="B19" i="13" l="1"/>
  <c r="C74" i="9"/>
  <c r="N29" i="10"/>
  <c r="N27" i="10"/>
  <c r="D36" i="10"/>
  <c r="O28" i="10"/>
  <c r="O27" i="10"/>
  <c r="O30" i="10"/>
  <c r="O31" i="10"/>
  <c r="N34" i="10"/>
  <c r="O34" i="10"/>
  <c r="H35" i="10"/>
  <c r="O35" i="10" s="1"/>
  <c r="E36" i="10"/>
  <c r="N36" i="10" s="1"/>
  <c r="L37" i="10"/>
  <c r="G37" i="10"/>
  <c r="C37" i="10"/>
  <c r="I37" i="10"/>
  <c r="J37" i="10"/>
  <c r="K37" i="10"/>
  <c r="F37" i="10"/>
  <c r="D37" i="10"/>
  <c r="L9" i="9"/>
  <c r="K24" i="9"/>
  <c r="M9" i="9"/>
  <c r="M24" i="9"/>
  <c r="L24" i="9"/>
  <c r="C21" i="9"/>
  <c r="D15" i="9"/>
  <c r="E61" i="9"/>
  <c r="K61" i="9"/>
  <c r="I56" i="9"/>
  <c r="D21" i="9"/>
  <c r="J56" i="9"/>
  <c r="F6" i="9"/>
  <c r="C9" i="9"/>
  <c r="D11" i="9"/>
  <c r="D12" i="9" s="1"/>
  <c r="D11" i="10" s="1"/>
  <c r="C24" i="9"/>
  <c r="C61" i="9"/>
  <c r="D24" i="9"/>
  <c r="D61" i="9"/>
  <c r="D50" i="9"/>
  <c r="H61" i="9"/>
  <c r="G6" i="9"/>
  <c r="E50" i="9"/>
  <c r="F50" i="9"/>
  <c r="J61" i="9"/>
  <c r="L50" i="9"/>
  <c r="K56" i="9"/>
  <c r="L56" i="9"/>
  <c r="I61" i="9"/>
  <c r="M21" i="9"/>
  <c r="K15" i="9"/>
  <c r="L15" i="9"/>
  <c r="K50" i="9"/>
  <c r="E24" i="9"/>
  <c r="G50" i="9"/>
  <c r="H50" i="9"/>
  <c r="E15" i="9"/>
  <c r="F15" i="9"/>
  <c r="I50" i="9"/>
  <c r="L11" i="9"/>
  <c r="L17" i="9" s="1"/>
  <c r="F21" i="9"/>
  <c r="E56" i="9"/>
  <c r="E63" i="9" s="1"/>
  <c r="G15" i="9"/>
  <c r="F56" i="9"/>
  <c r="J9" i="9"/>
  <c r="F24" i="9"/>
  <c r="M11" i="9"/>
  <c r="M17" i="9" s="1"/>
  <c r="M18" i="9" s="1"/>
  <c r="M6" i="9"/>
  <c r="H24" i="9"/>
  <c r="L61" i="9"/>
  <c r="C56" i="9"/>
  <c r="G61" i="9"/>
  <c r="J24" i="9"/>
  <c r="D56" i="9"/>
  <c r="H15" i="9"/>
  <c r="G56" i="9"/>
  <c r="G63" i="9" s="1"/>
  <c r="K11" i="9"/>
  <c r="K17" i="9" s="1"/>
  <c r="E6" i="9"/>
  <c r="I24" i="9"/>
  <c r="C15" i="9"/>
  <c r="E9" i="9"/>
  <c r="I15" i="9"/>
  <c r="H56" i="9"/>
  <c r="H11" i="9"/>
  <c r="H17" i="9" s="1"/>
  <c r="I6" i="9"/>
  <c r="J50" i="9"/>
  <c r="G24" i="9"/>
  <c r="E21" i="9"/>
  <c r="F61" i="9"/>
  <c r="G21" i="9"/>
  <c r="F9" i="9"/>
  <c r="J15" i="9"/>
  <c r="L21" i="9"/>
  <c r="C50" i="9"/>
  <c r="G9" i="9"/>
  <c r="K9" i="9"/>
  <c r="D6" i="9"/>
  <c r="C11" i="9"/>
  <c r="J6" i="9"/>
  <c r="D9" i="9"/>
  <c r="I11" i="9"/>
  <c r="E11" i="9"/>
  <c r="F11" i="9"/>
  <c r="J21" i="9"/>
  <c r="H6" i="9"/>
  <c r="K21" i="9"/>
  <c r="K6" i="9"/>
  <c r="J11" i="9"/>
  <c r="H9" i="9"/>
  <c r="H21" i="9"/>
  <c r="I21" i="9"/>
  <c r="L6" i="9"/>
  <c r="I9" i="9"/>
  <c r="G11" i="9"/>
  <c r="D66" i="7"/>
  <c r="E66" i="7"/>
  <c r="F66" i="7"/>
  <c r="M6" i="7"/>
  <c r="D6" i="7"/>
  <c r="D25" i="7" s="1"/>
  <c r="E6" i="7"/>
  <c r="E25" i="7" s="1"/>
  <c r="F6" i="7"/>
  <c r="F25" i="7" s="1"/>
  <c r="G6" i="7"/>
  <c r="H6" i="7"/>
  <c r="I6" i="7"/>
  <c r="J6" i="7"/>
  <c r="K6" i="7"/>
  <c r="K16" i="7" s="1"/>
  <c r="L6" i="7"/>
  <c r="L16" i="7" s="1"/>
  <c r="C6" i="7"/>
  <c r="C22" i="7" s="1"/>
  <c r="D3" i="7"/>
  <c r="E3" i="7"/>
  <c r="F3" i="7"/>
  <c r="G3" i="7"/>
  <c r="H3" i="7"/>
  <c r="I3" i="7"/>
  <c r="J3" i="7"/>
  <c r="K3" i="7"/>
  <c r="L3" i="7"/>
  <c r="C3" i="7"/>
  <c r="B2" i="7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F4" i="2"/>
  <c r="F23" i="2" s="1"/>
  <c r="G4" i="2"/>
  <c r="H4" i="2"/>
  <c r="I4" i="2"/>
  <c r="I5" i="2"/>
  <c r="J4" i="2"/>
  <c r="J5" i="2"/>
  <c r="K4" i="2"/>
  <c r="C5" i="2"/>
  <c r="D5" i="2"/>
  <c r="F5" i="2"/>
  <c r="G5" i="2"/>
  <c r="G23" i="2" s="1"/>
  <c r="H5" i="2"/>
  <c r="H23" i="2" s="1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F16" i="2" s="1"/>
  <c r="G7" i="2"/>
  <c r="G16" i="2" s="1"/>
  <c r="H7" i="2"/>
  <c r="H16" i="2" s="1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D16" i="2" s="1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G14" i="3" s="1"/>
  <c r="H4" i="3"/>
  <c r="I4" i="3"/>
  <c r="J4" i="3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L11" i="1" s="1"/>
  <c r="M11" i="1" s="1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G20" i="2" s="1"/>
  <c r="H4" i="1"/>
  <c r="I4" i="1"/>
  <c r="J4" i="1"/>
  <c r="K4" i="1"/>
  <c r="K6" i="1" s="1"/>
  <c r="K19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F14" i="1" s="1"/>
  <c r="G12" i="1"/>
  <c r="G13" i="1" s="1"/>
  <c r="H12" i="1"/>
  <c r="H13" i="1" s="1"/>
  <c r="I12" i="1"/>
  <c r="I13" i="1" s="1"/>
  <c r="J12" i="1"/>
  <c r="J13" i="1" s="1"/>
  <c r="J14" i="1" s="1"/>
  <c r="K12" i="1"/>
  <c r="K13" i="1" s="1"/>
  <c r="K14" i="1" s="1"/>
  <c r="C15" i="1"/>
  <c r="C14" i="1" s="1"/>
  <c r="D15" i="1"/>
  <c r="E15" i="1"/>
  <c r="F15" i="1"/>
  <c r="G15" i="1"/>
  <c r="G14" i="1" s="1"/>
  <c r="H15" i="1"/>
  <c r="I15" i="1"/>
  <c r="J15" i="1"/>
  <c r="K15" i="1"/>
  <c r="B15" i="1"/>
  <c r="B7" i="1"/>
  <c r="B4" i="1"/>
  <c r="B20" i="2" s="1"/>
  <c r="A1" i="1"/>
  <c r="E1" i="6"/>
  <c r="H1" i="1" s="1"/>
  <c r="E1" i="2"/>
  <c r="E1" i="3"/>
  <c r="K23" i="2"/>
  <c r="C23" i="2"/>
  <c r="K16" i="2"/>
  <c r="C16" i="2"/>
  <c r="E6" i="1"/>
  <c r="E19" i="1"/>
  <c r="D23" i="2"/>
  <c r="I6" i="1"/>
  <c r="I19" i="1" s="1"/>
  <c r="J6" i="1"/>
  <c r="J19" i="1" s="1"/>
  <c r="C6" i="1"/>
  <c r="C19" i="1"/>
  <c r="D6" i="1"/>
  <c r="D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 s="1"/>
  <c r="B13" i="2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L15" i="1"/>
  <c r="B12" i="1"/>
  <c r="B23" i="2" s="1"/>
  <c r="B11" i="1"/>
  <c r="B10" i="1"/>
  <c r="B9" i="1"/>
  <c r="B8" i="1"/>
  <c r="B3" i="1"/>
  <c r="E14" i="3"/>
  <c r="I14" i="3"/>
  <c r="K20" i="2"/>
  <c r="D20" i="2"/>
  <c r="J20" i="2"/>
  <c r="C20" i="2"/>
  <c r="E20" i="2"/>
  <c r="L12" i="1"/>
  <c r="L13" i="1" s="1"/>
  <c r="L14" i="1" s="1"/>
  <c r="L25" i="1" s="1"/>
  <c r="L10" i="1"/>
  <c r="L6" i="1"/>
  <c r="A1" i="3"/>
  <c r="A1" i="2"/>
  <c r="A1" i="4" s="1"/>
  <c r="H23" i="1"/>
  <c r="I23" i="1"/>
  <c r="J23" i="1"/>
  <c r="B20" i="13" l="1"/>
  <c r="E37" i="10"/>
  <c r="O37" i="10" s="1"/>
  <c r="N35" i="10"/>
  <c r="O36" i="10"/>
  <c r="H37" i="10"/>
  <c r="K13" i="10"/>
  <c r="K19" i="10" s="1"/>
  <c r="K25" i="10"/>
  <c r="K21" i="10"/>
  <c r="L13" i="10"/>
  <c r="L19" i="10" s="1"/>
  <c r="L21" i="10"/>
  <c r="L6" i="10"/>
  <c r="L25" i="10"/>
  <c r="H21" i="10"/>
  <c r="H13" i="10"/>
  <c r="H19" i="10" s="1"/>
  <c r="H6" i="10"/>
  <c r="H25" i="10"/>
  <c r="I63" i="9"/>
  <c r="K63" i="9"/>
  <c r="K12" i="9"/>
  <c r="K11" i="10" s="1"/>
  <c r="D17" i="9"/>
  <c r="H63" i="9"/>
  <c r="H65" i="9" s="1"/>
  <c r="M26" i="9"/>
  <c r="M32" i="9" s="1"/>
  <c r="G65" i="9"/>
  <c r="D63" i="9"/>
  <c r="D65" i="9" s="1"/>
  <c r="K65" i="9"/>
  <c r="C63" i="9"/>
  <c r="C65" i="9" s="1"/>
  <c r="J63" i="9"/>
  <c r="J65" i="9" s="1"/>
  <c r="E65" i="9"/>
  <c r="L63" i="9"/>
  <c r="L65" i="9" s="1"/>
  <c r="F63" i="9"/>
  <c r="F65" i="9" s="1"/>
  <c r="H12" i="9"/>
  <c r="H11" i="10" s="1"/>
  <c r="M12" i="9"/>
  <c r="L12" i="9"/>
  <c r="L11" i="10" s="1"/>
  <c r="I65" i="9"/>
  <c r="F17" i="9"/>
  <c r="F12" i="9"/>
  <c r="F11" i="10" s="1"/>
  <c r="H26" i="9"/>
  <c r="H18" i="9"/>
  <c r="H12" i="10" s="1"/>
  <c r="G17" i="9"/>
  <c r="G12" i="9"/>
  <c r="G11" i="10" s="1"/>
  <c r="C12" i="9"/>
  <c r="C11" i="10" s="1"/>
  <c r="C17" i="9"/>
  <c r="L26" i="9"/>
  <c r="L18" i="9"/>
  <c r="L12" i="10" s="1"/>
  <c r="I17" i="9"/>
  <c r="I12" i="9"/>
  <c r="I11" i="10" s="1"/>
  <c r="E17" i="9"/>
  <c r="E12" i="9"/>
  <c r="E11" i="10" s="1"/>
  <c r="K26" i="9"/>
  <c r="K18" i="9"/>
  <c r="K12" i="10" s="1"/>
  <c r="J17" i="9"/>
  <c r="J12" i="9"/>
  <c r="J11" i="10" s="1"/>
  <c r="L22" i="7"/>
  <c r="C10" i="7"/>
  <c r="L25" i="7"/>
  <c r="K22" i="7"/>
  <c r="H7" i="7"/>
  <c r="G10" i="7"/>
  <c r="G16" i="7"/>
  <c r="G22" i="7"/>
  <c r="G12" i="7"/>
  <c r="K10" i="7"/>
  <c r="I25" i="7"/>
  <c r="I16" i="7"/>
  <c r="I12" i="7"/>
  <c r="I22" i="7"/>
  <c r="H16" i="7"/>
  <c r="H22" i="7"/>
  <c r="H25" i="7"/>
  <c r="H10" i="7"/>
  <c r="H12" i="7"/>
  <c r="E7" i="7"/>
  <c r="E22" i="7"/>
  <c r="E12" i="7"/>
  <c r="E10" i="7"/>
  <c r="M7" i="7"/>
  <c r="M16" i="7"/>
  <c r="M22" i="7"/>
  <c r="M12" i="7"/>
  <c r="D16" i="7"/>
  <c r="K7" i="7"/>
  <c r="K12" i="7"/>
  <c r="J25" i="7"/>
  <c r="J16" i="7"/>
  <c r="J22" i="7"/>
  <c r="J12" i="7"/>
  <c r="J10" i="7"/>
  <c r="G25" i="7"/>
  <c r="F7" i="7"/>
  <c r="F10" i="7"/>
  <c r="F22" i="7"/>
  <c r="F12" i="7"/>
  <c r="I10" i="7"/>
  <c r="E16" i="7"/>
  <c r="I7" i="7"/>
  <c r="K25" i="7"/>
  <c r="F16" i="7"/>
  <c r="M10" i="7"/>
  <c r="C12" i="7"/>
  <c r="C25" i="7"/>
  <c r="C16" i="7"/>
  <c r="D7" i="7"/>
  <c r="D12" i="7"/>
  <c r="D10" i="7"/>
  <c r="D22" i="7"/>
  <c r="J7" i="7"/>
  <c r="L7" i="7"/>
  <c r="L12" i="7"/>
  <c r="L10" i="7"/>
  <c r="M25" i="7"/>
  <c r="G7" i="7"/>
  <c r="G6" i="1"/>
  <c r="G19" i="1" s="1"/>
  <c r="I14" i="1"/>
  <c r="K25" i="1" s="1"/>
  <c r="M25" i="1" s="1"/>
  <c r="M14" i="1" s="1"/>
  <c r="C24" i="2"/>
  <c r="H14" i="1"/>
  <c r="K24" i="1"/>
  <c r="L9" i="1"/>
  <c r="N9" i="1" s="1"/>
  <c r="L7" i="1"/>
  <c r="J23" i="2"/>
  <c r="K24" i="2"/>
  <c r="B13" i="1"/>
  <c r="I23" i="2"/>
  <c r="B16" i="2"/>
  <c r="I24" i="1"/>
  <c r="E14" i="1"/>
  <c r="J24" i="2"/>
  <c r="I24" i="2"/>
  <c r="L4" i="1"/>
  <c r="L23" i="1" s="1"/>
  <c r="H24" i="2"/>
  <c r="G24" i="2"/>
  <c r="D13" i="1"/>
  <c r="E13" i="1" s="1"/>
  <c r="L19" i="1"/>
  <c r="L24" i="1" s="1"/>
  <c r="N11" i="1"/>
  <c r="B6" i="1"/>
  <c r="B19" i="1" s="1"/>
  <c r="H24" i="1" s="1"/>
  <c r="L8" i="1"/>
  <c r="N8" i="1" s="1"/>
  <c r="E23" i="2"/>
  <c r="B14" i="1"/>
  <c r="I16" i="2"/>
  <c r="J25" i="1"/>
  <c r="M24" i="1"/>
  <c r="M9" i="1"/>
  <c r="I25" i="1"/>
  <c r="I20" i="2"/>
  <c r="H20" i="2"/>
  <c r="K23" i="1"/>
  <c r="M23" i="1" s="1"/>
  <c r="M4" i="1" s="1"/>
  <c r="H6" i="1"/>
  <c r="H19" i="1" s="1"/>
  <c r="J24" i="1" s="1"/>
  <c r="F6" i="1"/>
  <c r="F19" i="1" s="1"/>
  <c r="E1" i="4"/>
  <c r="N37" i="10" l="1"/>
  <c r="D18" i="9"/>
  <c r="D12" i="10" s="1"/>
  <c r="D13" i="10"/>
  <c r="D19" i="10" s="1"/>
  <c r="D21" i="10"/>
  <c r="D25" i="10"/>
  <c r="J6" i="10"/>
  <c r="J13" i="10"/>
  <c r="J19" i="10" s="1"/>
  <c r="J21" i="10"/>
  <c r="J25" i="10"/>
  <c r="L7" i="10"/>
  <c r="F21" i="10"/>
  <c r="F13" i="10"/>
  <c r="F19" i="10" s="1"/>
  <c r="F25" i="10"/>
  <c r="F6" i="10"/>
  <c r="E13" i="10"/>
  <c r="E19" i="10" s="1"/>
  <c r="E21" i="10"/>
  <c r="E6" i="10"/>
  <c r="E25" i="10"/>
  <c r="I6" i="10"/>
  <c r="I25" i="10"/>
  <c r="I13" i="10"/>
  <c r="I19" i="10" s="1"/>
  <c r="I21" i="10"/>
  <c r="K6" i="10"/>
  <c r="G13" i="10"/>
  <c r="G19" i="10" s="1"/>
  <c r="G21" i="10"/>
  <c r="G6" i="10"/>
  <c r="G25" i="10"/>
  <c r="H7" i="10"/>
  <c r="D6" i="10"/>
  <c r="C21" i="10"/>
  <c r="C13" i="10"/>
  <c r="C19" i="10" s="1"/>
  <c r="C25" i="10"/>
  <c r="D26" i="9"/>
  <c r="D27" i="9" s="1"/>
  <c r="D14" i="10" s="1"/>
  <c r="M30" i="9"/>
  <c r="M27" i="9"/>
  <c r="L32" i="9"/>
  <c r="L27" i="9"/>
  <c r="L14" i="10" s="1"/>
  <c r="L30" i="9"/>
  <c r="G18" i="9"/>
  <c r="G12" i="10" s="1"/>
  <c r="G26" i="9"/>
  <c r="J26" i="9"/>
  <c r="J7" i="10" s="1"/>
  <c r="J18" i="9"/>
  <c r="J12" i="10" s="1"/>
  <c r="M37" i="9"/>
  <c r="M33" i="9"/>
  <c r="C18" i="9"/>
  <c r="C12" i="10" s="1"/>
  <c r="C26" i="9"/>
  <c r="H30" i="9"/>
  <c r="H32" i="9"/>
  <c r="H27" i="9"/>
  <c r="H14" i="10" s="1"/>
  <c r="D32" i="9"/>
  <c r="D23" i="10" s="1"/>
  <c r="I18" i="9"/>
  <c r="I12" i="10" s="1"/>
  <c r="I26" i="9"/>
  <c r="I7" i="10" s="1"/>
  <c r="K32" i="9"/>
  <c r="K27" i="9"/>
  <c r="K14" i="10" s="1"/>
  <c r="K30" i="9"/>
  <c r="F18" i="9"/>
  <c r="F12" i="10" s="1"/>
  <c r="F26" i="9"/>
  <c r="F7" i="10" s="1"/>
  <c r="E18" i="9"/>
  <c r="E12" i="10" s="1"/>
  <c r="E26" i="9"/>
  <c r="E7" i="10" s="1"/>
  <c r="I18" i="7"/>
  <c r="I13" i="7"/>
  <c r="M18" i="7"/>
  <c r="M13" i="7"/>
  <c r="G18" i="7"/>
  <c r="G13" i="7"/>
  <c r="L18" i="7"/>
  <c r="L13" i="7"/>
  <c r="E18" i="7"/>
  <c r="E13" i="7"/>
  <c r="C18" i="7"/>
  <c r="C13" i="7"/>
  <c r="K18" i="7"/>
  <c r="K13" i="7"/>
  <c r="F18" i="7"/>
  <c r="F13" i="7"/>
  <c r="D18" i="7"/>
  <c r="D13" i="7"/>
  <c r="H18" i="7"/>
  <c r="H13" i="7"/>
  <c r="J18" i="7"/>
  <c r="J13" i="7"/>
  <c r="N24" i="1"/>
  <c r="N23" i="1"/>
  <c r="N4" i="1" s="1"/>
  <c r="M8" i="1"/>
  <c r="D14" i="1"/>
  <c r="H25" i="1" s="1"/>
  <c r="N25" i="1" s="1"/>
  <c r="N14" i="1" s="1"/>
  <c r="N15" i="1" s="1"/>
  <c r="N6" i="1"/>
  <c r="N10" i="1" s="1"/>
  <c r="N12" i="1" s="1"/>
  <c r="N13" i="1" s="1"/>
  <c r="N5" i="1"/>
  <c r="M6" i="1"/>
  <c r="M10" i="1" s="1"/>
  <c r="M12" i="1" s="1"/>
  <c r="M13" i="1" s="1"/>
  <c r="M15" i="1" s="1"/>
  <c r="K7" i="10" l="1"/>
  <c r="L8" i="10"/>
  <c r="L23" i="10"/>
  <c r="D30" i="9"/>
  <c r="H23" i="10"/>
  <c r="G7" i="10"/>
  <c r="K23" i="10"/>
  <c r="D7" i="10"/>
  <c r="C32" i="9"/>
  <c r="F32" i="9"/>
  <c r="F27" i="9"/>
  <c r="F14" i="10" s="1"/>
  <c r="F30" i="9"/>
  <c r="D37" i="9"/>
  <c r="D33" i="9"/>
  <c r="D15" i="10" s="1"/>
  <c r="C27" i="9"/>
  <c r="C14" i="10" s="1"/>
  <c r="C30" i="9"/>
  <c r="H33" i="9"/>
  <c r="H15" i="10" s="1"/>
  <c r="H37" i="9"/>
  <c r="E32" i="9"/>
  <c r="E27" i="9"/>
  <c r="E14" i="10" s="1"/>
  <c r="E30" i="9"/>
  <c r="M41" i="9"/>
  <c r="M43" i="9"/>
  <c r="M38" i="9"/>
  <c r="J32" i="9"/>
  <c r="J27" i="9"/>
  <c r="J14" i="10" s="1"/>
  <c r="J30" i="9"/>
  <c r="G30" i="9"/>
  <c r="G32" i="9"/>
  <c r="G27" i="9"/>
  <c r="G14" i="10" s="1"/>
  <c r="K37" i="9"/>
  <c r="K33" i="9"/>
  <c r="K15" i="10" s="1"/>
  <c r="I30" i="9"/>
  <c r="I27" i="9"/>
  <c r="I14" i="10" s="1"/>
  <c r="I32" i="9"/>
  <c r="L37" i="9"/>
  <c r="L33" i="9"/>
  <c r="L15" i="10" s="1"/>
  <c r="K19" i="7"/>
  <c r="K27" i="7"/>
  <c r="I19" i="7"/>
  <c r="I27" i="7"/>
  <c r="C19" i="7"/>
  <c r="C27" i="7"/>
  <c r="L19" i="7"/>
  <c r="L27" i="7"/>
  <c r="J19" i="7"/>
  <c r="J27" i="7"/>
  <c r="G19" i="7"/>
  <c r="G27" i="7"/>
  <c r="D19" i="7"/>
  <c r="D27" i="7"/>
  <c r="F19" i="7"/>
  <c r="F27" i="7"/>
  <c r="E19" i="7"/>
  <c r="E27" i="7"/>
  <c r="H19" i="7"/>
  <c r="H27" i="7"/>
  <c r="M19" i="7"/>
  <c r="M27" i="7"/>
  <c r="M5" i="1"/>
  <c r="G23" i="10" l="1"/>
  <c r="G8" i="10"/>
  <c r="F23" i="10"/>
  <c r="F8" i="10"/>
  <c r="J23" i="10"/>
  <c r="J8" i="10"/>
  <c r="K8" i="10"/>
  <c r="I23" i="10"/>
  <c r="I8" i="10"/>
  <c r="E23" i="10"/>
  <c r="E8" i="10"/>
  <c r="H8" i="10"/>
  <c r="C33" i="9"/>
  <c r="C15" i="10" s="1"/>
  <c r="C23" i="10"/>
  <c r="D8" i="10"/>
  <c r="L41" i="9"/>
  <c r="L38" i="9"/>
  <c r="L43" i="9"/>
  <c r="L22" i="10" s="1"/>
  <c r="L24" i="10" s="1"/>
  <c r="I33" i="9"/>
  <c r="I15" i="10" s="1"/>
  <c r="I37" i="9"/>
  <c r="E37" i="9"/>
  <c r="E33" i="9"/>
  <c r="E15" i="10" s="1"/>
  <c r="H41" i="9"/>
  <c r="H43" i="9" s="1"/>
  <c r="H22" i="10" s="1"/>
  <c r="H24" i="10" s="1"/>
  <c r="K41" i="9"/>
  <c r="K43" i="9"/>
  <c r="K22" i="10" s="1"/>
  <c r="K24" i="10" s="1"/>
  <c r="C37" i="9"/>
  <c r="G33" i="9"/>
  <c r="G15" i="10" s="1"/>
  <c r="G37" i="9"/>
  <c r="H38" i="9" s="1"/>
  <c r="D41" i="9"/>
  <c r="D43" i="9" s="1"/>
  <c r="D22" i="10" s="1"/>
  <c r="D24" i="10" s="1"/>
  <c r="J37" i="9"/>
  <c r="K38" i="9" s="1"/>
  <c r="J33" i="9"/>
  <c r="J15" i="10" s="1"/>
  <c r="F33" i="9"/>
  <c r="F15" i="10" s="1"/>
  <c r="F37" i="9"/>
  <c r="D33" i="7"/>
  <c r="D28" i="7"/>
  <c r="D31" i="7"/>
  <c r="G33" i="7"/>
  <c r="G28" i="7"/>
  <c r="G31" i="7"/>
  <c r="M33" i="7"/>
  <c r="M28" i="7"/>
  <c r="M31" i="7"/>
  <c r="C33" i="7"/>
  <c r="C38" i="7" s="1"/>
  <c r="C28" i="7"/>
  <c r="C31" i="7"/>
  <c r="F28" i="7"/>
  <c r="F31" i="7"/>
  <c r="F33" i="7"/>
  <c r="L31" i="7"/>
  <c r="L33" i="7"/>
  <c r="L28" i="7"/>
  <c r="H33" i="7"/>
  <c r="H31" i="7"/>
  <c r="H28" i="7"/>
  <c r="E33" i="7"/>
  <c r="E28" i="7"/>
  <c r="E31" i="7"/>
  <c r="K33" i="7"/>
  <c r="K28" i="7"/>
  <c r="K31" i="7"/>
  <c r="J31" i="7"/>
  <c r="J33" i="7"/>
  <c r="J28" i="7"/>
  <c r="I28" i="7"/>
  <c r="I33" i="7"/>
  <c r="I31" i="7"/>
  <c r="J41" i="9" l="1"/>
  <c r="J38" i="9"/>
  <c r="J43" i="9"/>
  <c r="J22" i="10" s="1"/>
  <c r="J24" i="10" s="1"/>
  <c r="C41" i="9"/>
  <c r="C43" i="9" s="1"/>
  <c r="C22" i="10" s="1"/>
  <c r="C24" i="10" s="1"/>
  <c r="F38" i="9"/>
  <c r="F41" i="9"/>
  <c r="F43" i="9" s="1"/>
  <c r="F22" i="10" s="1"/>
  <c r="F24" i="10" s="1"/>
  <c r="E38" i="9"/>
  <c r="E41" i="9"/>
  <c r="E43" i="9" s="1"/>
  <c r="E22" i="10" s="1"/>
  <c r="E24" i="10" s="1"/>
  <c r="I38" i="9"/>
  <c r="I41" i="9"/>
  <c r="I43" i="9" s="1"/>
  <c r="I22" i="10" s="1"/>
  <c r="I24" i="10" s="1"/>
  <c r="D38" i="9"/>
  <c r="G38" i="9"/>
  <c r="G41" i="9"/>
  <c r="G43" i="9" s="1"/>
  <c r="G22" i="10" s="1"/>
  <c r="G24" i="10" s="1"/>
  <c r="C42" i="7"/>
  <c r="F38" i="7"/>
  <c r="F34" i="7"/>
  <c r="C34" i="7"/>
  <c r="I38" i="7"/>
  <c r="I34" i="7"/>
  <c r="K34" i="7"/>
  <c r="K38" i="7"/>
  <c r="E38" i="7"/>
  <c r="E34" i="7"/>
  <c r="H38" i="7"/>
  <c r="H34" i="7"/>
  <c r="J34" i="7"/>
  <c r="J38" i="7"/>
  <c r="M34" i="7"/>
  <c r="M38" i="7"/>
  <c r="G38" i="7"/>
  <c r="G34" i="7"/>
  <c r="L34" i="7"/>
  <c r="L38" i="7"/>
  <c r="D34" i="7"/>
  <c r="D38" i="7"/>
  <c r="D39" i="7" s="1"/>
  <c r="I42" i="7" l="1"/>
  <c r="I44" i="7" s="1"/>
  <c r="I39" i="7"/>
  <c r="L44" i="7"/>
  <c r="L39" i="7"/>
  <c r="L42" i="7"/>
  <c r="K39" i="7"/>
  <c r="K44" i="7"/>
  <c r="K42" i="7"/>
  <c r="E39" i="7"/>
  <c r="E42" i="7"/>
  <c r="E44" i="7" s="1"/>
  <c r="D42" i="7"/>
  <c r="F39" i="7"/>
  <c r="F42" i="7"/>
  <c r="F44" i="7" s="1"/>
  <c r="H39" i="7"/>
  <c r="H42" i="7"/>
  <c r="H44" i="7" s="1"/>
  <c r="G39" i="7"/>
  <c r="G42" i="7"/>
  <c r="G44" i="7" s="1"/>
  <c r="M44" i="7"/>
  <c r="M42" i="7"/>
  <c r="M39" i="7"/>
  <c r="J42" i="7"/>
  <c r="J44" i="7"/>
  <c r="J39" i="7"/>
</calcChain>
</file>

<file path=xl/sharedStrings.xml><?xml version="1.0" encoding="utf-8"?>
<sst xmlns="http://schemas.openxmlformats.org/spreadsheetml/2006/main" count="349" uniqueCount="188">
  <si>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</si>
  <si>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</si>
  <si>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</si>
  <si>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</si>
  <si>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</si>
  <si>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</si>
  <si>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</si>
  <si>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</si>
  <si>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</si>
  <si>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</si>
  <si>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</si>
  <si>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</si>
  <si>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</si>
  <si>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</si>
  <si>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</si>
  <si>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</si>
  <si>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</si>
  <si>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</si>
  <si>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</si>
  <si>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</si>
  <si>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</si>
  <si>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</si>
  <si>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</si>
  <si>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</si>
  <si>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</si>
  <si>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</si>
  <si>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</si>
  <si>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</si>
  <si>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</si>
  <si>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</si>
  <si>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</si>
  <si>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</si>
  <si>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</si>
  <si>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</si>
  <si>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</si>
  <si>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</si>
  <si>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</si>
  <si>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</si>
  <si>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</si>
  <si>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</si>
  <si>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</si>
  <si>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</si>
  <si>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</si>
  <si>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</si>
  <si>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</si>
  <si>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</si>
  <si>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</si>
  <si>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</si>
  <si>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</si>
  <si>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</si>
  <si>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</si>
  <si>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</si>
  <si>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</si>
  <si>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</si>
  <si>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</si>
  <si>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</si>
  <si>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</si>
  <si>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</si>
  <si>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</si>
  <si>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</si>
  <si>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</si>
  <si>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</si>
  <si>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</si>
  <si>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</si>
  <si>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</si>
  <si>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</si>
  <si>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</si>
  <si>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</si>
  <si>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</si>
  <si>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</si>
  <si>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</si>
  <si>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</si>
  <si>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</si>
  <si>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</si>
  <si>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</si>
  <si>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</si>
  <si>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</si>
  <si>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</si>
  <si>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</si>
  <si>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</si>
  <si>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</si>
  <si>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</si>
  <si>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</si>
  <si>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</si>
  <si>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</si>
  <si>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-</t>
  </si>
  <si>
    <t>COGS</t>
  </si>
  <si>
    <t>Gross Profit</t>
  </si>
  <si>
    <t>Selling &amp; General Expenses</t>
  </si>
  <si>
    <t>S&amp;G Exp % of sales</t>
  </si>
  <si>
    <t>EBITDA</t>
  </si>
  <si>
    <t>EBITDA % of Sales</t>
  </si>
  <si>
    <t>COGS % of Sales</t>
  </si>
  <si>
    <t>Interest % of Sales</t>
  </si>
  <si>
    <t>Depreciation % of Sales</t>
  </si>
  <si>
    <t>Gross Margin</t>
  </si>
  <si>
    <t>Earnings Before Tax</t>
  </si>
  <si>
    <t>EBT % of Sales</t>
  </si>
  <si>
    <t>TAX</t>
  </si>
  <si>
    <t>Effective Tax Rate</t>
  </si>
  <si>
    <t>Net Profit</t>
  </si>
  <si>
    <t>Net Margines</t>
  </si>
  <si>
    <t>Earning per Share</t>
  </si>
  <si>
    <t>Dividend per Share</t>
  </si>
  <si>
    <t>Earning per Share Growth %</t>
  </si>
  <si>
    <t>Divedend payout Ratio</t>
  </si>
  <si>
    <t>Retained Earnings</t>
  </si>
  <si>
    <t>Balance Sheet</t>
  </si>
  <si>
    <t>Total Liabilities</t>
  </si>
  <si>
    <t>Fixed Assest (Net Block)</t>
  </si>
  <si>
    <t>Total Non- Current Assest</t>
  </si>
  <si>
    <t>Total Current Assest</t>
  </si>
  <si>
    <t>Total Assest</t>
  </si>
  <si>
    <t>Check</t>
  </si>
  <si>
    <r>
      <t>Cash from Operating Activity </t>
    </r>
    <r>
      <rPr>
        <sz val="11"/>
        <color rgb="FF665EFD"/>
        <rFont val="Arial"/>
        <family val="2"/>
      </rPr>
      <t>-</t>
    </r>
  </si>
  <si>
    <t>Profit from operations</t>
  </si>
  <si>
    <t>Payables</t>
  </si>
  <si>
    <t>Loans Advances</t>
  </si>
  <si>
    <t>Other WC items</t>
  </si>
  <si>
    <t>Working capital changes</t>
  </si>
  <si>
    <t>Direct taxes</t>
  </si>
  <si>
    <r>
      <t>Cash from Investing Activity </t>
    </r>
    <r>
      <rPr>
        <sz val="11"/>
        <color rgb="FF665EFD"/>
        <rFont val="Arial"/>
        <family val="2"/>
      </rPr>
      <t>-</t>
    </r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</si>
  <si>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</si>
  <si>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</si>
  <si>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</si>
  <si>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</si>
  <si>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</si>
  <si>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</si>
  <si>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</si>
  <si>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</si>
  <si>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</si>
  <si>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</si>
  <si>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</si>
  <si>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r>
      <t>Cash from Financing Activity </t>
    </r>
    <r>
      <rPr>
        <sz val="11"/>
        <color rgb="FF665EFD"/>
        <rFont val="Arial"/>
        <family val="2"/>
      </rPr>
      <t>-</t>
    </r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</si>
  <si>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</si>
  <si>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</si>
  <si>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</si>
  <si>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</si>
  <si>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</si>
  <si>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</si>
  <si>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</si>
  <si>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</si>
  <si>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</si>
  <si>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</si>
  <si>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</si>
  <si>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</si>
  <si>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</si>
  <si>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</si>
  <si>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Cash Flow Statement</t>
  </si>
  <si>
    <t>Cash Flow from Operating Activities</t>
  </si>
  <si>
    <t>Cash Flow From Investing Activities</t>
  </si>
  <si>
    <t>Cash Flow From Financing Activities</t>
  </si>
  <si>
    <t>SalesGrowth</t>
  </si>
  <si>
    <t>EBITDA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</si>
  <si>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</si>
  <si>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</si>
  <si>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</si>
  <si>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</si>
  <si>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</si>
  <si>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</si>
  <si>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 Expenses % Sales</t>
  </si>
  <si>
    <t>Operating Income % Sales</t>
  </si>
  <si>
    <t>Depreciation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</si>
  <si>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</si>
  <si>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</si>
  <si>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</si>
  <si>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</si>
  <si>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</si>
  <si>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</si>
  <si>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</si>
  <si>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 Ratio</t>
  </si>
  <si>
    <t>Fixed Assest Turnover</t>
  </si>
  <si>
    <t>Capital Turnover Ratio</t>
  </si>
  <si>
    <t>Payable Days</t>
  </si>
  <si>
    <t>Inventory Days</t>
  </si>
  <si>
    <t>Cash Conversion Cycle</t>
  </si>
  <si>
    <t>CFO/Sales</t>
  </si>
  <si>
    <t>CFO/Total Assest</t>
  </si>
  <si>
    <t>CFO/Total Debt</t>
  </si>
  <si>
    <t>EBT Growth</t>
  </si>
  <si>
    <t>(In Days)</t>
  </si>
  <si>
    <t>(Cash Flow From Operations)</t>
  </si>
  <si>
    <t>Mean</t>
  </si>
  <si>
    <t>Median</t>
  </si>
  <si>
    <t>Trend</t>
  </si>
  <si>
    <t>Year Weight</t>
  </si>
  <si>
    <t>Year</t>
  </si>
  <si>
    <t>EPS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</si>
</sst>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7" formatCode="&quot;₹&quot;\ #,##0.00;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;\(&quot;₹&quot;\ \-#,##0.00\);\-"/>
    <numFmt numFmtId="167" formatCode="&quot;₹&quot;\ #,##0.00;&quot;₹&quot;\ \(#,##0.00\)"/>
    <numFmt numFmtId="168" formatCode="&quot;₹&quot;\ #,##0.00;&quot;₹&quot;\ \(#,##0.00\);\-"/>
    <numFmt numFmtId="169" formatCode="&quot;₹&quot;\ #,##0.00;\(&quot;₹&quot;\ #,##0.00\);\-"/>
    <numFmt numFmtId="170" formatCode="0.00&quot;x&quot;"/>
    <numFmt numFmtId="171" formatCode="#,##0.0"/>
    <numFmt numFmtId="173" formatCode="0&quot;E&quot;"/>
    <numFmt numFmtId="175" formatCode="yyyy&quot;A&quot;"/>
    <numFmt numFmtId="176" formatCode="yyyy&quot;E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rgb="FF606F7B"/>
      <name val="Arial"/>
      <family val="2"/>
    </font>
    <font>
      <sz val="11"/>
      <color rgb="FF22222F"/>
      <name val="Arial"/>
      <family val="2"/>
    </font>
    <font>
      <sz val="11"/>
      <color rgb="FF665EFD"/>
      <name val="Arial"/>
      <family val="2"/>
    </font>
    <font>
      <sz val="11"/>
      <color rgb="FF22222F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0275D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DF2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BE4F0"/>
      </bottom>
      <diagonal/>
    </border>
    <border>
      <left/>
      <right/>
      <top style="thick">
        <color rgb="FFDBE4F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93">
    <xf numFmtId="0" fontId="0" fillId="0" borderId="0" xfId="0"/>
    <xf numFmtId="43" fontId="1" fillId="0" borderId="0" xfId="1" applyFont="1" applyBorder="1"/>
    <xf numFmtId="0" fontId="1" fillId="0" borderId="0" xfId="0" applyFont="1"/>
    <xf numFmtId="0" fontId="6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7" fillId="0" borderId="0" xfId="1" applyNumberFormat="1" applyFont="1" applyFill="1" applyBorder="1"/>
    <xf numFmtId="0" fontId="7" fillId="0" borderId="0" xfId="0" applyFont="1"/>
    <xf numFmtId="164" fontId="0" fillId="0" borderId="0" xfId="1" applyNumberFormat="1" applyFont="1" applyBorder="1"/>
    <xf numFmtId="0" fontId="2" fillId="6" borderId="0" xfId="0" applyFont="1" applyFill="1"/>
    <xf numFmtId="17" fontId="2" fillId="6" borderId="0" xfId="0" applyNumberFormat="1" applyFont="1" applyFill="1"/>
    <xf numFmtId="17" fontId="2" fillId="6" borderId="0" xfId="0" applyNumberFormat="1" applyFont="1" applyFill="1" applyAlignment="1">
      <alignment horizontal="right"/>
    </xf>
    <xf numFmtId="166" fontId="0" fillId="0" borderId="0" xfId="0" applyNumberFormat="1"/>
    <xf numFmtId="0" fontId="8" fillId="0" borderId="0" xfId="0" applyFont="1"/>
    <xf numFmtId="10" fontId="8" fillId="0" borderId="0" xfId="0" applyNumberFormat="1" applyFont="1"/>
    <xf numFmtId="7" fontId="0" fillId="0" borderId="0" xfId="0" applyNumberFormat="1"/>
    <xf numFmtId="0" fontId="1" fillId="7" borderId="0" xfId="0" applyFont="1" applyFill="1"/>
    <xf numFmtId="0" fontId="0" fillId="7" borderId="0" xfId="0" applyFill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17" fontId="1" fillId="7" borderId="0" xfId="0" applyNumberFormat="1" applyFont="1" applyFill="1"/>
    <xf numFmtId="167" fontId="0" fillId="0" borderId="0" xfId="0" applyNumberFormat="1"/>
    <xf numFmtId="7" fontId="1" fillId="0" borderId="0" xfId="0" applyNumberFormat="1" applyFont="1"/>
    <xf numFmtId="17" fontId="9" fillId="8" borderId="1" xfId="0" applyNumberFormat="1" applyFont="1" applyFill="1" applyBorder="1" applyAlignment="1">
      <alignment horizontal="right" vertical="center" wrapText="1" indent="1"/>
    </xf>
    <xf numFmtId="0" fontId="10" fillId="9" borderId="2" xfId="0" applyFont="1" applyFill="1" applyBorder="1" applyAlignment="1">
      <alignment horizontal="left" vertical="center" indent="2"/>
    </xf>
    <xf numFmtId="3" fontId="10" fillId="9" borderId="2" xfId="0" applyNumberFormat="1" applyFont="1" applyFill="1" applyBorder="1" applyAlignment="1">
      <alignment horizontal="right" vertical="center" wrapText="1" indent="1"/>
    </xf>
    <xf numFmtId="0" fontId="10" fillId="9" borderId="2" xfId="0" applyFont="1" applyFill="1" applyBorder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right" vertical="center" wrapText="1" indent="1"/>
    </xf>
    <xf numFmtId="3" fontId="12" fillId="9" borderId="0" xfId="0" applyNumberFormat="1" applyFont="1" applyFill="1" applyAlignment="1">
      <alignment horizontal="right" vertical="center" wrapText="1" indent="1"/>
    </xf>
    <xf numFmtId="0" fontId="10" fillId="9" borderId="2" xfId="0" applyFont="1" applyFill="1" applyBorder="1" applyAlignment="1">
      <alignment horizontal="right" vertical="center" wrapText="1" indent="1"/>
    </xf>
    <xf numFmtId="0" fontId="10" fillId="8" borderId="2" xfId="0" applyFont="1" applyFill="1" applyBorder="1" applyAlignment="1">
      <alignment horizontal="left" vertical="center" indent="2"/>
    </xf>
    <xf numFmtId="3" fontId="10" fillId="8" borderId="2" xfId="0" applyNumberFormat="1" applyFont="1" applyFill="1" applyBorder="1" applyAlignment="1">
      <alignment horizontal="right" vertical="center" wrapText="1" indent="1"/>
    </xf>
    <xf numFmtId="0" fontId="12" fillId="8" borderId="0" xfId="0" applyFont="1" applyFill="1" applyAlignment="1">
      <alignment horizontal="left" vertical="center"/>
    </xf>
    <xf numFmtId="3" fontId="12" fillId="8" borderId="0" xfId="0" applyNumberFormat="1" applyFont="1" applyFill="1" applyAlignment="1">
      <alignment horizontal="right" vertical="center" wrapText="1" indent="1"/>
    </xf>
    <xf numFmtId="0" fontId="12" fillId="8" borderId="0" xfId="0" applyFont="1" applyFill="1" applyAlignment="1">
      <alignment horizontal="right" vertical="center" wrapText="1" indent="1"/>
    </xf>
    <xf numFmtId="0" fontId="10" fillId="8" borderId="2" xfId="0" applyFont="1" applyFill="1" applyBorder="1" applyAlignment="1">
      <alignment horizontal="right" vertical="center" wrapText="1" indent="1"/>
    </xf>
    <xf numFmtId="0" fontId="12" fillId="9" borderId="2" xfId="0" applyFont="1" applyFill="1" applyBorder="1" applyAlignment="1">
      <alignment horizontal="left" vertical="center"/>
    </xf>
    <xf numFmtId="168" fontId="0" fillId="0" borderId="0" xfId="0" applyNumberFormat="1"/>
    <xf numFmtId="168" fontId="1" fillId="0" borderId="0" xfId="0" applyNumberFormat="1" applyFont="1"/>
    <xf numFmtId="169" fontId="0" fillId="0" borderId="0" xfId="0" applyNumberFormat="1"/>
    <xf numFmtId="0" fontId="1" fillId="0" borderId="3" xfId="0" applyFont="1" applyBorder="1"/>
    <xf numFmtId="7" fontId="1" fillId="0" borderId="3" xfId="0" applyNumberFormat="1" applyFont="1" applyBorder="1"/>
    <xf numFmtId="167" fontId="1" fillId="0" borderId="3" xfId="0" applyNumberFormat="1" applyFont="1" applyBorder="1"/>
    <xf numFmtId="10" fontId="0" fillId="0" borderId="0" xfId="6" applyNumberFormat="1" applyFont="1"/>
    <xf numFmtId="170" fontId="0" fillId="0" borderId="0" xfId="0" applyNumberFormat="1"/>
    <xf numFmtId="1" fontId="0" fillId="0" borderId="0" xfId="0" applyNumberFormat="1"/>
    <xf numFmtId="0" fontId="0" fillId="0" borderId="4" xfId="0" applyBorder="1"/>
    <xf numFmtId="10" fontId="0" fillId="0" borderId="4" xfId="6" applyNumberFormat="1" applyFont="1" applyBorder="1"/>
    <xf numFmtId="10" fontId="0" fillId="0" borderId="0" xfId="6" applyNumberFormat="1" applyFont="1" applyBorder="1"/>
    <xf numFmtId="0" fontId="0" fillId="0" borderId="5" xfId="0" applyBorder="1"/>
    <xf numFmtId="10" fontId="0" fillId="0" borderId="5" xfId="6" applyNumberFormat="1" applyFont="1" applyBorder="1"/>
    <xf numFmtId="10" fontId="0" fillId="0" borderId="5" xfId="0" applyNumberFormat="1" applyBorder="1"/>
    <xf numFmtId="170" fontId="0" fillId="0" borderId="5" xfId="0" applyNumberFormat="1" applyBorder="1"/>
    <xf numFmtId="170" fontId="0" fillId="0" borderId="4" xfId="0" applyNumberFormat="1" applyBorder="1"/>
    <xf numFmtId="0" fontId="13" fillId="0" borderId="4" xfId="0" applyFont="1" applyBorder="1"/>
    <xf numFmtId="1" fontId="0" fillId="0" borderId="5" xfId="0" applyNumberFormat="1" applyBorder="1"/>
    <xf numFmtId="170" fontId="0" fillId="0" borderId="3" xfId="0" applyNumberFormat="1" applyBorder="1"/>
    <xf numFmtId="17" fontId="2" fillId="6" borderId="0" xfId="0" applyNumberFormat="1" applyFont="1" applyFill="1" applyAlignment="1">
      <alignment horizontal="center"/>
    </xf>
    <xf numFmtId="4" fontId="0" fillId="0" borderId="0" xfId="0" applyNumberFormat="1"/>
    <xf numFmtId="2" fontId="0" fillId="0" borderId="0" xfId="0" applyNumberFormat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17" fontId="0" fillId="0" borderId="0" xfId="0" applyNumberFormat="1"/>
    <xf numFmtId="171" fontId="0" fillId="0" borderId="0" xfId="0" applyNumberFormat="1"/>
    <xf numFmtId="0" fontId="0" fillId="0" borderId="0" xfId="0" applyAlignment="1">
      <alignment horizontal="left"/>
    </xf>
    <xf numFmtId="171" fontId="14" fillId="0" borderId="0" xfId="0" applyNumberFormat="1" applyFont="1" applyAlignment="1">
      <alignment horizontal="right"/>
    </xf>
    <xf numFmtId="173" fontId="0" fillId="0" borderId="0" xfId="0" applyNumberFormat="1" applyAlignment="1">
      <alignment horizontal="center"/>
    </xf>
    <xf numFmtId="171" fontId="0" fillId="0" borderId="0" xfId="0" applyNumberFormat="1" applyFont="1" applyAlignment="1">
      <alignment horizontal="right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2" fillId="10" borderId="0" xfId="0" applyFont="1" applyFill="1"/>
    <xf numFmtId="0" fontId="2" fillId="1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11" borderId="0" xfId="0" applyFill="1" applyAlignment="1">
      <alignment horizontal="left"/>
    </xf>
    <xf numFmtId="176" fontId="0" fillId="11" borderId="0" xfId="0" applyNumberFormat="1" applyFill="1" applyAlignment="1">
      <alignment horizontal="center"/>
    </xf>
    <xf numFmtId="171" fontId="0" fillId="11" borderId="0" xfId="0" applyNumberFormat="1" applyFont="1" applyFill="1" applyAlignment="1">
      <alignment horizontal="right"/>
    </xf>
    <xf numFmtId="10" fontId="0" fillId="11" borderId="0" xfId="0" applyNumberFormat="1" applyFill="1"/>
    <xf numFmtId="171" fontId="14" fillId="11" borderId="0" xfId="0" applyNumberFormat="1" applyFont="1" applyFill="1" applyAlignment="1">
      <alignment horizontal="right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CDF2C0"/>
      <color rgb="FF0275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85546875" defaultRowHeight="15" x14ac:dyDescent="0.25"/>
  <cols>
    <col min="1" max="1" width="20.7109375" customWidth="1"/>
    <col min="2" max="6" width="13.42578125" customWidth="1"/>
    <col min="7" max="7" width="14.85546875" bestFit="1" customWidth="1"/>
    <col min="8" max="11" width="13.42578125" customWidth="1"/>
    <col min="12" max="12" width="13.28515625" customWidth="1"/>
    <col min="13" max="14" width="12.140625" customWidth="1"/>
  </cols>
  <sheetData>
    <row r="1" spans="1:14" s="2" customFormat="1" x14ac:dyDescent="0.25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2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25">
      <c r="A4" s="2" t="s">
        <v>6</v>
      </c>
      <c r="B4" s="1">
        <f>'Data Sheet'!B17</f>
        <v>273045.59999999998</v>
      </c>
      <c r="C4" s="1">
        <f>'Data Sheet'!C17</f>
        <v>269692.51</v>
      </c>
      <c r="D4" s="1">
        <f>'Data Sheet'!D17</f>
        <v>291550.48</v>
      </c>
      <c r="E4" s="1">
        <f>'Data Sheet'!E17</f>
        <v>301938.40000000002</v>
      </c>
      <c r="F4" s="1">
        <f>'Data Sheet'!F17</f>
        <v>261067.97</v>
      </c>
      <c r="G4" s="1">
        <f>'Data Sheet'!G17</f>
        <v>249794.75</v>
      </c>
      <c r="H4" s="1">
        <f>'Data Sheet'!H17</f>
        <v>278453.62</v>
      </c>
      <c r="I4" s="1">
        <f>'Data Sheet'!I17</f>
        <v>345966.97</v>
      </c>
      <c r="J4" s="1">
        <f>'Data Sheet'!J17</f>
        <v>434016</v>
      </c>
      <c r="K4" s="1">
        <f>'Data Sheet'!K17</f>
        <v>439695</v>
      </c>
      <c r="L4" s="1">
        <f>SUM(Quarters!H4:K4)</f>
        <v>441609</v>
      </c>
      <c r="M4" s="1">
        <f>$K4+M23*K4</f>
        <v>512017.03850373905</v>
      </c>
      <c r="N4" s="1">
        <f>$K4+N23*L4</f>
        <v>445473.35266672197</v>
      </c>
    </row>
    <row r="5" spans="1:14" x14ac:dyDescent="0.25">
      <c r="A5" t="s">
        <v>7</v>
      </c>
      <c r="B5" s="6">
        <f>SUM('Data Sheet'!B18,'Data Sheet'!B20:B24, -1*'Data Sheet'!B19)</f>
        <v>234650.35</v>
      </c>
      <c r="C5" s="6">
        <f>SUM('Data Sheet'!C18,'Data Sheet'!C20:C24, -1*'Data Sheet'!C19)</f>
        <v>240103.81999999998</v>
      </c>
      <c r="D5" s="6">
        <f>SUM('Data Sheet'!D18,'Data Sheet'!D20:D24, -1*'Data Sheet'!D19)</f>
        <v>260092.80000000002</v>
      </c>
      <c r="E5" s="6">
        <f>SUM('Data Sheet'!E18,'Data Sheet'!E20:E24, -1*'Data Sheet'!E19)</f>
        <v>277274.07</v>
      </c>
      <c r="F5" s="6">
        <f>SUM('Data Sheet'!F18,'Data Sheet'!F20:F24, -1*'Data Sheet'!F19)</f>
        <v>243080.90000000005</v>
      </c>
      <c r="G5" s="6">
        <f>SUM('Data Sheet'!G18,'Data Sheet'!G20:G24, -1*'Data Sheet'!G19)</f>
        <v>217507.32</v>
      </c>
      <c r="H5" s="6">
        <f>SUM('Data Sheet'!H18,'Data Sheet'!H20:H24, -1*'Data Sheet'!H19)</f>
        <v>253733.52999999997</v>
      </c>
      <c r="I5" s="6">
        <f>SUM('Data Sheet'!I18,'Data Sheet'!I20:I24, -1*'Data Sheet'!I19)</f>
        <v>314151.17000000004</v>
      </c>
      <c r="J5" s="6">
        <f>SUM('Data Sheet'!J18,'Data Sheet'!J20:J24, -1*'Data Sheet'!J19)</f>
        <v>376192</v>
      </c>
      <c r="K5" s="6">
        <f>SUM('Data Sheet'!K18,'Data Sheet'!K20:K24, -1*'Data Sheet'!K19)</f>
        <v>384479</v>
      </c>
      <c r="L5" s="6">
        <f>SUM(Quarters!H5:K5)</f>
        <v>384424</v>
      </c>
      <c r="M5" s="6">
        <f t="shared" ref="M5:N5" si="0">M4-M6</f>
        <v>445714.73409681726</v>
      </c>
      <c r="N5" s="6">
        <f t="shared" si="0"/>
        <v>398338.79456236039</v>
      </c>
    </row>
    <row r="6" spans="1:14" s="2" customFormat="1" x14ac:dyDescent="0.25">
      <c r="A6" s="2" t="s">
        <v>8</v>
      </c>
      <c r="B6" s="1">
        <f>B4-B5</f>
        <v>38395.249999999971</v>
      </c>
      <c r="C6" s="1">
        <f t="shared" ref="C6:K6" si="1">C4-C5</f>
        <v>29588.690000000031</v>
      </c>
      <c r="D6" s="1">
        <f t="shared" si="1"/>
        <v>31457.679999999964</v>
      </c>
      <c r="E6" s="1">
        <f t="shared" si="1"/>
        <v>24664.330000000016</v>
      </c>
      <c r="F6" s="1">
        <f t="shared" si="1"/>
        <v>17987.069999999949</v>
      </c>
      <c r="G6" s="1">
        <f t="shared" si="1"/>
        <v>32287.429999999993</v>
      </c>
      <c r="H6" s="1">
        <f t="shared" si="1"/>
        <v>24720.090000000026</v>
      </c>
      <c r="I6" s="1">
        <f t="shared" si="1"/>
        <v>31815.79999999993</v>
      </c>
      <c r="J6" s="1">
        <f t="shared" si="1"/>
        <v>57824</v>
      </c>
      <c r="K6" s="1">
        <f t="shared" si="1"/>
        <v>55216</v>
      </c>
      <c r="L6" s="1">
        <f>SUM(Quarters!H6:K6)</f>
        <v>57185</v>
      </c>
      <c r="M6" s="1">
        <f>M4*M24</f>
        <v>66302.304406921787</v>
      </c>
      <c r="N6" s="1">
        <f>N4*N24</f>
        <v>47134.558104361568</v>
      </c>
    </row>
    <row r="7" spans="1:14" x14ac:dyDescent="0.25">
      <c r="A7" t="s">
        <v>9</v>
      </c>
      <c r="B7" s="6">
        <f>'Data Sheet'!B25</f>
        <v>-2669.62</v>
      </c>
      <c r="C7" s="6">
        <f>'Data Sheet'!C25</f>
        <v>1869.1</v>
      </c>
      <c r="D7" s="6">
        <f>'Data Sheet'!D25</f>
        <v>5932.73</v>
      </c>
      <c r="E7" s="6">
        <f>'Data Sheet'!E25</f>
        <v>-26686.25</v>
      </c>
      <c r="F7" s="6">
        <f>'Data Sheet'!F25</f>
        <v>101.71</v>
      </c>
      <c r="G7" s="6">
        <f>'Data Sheet'!G25</f>
        <v>-11117.83</v>
      </c>
      <c r="H7" s="6">
        <f>'Data Sheet'!H25</f>
        <v>2424.0500000000002</v>
      </c>
      <c r="I7" s="6">
        <f>'Data Sheet'!I25</f>
        <v>6663.97</v>
      </c>
      <c r="J7" s="6">
        <f>'Data Sheet'!J25</f>
        <v>4792</v>
      </c>
      <c r="K7" s="6">
        <f>'Data Sheet'!K25</f>
        <v>11774</v>
      </c>
      <c r="L7" s="6">
        <f>SUM(Quarters!H7:K7)</f>
        <v>6151</v>
      </c>
      <c r="M7" s="6">
        <v>0</v>
      </c>
      <c r="N7" s="6">
        <v>0</v>
      </c>
    </row>
    <row r="8" spans="1:14" x14ac:dyDescent="0.25">
      <c r="A8" t="s">
        <v>10</v>
      </c>
      <c r="B8" s="6">
        <f>'Data Sheet'!B26</f>
        <v>16710.78</v>
      </c>
      <c r="C8" s="6">
        <f>'Data Sheet'!C26</f>
        <v>17904.990000000002</v>
      </c>
      <c r="D8" s="6">
        <f>'Data Sheet'!D26</f>
        <v>21553.59</v>
      </c>
      <c r="E8" s="6">
        <f>'Data Sheet'!E26</f>
        <v>23590.63</v>
      </c>
      <c r="F8" s="6">
        <f>'Data Sheet'!F26</f>
        <v>21425.43</v>
      </c>
      <c r="G8" s="6">
        <f>'Data Sheet'!G26</f>
        <v>23546.71</v>
      </c>
      <c r="H8" s="6">
        <f>'Data Sheet'!H26</f>
        <v>24835.69</v>
      </c>
      <c r="I8" s="6">
        <f>'Data Sheet'!I26</f>
        <v>24860.36</v>
      </c>
      <c r="J8" s="6">
        <f>'Data Sheet'!J26</f>
        <v>27239</v>
      </c>
      <c r="K8" s="6">
        <f>'Data Sheet'!K26</f>
        <v>23256</v>
      </c>
      <c r="L8" s="6">
        <f>SUM(Quarters!H8:K8)</f>
        <v>23273</v>
      </c>
      <c r="M8" s="6">
        <f>+$L8</f>
        <v>23273</v>
      </c>
      <c r="N8" s="6">
        <f>+$L8</f>
        <v>23273</v>
      </c>
    </row>
    <row r="9" spans="1:14" x14ac:dyDescent="0.25">
      <c r="A9" t="s">
        <v>11</v>
      </c>
      <c r="B9" s="6">
        <f>'Data Sheet'!B27</f>
        <v>4889.08</v>
      </c>
      <c r="C9" s="6">
        <f>'Data Sheet'!C27</f>
        <v>4238.01</v>
      </c>
      <c r="D9" s="6">
        <f>'Data Sheet'!D27</f>
        <v>4681.79</v>
      </c>
      <c r="E9" s="6">
        <f>'Data Sheet'!E27</f>
        <v>5758.6</v>
      </c>
      <c r="F9" s="6">
        <f>'Data Sheet'!F27</f>
        <v>7243.33</v>
      </c>
      <c r="G9" s="6">
        <f>'Data Sheet'!G27</f>
        <v>8097.17</v>
      </c>
      <c r="H9" s="6">
        <f>'Data Sheet'!H27</f>
        <v>9311.86</v>
      </c>
      <c r="I9" s="6">
        <f>'Data Sheet'!I27</f>
        <v>10225.48</v>
      </c>
      <c r="J9" s="6">
        <f>'Data Sheet'!J27</f>
        <v>7594</v>
      </c>
      <c r="K9" s="6">
        <f>'Data Sheet'!K27</f>
        <v>5083</v>
      </c>
      <c r="L9" s="6">
        <f>SUM(Quarters!H9:K9)</f>
        <v>6317</v>
      </c>
      <c r="M9" s="6">
        <f>+$L9</f>
        <v>6317</v>
      </c>
      <c r="N9" s="6">
        <f>+$L9</f>
        <v>6317</v>
      </c>
    </row>
    <row r="10" spans="1:14" x14ac:dyDescent="0.25">
      <c r="A10" t="s">
        <v>12</v>
      </c>
      <c r="B10" s="6">
        <f>'Data Sheet'!B28</f>
        <v>14125.77</v>
      </c>
      <c r="C10" s="6">
        <f>'Data Sheet'!C28</f>
        <v>9314.7900000000009</v>
      </c>
      <c r="D10" s="6">
        <f>'Data Sheet'!D28</f>
        <v>11155.03</v>
      </c>
      <c r="E10" s="6">
        <f>'Data Sheet'!E28</f>
        <v>-31371.15</v>
      </c>
      <c r="F10" s="6">
        <f>'Data Sheet'!F28</f>
        <v>-10579.98</v>
      </c>
      <c r="G10" s="6">
        <f>'Data Sheet'!G28</f>
        <v>-10474.280000000001</v>
      </c>
      <c r="H10" s="6">
        <f>'Data Sheet'!H28</f>
        <v>-7003.41</v>
      </c>
      <c r="I10" s="6">
        <f>'Data Sheet'!I28</f>
        <v>3393.93</v>
      </c>
      <c r="J10" s="6">
        <f>'Data Sheet'!J28</f>
        <v>27783</v>
      </c>
      <c r="K10" s="6">
        <f>'Data Sheet'!K28</f>
        <v>38651</v>
      </c>
      <c r="L10" s="6">
        <f>SUM(Quarters!H10:K10)</f>
        <v>33746</v>
      </c>
      <c r="M10" s="6">
        <f>M6+M7-SUM(M8:M9)</f>
        <v>36712.304406921787</v>
      </c>
      <c r="N10" s="6">
        <f>N6+N7-SUM(N8:N9)</f>
        <v>17544.558104361568</v>
      </c>
    </row>
    <row r="11" spans="1:14" x14ac:dyDescent="0.25">
      <c r="A11" t="s">
        <v>13</v>
      </c>
      <c r="B11" s="6">
        <f>'Data Sheet'!B29</f>
        <v>3025.05</v>
      </c>
      <c r="C11" s="6">
        <f>'Data Sheet'!C29</f>
        <v>3251.23</v>
      </c>
      <c r="D11" s="6">
        <f>'Data Sheet'!D29</f>
        <v>4341.93</v>
      </c>
      <c r="E11" s="6">
        <f>'Data Sheet'!E29</f>
        <v>-2437.4499999999998</v>
      </c>
      <c r="F11" s="6">
        <f>'Data Sheet'!F29</f>
        <v>395.25</v>
      </c>
      <c r="G11" s="6">
        <f>'Data Sheet'!G29</f>
        <v>2541.86</v>
      </c>
      <c r="H11" s="6">
        <f>'Data Sheet'!H29</f>
        <v>4231.29</v>
      </c>
      <c r="I11" s="6">
        <f>'Data Sheet'!I29</f>
        <v>704.06</v>
      </c>
      <c r="J11" s="6">
        <f>'Data Sheet'!J29</f>
        <v>-4024</v>
      </c>
      <c r="K11" s="6">
        <f>'Data Sheet'!K29</f>
        <v>10502</v>
      </c>
      <c r="L11" s="6">
        <f>SUM(Quarters!H11:K11)</f>
        <v>10563</v>
      </c>
      <c r="M11" s="7">
        <f>IF($L10&gt;0,$L11/$L10,0)</f>
        <v>0.31301487583713627</v>
      </c>
      <c r="N11" s="7">
        <f>IF($L10&gt;0,$L11/$L10,0)</f>
        <v>0.31301487583713627</v>
      </c>
    </row>
    <row r="12" spans="1:14" s="2" customFormat="1" x14ac:dyDescent="0.25">
      <c r="A12" s="2" t="s">
        <v>14</v>
      </c>
      <c r="B12" s="1">
        <f>'Data Sheet'!B30</f>
        <v>11579.31</v>
      </c>
      <c r="C12" s="1">
        <f>'Data Sheet'!C30</f>
        <v>7454.36</v>
      </c>
      <c r="D12" s="1">
        <f>'Data Sheet'!D30</f>
        <v>8988.91</v>
      </c>
      <c r="E12" s="1">
        <f>'Data Sheet'!E30</f>
        <v>-28826.23</v>
      </c>
      <c r="F12" s="1">
        <f>'Data Sheet'!F30</f>
        <v>-12070.85</v>
      </c>
      <c r="G12" s="1">
        <f>'Data Sheet'!G30</f>
        <v>-13451.39</v>
      </c>
      <c r="H12" s="1">
        <f>'Data Sheet'!H30</f>
        <v>-11441.47</v>
      </c>
      <c r="I12" s="1">
        <f>'Data Sheet'!I30</f>
        <v>2414.29</v>
      </c>
      <c r="J12" s="1">
        <f>'Data Sheet'!J30</f>
        <v>31399</v>
      </c>
      <c r="K12" s="1">
        <f>'Data Sheet'!K30</f>
        <v>27830</v>
      </c>
      <c r="L12" s="1">
        <f>SUM(Quarters!H12:K12)</f>
        <v>22785</v>
      </c>
      <c r="M12" s="1">
        <f>M10-M11*M10</f>
        <v>25220.807001294015</v>
      </c>
      <c r="N12" s="1">
        <f>N10-N11*N10</f>
        <v>12052.85042770741</v>
      </c>
    </row>
    <row r="13" spans="1:14" x14ac:dyDescent="0.25">
      <c r="A13" t="s">
        <v>48</v>
      </c>
      <c r="B13" s="6">
        <f>IF('Data Sheet'!B93&gt;0,B12/'Data Sheet'!B93,0)</f>
        <v>40.105673316708227</v>
      </c>
      <c r="C13" s="6">
        <f>IF('Data Sheet'!C93&gt;0,C12/'Data Sheet'!C93,0)</f>
        <v>25.817753610639695</v>
      </c>
      <c r="D13" s="6">
        <f>IF('Data Sheet'!D93&gt;0,D12/'Data Sheet'!D93,0)</f>
        <v>31.132580611644094</v>
      </c>
      <c r="E13" s="6">
        <f>IF('Data Sheet'!E93&gt;0,E12/'Data Sheet'!E93,0)</f>
        <v>-99.838014754268684</v>
      </c>
      <c r="F13" s="6">
        <f>IF('Data Sheet'!F93&gt;0,F12/'Data Sheet'!F93,0)</f>
        <v>-39.076885723535128</v>
      </c>
      <c r="G13" s="6">
        <f>IF('Data Sheet'!G93&gt;0,G12/'Data Sheet'!G93,0)</f>
        <v>-40.512574164985097</v>
      </c>
      <c r="H13" s="6">
        <f>IF('Data Sheet'!H93&gt;0,H12/'Data Sheet'!H93,0)</f>
        <v>-34.454994428885477</v>
      </c>
      <c r="I13" s="6">
        <f>IF('Data Sheet'!I93&gt;0,I12/'Data Sheet'!I93,0)</f>
        <v>7.2691114924878812</v>
      </c>
      <c r="J13" s="6">
        <f>IF('Data Sheet'!J93&gt;0,J12/'Data Sheet'!J93,0)</f>
        <v>94.470018353040288</v>
      </c>
      <c r="K13" s="6">
        <f>IF('Data Sheet'!K93&gt;0,K12/'Data Sheet'!K93,0)</f>
        <v>75.598294080895343</v>
      </c>
      <c r="L13" s="6">
        <f>IF('Data Sheet'!$B6&gt;0,'Profit &amp; Loss'!L12/'Data Sheet'!$B6,0)</f>
        <v>61.89596637701284</v>
      </c>
      <c r="M13" s="6">
        <f>IF('Data Sheet'!$B6&gt;0,'Profit &amp; Loss'!M12/'Data Sheet'!$B6,0)</f>
        <v>68.512891031521804</v>
      </c>
      <c r="N13" s="6">
        <f>IF('Data Sheet'!$B6&gt;0,'Profit &amp; Loss'!N12/'Data Sheet'!$B6,0)</f>
        <v>32.741840018456998</v>
      </c>
    </row>
    <row r="14" spans="1:14" x14ac:dyDescent="0.25">
      <c r="A14" t="s">
        <v>16</v>
      </c>
      <c r="B14" s="6">
        <f>IF(B15&gt;0,B15/B13,"")</f>
        <v>9.6395339618681959</v>
      </c>
      <c r="C14" s="6">
        <f t="shared" ref="C14:K14" si="2">IF(C15&gt;0,C15/C13,"")</f>
        <v>18.043785180753279</v>
      </c>
      <c r="D14" s="6">
        <f t="shared" si="2"/>
        <v>10.4986478338308</v>
      </c>
      <c r="E14" s="6">
        <f t="shared" si="2"/>
        <v>-1.7453271725092045</v>
      </c>
      <c r="F14" s="6">
        <f t="shared" si="2"/>
        <v>-1.8182103994333454</v>
      </c>
      <c r="G14" s="6">
        <f t="shared" si="2"/>
        <v>-7.4495389695786081</v>
      </c>
      <c r="H14" s="6">
        <f t="shared" si="2"/>
        <v>-12.588886087189845</v>
      </c>
      <c r="I14" s="6">
        <f t="shared" si="2"/>
        <v>57.88878055246056</v>
      </c>
      <c r="J14" s="6">
        <f t="shared" si="2"/>
        <v>10.509154304277205</v>
      </c>
      <c r="K14" s="6">
        <f t="shared" si="2"/>
        <v>8.9214976104922741</v>
      </c>
      <c r="L14" s="6">
        <f t="shared" ref="L14" si="3">IF(L13&gt;0,L15/L13,0)</f>
        <v>11.317377221856486</v>
      </c>
      <c r="M14" s="6">
        <f>M25</f>
        <v>22.15920242227163</v>
      </c>
      <c r="N14" s="6">
        <f>N25</f>
        <v>11.317377221856486</v>
      </c>
    </row>
    <row r="15" spans="1:14" s="2" customFormat="1" x14ac:dyDescent="0.25">
      <c r="A15" s="2" t="s">
        <v>49</v>
      </c>
      <c r="B15" s="1">
        <f>'Data Sheet'!B90</f>
        <v>386.6</v>
      </c>
      <c r="C15" s="1">
        <f>'Data Sheet'!C90</f>
        <v>465.85</v>
      </c>
      <c r="D15" s="1">
        <f>'Data Sheet'!D90</f>
        <v>326.85000000000002</v>
      </c>
      <c r="E15" s="1">
        <f>'Data Sheet'!E90</f>
        <v>174.25</v>
      </c>
      <c r="F15" s="1">
        <f>'Data Sheet'!F90</f>
        <v>71.05</v>
      </c>
      <c r="G15" s="1">
        <f>'Data Sheet'!G90</f>
        <v>301.8</v>
      </c>
      <c r="H15" s="1">
        <f>'Data Sheet'!H90</f>
        <v>433.75</v>
      </c>
      <c r="I15" s="1">
        <f>'Data Sheet'!I90</f>
        <v>420.8</v>
      </c>
      <c r="J15" s="1">
        <f>'Data Sheet'!J90</f>
        <v>992.8</v>
      </c>
      <c r="K15" s="1">
        <f>'Data Sheet'!K90</f>
        <v>674.45</v>
      </c>
      <c r="L15" s="1">
        <f>'Data Sheet'!B8</f>
        <v>700.5</v>
      </c>
      <c r="M15" s="8">
        <f>M13*M14</f>
        <v>1518.1910209025302</v>
      </c>
      <c r="N15" s="9">
        <f>N13*N14</f>
        <v>370.55175442655434</v>
      </c>
    </row>
    <row r="17" spans="1:14" s="2" customFormat="1" x14ac:dyDescent="0.25">
      <c r="A17" s="2" t="s">
        <v>15</v>
      </c>
    </row>
    <row r="18" spans="1:14" x14ac:dyDescent="0.25">
      <c r="A18" t="s">
        <v>17</v>
      </c>
      <c r="B18" s="5">
        <f>IF('Data Sheet'!B30&gt;0, 'Data Sheet'!B31/'Data Sheet'!B30, 0)</f>
        <v>5.8656344808110331E-3</v>
      </c>
      <c r="C18" s="5">
        <f>IF('Data Sheet'!C30&gt;0, 'Data Sheet'!C31/'Data Sheet'!C30, 0)</f>
        <v>0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0.31728582730326516</v>
      </c>
      <c r="J18" s="5">
        <f>IF('Data Sheet'!J30&gt;0, 'Data Sheet'!J31/'Data Sheet'!J30, 0)</f>
        <v>7.3282588617471889E-2</v>
      </c>
      <c r="K18" s="5">
        <f>IF('Data Sheet'!K30&gt;0, 'Data Sheet'!K31/'Data Sheet'!K30, 0)</f>
        <v>7.9338842975206617E-2</v>
      </c>
    </row>
    <row r="19" spans="1:14" x14ac:dyDescent="0.25">
      <c r="A19" t="s">
        <v>18</v>
      </c>
      <c r="B19" s="5">
        <f t="shared" ref="B19:L19" si="4">IF(B6&gt;0,B6/B4,0)</f>
        <v>0.14061845347443788</v>
      </c>
      <c r="C19" s="5">
        <f t="shared" ref="C19:K19" si="5">IF(C6&gt;0,C6/C4,0)</f>
        <v>0.10971268723777323</v>
      </c>
      <c r="D19" s="5">
        <f t="shared" si="5"/>
        <v>0.10789788444182964</v>
      </c>
      <c r="E19" s="5">
        <f t="shared" si="5"/>
        <v>8.1686628795807403E-2</v>
      </c>
      <c r="F19" s="5">
        <f t="shared" si="5"/>
        <v>6.8898034485042142E-2</v>
      </c>
      <c r="G19" s="5">
        <f t="shared" si="5"/>
        <v>0.12925583904385499</v>
      </c>
      <c r="H19" s="5">
        <f t="shared" si="5"/>
        <v>8.8776328352276501E-2</v>
      </c>
      <c r="I19" s="5">
        <f t="shared" si="5"/>
        <v>9.1961958102531965E-2</v>
      </c>
      <c r="J19" s="5">
        <f t="shared" si="5"/>
        <v>0.13323011133230112</v>
      </c>
      <c r="K19" s="5">
        <f t="shared" si="5"/>
        <v>0.12557795744777631</v>
      </c>
      <c r="L19" s="5">
        <f t="shared" si="4"/>
        <v>0.12949237900495689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25">
      <c r="A22" s="11"/>
      <c r="B22" s="12"/>
      <c r="C22" s="12"/>
      <c r="D22" s="12"/>
      <c r="E22" s="12"/>
      <c r="F22" s="12"/>
      <c r="G22" s="12" t="s">
        <v>19</v>
      </c>
      <c r="H22" s="12" t="s">
        <v>56</v>
      </c>
      <c r="I22" s="12" t="s">
        <v>57</v>
      </c>
      <c r="J22" s="12" t="s">
        <v>58</v>
      </c>
      <c r="K22" s="12" t="s">
        <v>59</v>
      </c>
      <c r="L22" s="13" t="s">
        <v>60</v>
      </c>
      <c r="M22" s="13" t="s">
        <v>20</v>
      </c>
      <c r="N22" s="13" t="s">
        <v>21</v>
      </c>
    </row>
    <row r="23" spans="1:14" s="2" customFormat="1" x14ac:dyDescent="0.25">
      <c r="A23"/>
      <c r="B23"/>
      <c r="C23"/>
      <c r="D23"/>
      <c r="E23"/>
      <c r="F23"/>
      <c r="G23" t="s">
        <v>22</v>
      </c>
      <c r="H23" s="5">
        <f>IF(B4=0,"",POWER($K4/B4,1/9)-1)</f>
        <v>5.4364329974180503E-2</v>
      </c>
      <c r="I23" s="5">
        <f>IF(D4=0,"",POWER($K4/D4,1/7)-1)</f>
        <v>6.0452229419457382E-2</v>
      </c>
      <c r="J23" s="5">
        <f>IF(F4=0,"",POWER($K4/F4,1/5)-1)</f>
        <v>0.10988910171869626</v>
      </c>
      <c r="K23" s="5">
        <f>IF(H4=0,"",POWER($K4/H4, 1/3)-1)</f>
        <v>0.164482285456371</v>
      </c>
      <c r="L23" s="5">
        <f>IF(ISERROR(MAX(IF(J4=0,"",(K4-J4)/J4),IF(K4=0,"",(L4-K4)/K4))),"",MAX(IF(J4=0,"",(K4-J4)/J4),IF(K4=0,"",(L4-K4)/K4)))</f>
        <v>1.3084771068347711E-2</v>
      </c>
      <c r="M23" s="16">
        <f>MAX(K23:L23)</f>
        <v>0.164482285456371</v>
      </c>
      <c r="N23" s="16">
        <f>MIN(H23:L23)</f>
        <v>1.3084771068347711E-2</v>
      </c>
    </row>
    <row r="24" spans="1:14" x14ac:dyDescent="0.25">
      <c r="G24" t="s">
        <v>18</v>
      </c>
      <c r="H24" s="5">
        <f>IF(SUM(B4:$K$4)=0,"",SUMPRODUCT(B19:$K$19,B4:$K$4)/SUM(B4:$K$4))</f>
        <v>0.1093583907752373</v>
      </c>
      <c r="I24" s="5">
        <f>IF(SUM(E4:$K$4)=0,"",SUMPRODUCT(E19:$K$19,E4:$K$4)/SUM(E4:$K$4))</f>
        <v>0.10580780606112929</v>
      </c>
      <c r="J24" s="5">
        <f>IF(SUM(G4:$K$4)=0,"",SUMPRODUCT(G19:$K$19,G4:$K$4)/SUM(G4:$K$4))</f>
        <v>0.11548731510047498</v>
      </c>
      <c r="K24" s="5">
        <f>IF(SUM(I4:$K$4)=0, "", SUMPRODUCT(I19:$K$19,I4:$K$4)/SUM(I4:$K$4))</f>
        <v>0.11876561154908778</v>
      </c>
      <c r="L24" s="5">
        <f>L19</f>
        <v>0.12949237900495689</v>
      </c>
      <c r="M24" s="16">
        <f>MAX(K24:L24)</f>
        <v>0.12949237900495689</v>
      </c>
      <c r="N24" s="16">
        <f>MIN(H24:L24)</f>
        <v>0.10580780606112929</v>
      </c>
    </row>
    <row r="25" spans="1:14" x14ac:dyDescent="0.25">
      <c r="G25" t="s">
        <v>23</v>
      </c>
      <c r="H25" s="6">
        <f>IF(ISERROR(AVERAGEIF(B14:$L14,"&gt;0")),"",AVERAGEIF(B14:$L14,"&gt;0"))</f>
        <v>18.116968095076974</v>
      </c>
      <c r="I25" s="6">
        <f>IF(ISERROR(AVERAGEIF(E14:$L14,"&gt;0")),"",AVERAGEIF(E14:$L14,"&gt;0"))</f>
        <v>22.15920242227163</v>
      </c>
      <c r="J25" s="6">
        <f>IF(ISERROR(AVERAGEIF(G14:$L14,"&gt;0")),"",AVERAGEIF(G14:$L14,"&gt;0"))</f>
        <v>22.15920242227163</v>
      </c>
      <c r="K25" s="6">
        <f>IF(ISERROR(AVERAGEIF(I14:$L14,"&gt;0")),"",AVERAGEIF(I14:$L14,"&gt;0"))</f>
        <v>22.15920242227163</v>
      </c>
      <c r="L25" s="6">
        <f>L14</f>
        <v>11.317377221856486</v>
      </c>
      <c r="M25" s="1">
        <f>MAX(K25:L25)</f>
        <v>22.15920242227163</v>
      </c>
      <c r="N25" s="1">
        <f>MIN(H25:L25)</f>
        <v>11.317377221856486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 x14ac:dyDescent="0.25"/>
  <cols>
    <col min="1" max="1" width="20.7109375" customWidth="1"/>
    <col min="2" max="11" width="13.42578125" bestFit="1" customWidth="1"/>
  </cols>
  <sheetData>
    <row r="1" spans="1:11" s="2" customFormat="1" x14ac:dyDescent="0.25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25">
      <c r="A3" s="11" t="s">
        <v>2</v>
      </c>
      <c r="B3" s="12">
        <f>'Data Sheet'!B41</f>
        <v>44926</v>
      </c>
      <c r="C3" s="12">
        <f>'Data Sheet'!C41</f>
        <v>45016</v>
      </c>
      <c r="D3" s="12">
        <f>'Data Sheet'!D41</f>
        <v>45107</v>
      </c>
      <c r="E3" s="12">
        <f>'Data Sheet'!E41</f>
        <v>45199</v>
      </c>
      <c r="F3" s="12">
        <f>'Data Sheet'!F41</f>
        <v>45291</v>
      </c>
      <c r="G3" s="12">
        <f>'Data Sheet'!G41</f>
        <v>45382</v>
      </c>
      <c r="H3" s="12">
        <f>'Data Sheet'!H41</f>
        <v>45473</v>
      </c>
      <c r="I3" s="12">
        <f>'Data Sheet'!I41</f>
        <v>45565</v>
      </c>
      <c r="J3" s="12">
        <f>'Data Sheet'!J41</f>
        <v>45657</v>
      </c>
      <c r="K3" s="12">
        <f>'Data Sheet'!K41</f>
        <v>45747</v>
      </c>
    </row>
    <row r="4" spans="1:11" s="2" customFormat="1" x14ac:dyDescent="0.25">
      <c r="A4" s="2" t="s">
        <v>6</v>
      </c>
      <c r="B4" s="1">
        <f>'Data Sheet'!B42</f>
        <v>88488.59</v>
      </c>
      <c r="C4" s="1">
        <f>'Data Sheet'!C42</f>
        <v>105932.35</v>
      </c>
      <c r="D4" s="1">
        <f>'Data Sheet'!D42</f>
        <v>102236</v>
      </c>
      <c r="E4" s="1">
        <f>'Data Sheet'!E42</f>
        <v>105129</v>
      </c>
      <c r="F4" s="1">
        <f>'Data Sheet'!F42</f>
        <v>110577</v>
      </c>
      <c r="G4" s="1">
        <f>'Data Sheet'!G42</f>
        <v>119033</v>
      </c>
      <c r="H4" s="1">
        <f>'Data Sheet'!H42</f>
        <v>108048</v>
      </c>
      <c r="I4" s="1">
        <f>'Data Sheet'!I42</f>
        <v>101450</v>
      </c>
      <c r="J4" s="1">
        <f>'Data Sheet'!J42</f>
        <v>112608</v>
      </c>
      <c r="K4" s="1">
        <f>'Data Sheet'!K42</f>
        <v>119503</v>
      </c>
    </row>
    <row r="5" spans="1:11" x14ac:dyDescent="0.25">
      <c r="A5" t="s">
        <v>7</v>
      </c>
      <c r="B5" s="6">
        <f>'Data Sheet'!B43</f>
        <v>77668.350000000006</v>
      </c>
      <c r="C5" s="6">
        <f>'Data Sheet'!C43</f>
        <v>92817.95</v>
      </c>
      <c r="D5" s="6">
        <f>'Data Sheet'!D43</f>
        <v>89019</v>
      </c>
      <c r="E5" s="6">
        <f>'Data Sheet'!E43</f>
        <v>91362</v>
      </c>
      <c r="F5" s="6">
        <f>'Data Sheet'!F43</f>
        <v>95159</v>
      </c>
      <c r="G5" s="6">
        <f>'Data Sheet'!G43</f>
        <v>102348</v>
      </c>
      <c r="H5" s="6">
        <f>'Data Sheet'!H43</f>
        <v>92263</v>
      </c>
      <c r="I5" s="6">
        <f>'Data Sheet'!I43</f>
        <v>89291</v>
      </c>
      <c r="J5" s="6">
        <f>'Data Sheet'!J43</f>
        <v>100185</v>
      </c>
      <c r="K5" s="6">
        <f>'Data Sheet'!K43</f>
        <v>102685</v>
      </c>
    </row>
    <row r="6" spans="1:11" s="2" customFormat="1" x14ac:dyDescent="0.25">
      <c r="A6" s="2" t="s">
        <v>8</v>
      </c>
      <c r="B6" s="1">
        <f>'Data Sheet'!B50</f>
        <v>10820.24</v>
      </c>
      <c r="C6" s="1">
        <f>'Data Sheet'!C50</f>
        <v>13114.4</v>
      </c>
      <c r="D6" s="1">
        <f>'Data Sheet'!D50</f>
        <v>13217</v>
      </c>
      <c r="E6" s="1">
        <f>'Data Sheet'!E50</f>
        <v>13767</v>
      </c>
      <c r="F6" s="1">
        <f>'Data Sheet'!F50</f>
        <v>15418</v>
      </c>
      <c r="G6" s="1">
        <f>'Data Sheet'!G50</f>
        <v>16685</v>
      </c>
      <c r="H6" s="1">
        <f>'Data Sheet'!H50</f>
        <v>15785</v>
      </c>
      <c r="I6" s="1">
        <f>'Data Sheet'!I50</f>
        <v>12159</v>
      </c>
      <c r="J6" s="1">
        <f>'Data Sheet'!J50</f>
        <v>12423</v>
      </c>
      <c r="K6" s="1">
        <f>'Data Sheet'!K50</f>
        <v>16818</v>
      </c>
    </row>
    <row r="7" spans="1:11" x14ac:dyDescent="0.25">
      <c r="A7" t="s">
        <v>9</v>
      </c>
      <c r="B7" s="6">
        <f>'Data Sheet'!B44</f>
        <v>1129.98</v>
      </c>
      <c r="C7" s="6">
        <f>'Data Sheet'!C44</f>
        <v>1452.86</v>
      </c>
      <c r="D7" s="6">
        <f>'Data Sheet'!D44</f>
        <v>895</v>
      </c>
      <c r="E7" s="6">
        <f>'Data Sheet'!E44</f>
        <v>1557</v>
      </c>
      <c r="F7" s="6">
        <f>'Data Sheet'!F44</f>
        <v>1604</v>
      </c>
      <c r="G7" s="6">
        <f>'Data Sheet'!G44</f>
        <v>1412</v>
      </c>
      <c r="H7" s="6">
        <f>'Data Sheet'!H44</f>
        <v>1747</v>
      </c>
      <c r="I7" s="6">
        <f>'Data Sheet'!I44</f>
        <v>1647</v>
      </c>
      <c r="J7" s="6">
        <f>'Data Sheet'!J44</f>
        <v>1700</v>
      </c>
      <c r="K7" s="6">
        <f>'Data Sheet'!K44</f>
        <v>1057</v>
      </c>
    </row>
    <row r="8" spans="1:11" x14ac:dyDescent="0.25">
      <c r="A8" t="s">
        <v>10</v>
      </c>
      <c r="B8" s="6">
        <f>'Data Sheet'!B45</f>
        <v>6071.78</v>
      </c>
      <c r="C8" s="6">
        <f>'Data Sheet'!C45</f>
        <v>7050.2</v>
      </c>
      <c r="D8" s="6">
        <f>'Data Sheet'!D45</f>
        <v>6633</v>
      </c>
      <c r="E8" s="6">
        <f>'Data Sheet'!E45</f>
        <v>6637</v>
      </c>
      <c r="F8" s="6">
        <f>'Data Sheet'!F45</f>
        <v>6850</v>
      </c>
      <c r="G8" s="6">
        <f>'Data Sheet'!G45</f>
        <v>7143</v>
      </c>
      <c r="H8" s="6">
        <f>'Data Sheet'!H45</f>
        <v>6574</v>
      </c>
      <c r="I8" s="6">
        <f>'Data Sheet'!I45</f>
        <v>6005</v>
      </c>
      <c r="J8" s="6">
        <f>'Data Sheet'!J45</f>
        <v>5399</v>
      </c>
      <c r="K8" s="6">
        <f>'Data Sheet'!K45</f>
        <v>5295</v>
      </c>
    </row>
    <row r="9" spans="1:11" x14ac:dyDescent="0.25">
      <c r="A9" t="s">
        <v>11</v>
      </c>
      <c r="B9" s="6">
        <f>'Data Sheet'!B46</f>
        <v>2675.83</v>
      </c>
      <c r="C9" s="6">
        <f>'Data Sheet'!C46</f>
        <v>2641.67</v>
      </c>
      <c r="D9" s="6">
        <f>'Data Sheet'!D46</f>
        <v>2615</v>
      </c>
      <c r="E9" s="6">
        <f>'Data Sheet'!E46</f>
        <v>2652</v>
      </c>
      <c r="F9" s="6">
        <f>'Data Sheet'!F46</f>
        <v>2485</v>
      </c>
      <c r="G9" s="6">
        <f>'Data Sheet'!G46</f>
        <v>1645</v>
      </c>
      <c r="H9" s="6">
        <f>'Data Sheet'!H46</f>
        <v>2088</v>
      </c>
      <c r="I9" s="6">
        <f>'Data Sheet'!I46</f>
        <v>2034</v>
      </c>
      <c r="J9" s="6">
        <f>'Data Sheet'!J46</f>
        <v>1119</v>
      </c>
      <c r="K9" s="6">
        <f>'Data Sheet'!K46</f>
        <v>1076</v>
      </c>
    </row>
    <row r="10" spans="1:11" x14ac:dyDescent="0.25">
      <c r="A10" t="s">
        <v>12</v>
      </c>
      <c r="B10" s="6">
        <f>'Data Sheet'!B47</f>
        <v>3202.61</v>
      </c>
      <c r="C10" s="6">
        <f>'Data Sheet'!C47</f>
        <v>4875.3900000000003</v>
      </c>
      <c r="D10" s="6">
        <f>'Data Sheet'!D47</f>
        <v>4864</v>
      </c>
      <c r="E10" s="6">
        <f>'Data Sheet'!E47</f>
        <v>6035</v>
      </c>
      <c r="F10" s="6">
        <f>'Data Sheet'!F47</f>
        <v>7687</v>
      </c>
      <c r="G10" s="6">
        <f>'Data Sheet'!G47</f>
        <v>9309</v>
      </c>
      <c r="H10" s="6">
        <f>'Data Sheet'!H47</f>
        <v>8870</v>
      </c>
      <c r="I10" s="6">
        <f>'Data Sheet'!I47</f>
        <v>5767</v>
      </c>
      <c r="J10" s="6">
        <f>'Data Sheet'!J47</f>
        <v>7605</v>
      </c>
      <c r="K10" s="6">
        <f>'Data Sheet'!K47</f>
        <v>11504</v>
      </c>
    </row>
    <row r="11" spans="1:11" x14ac:dyDescent="0.25">
      <c r="A11" t="s">
        <v>13</v>
      </c>
      <c r="B11" s="6">
        <f>'Data Sheet'!B48</f>
        <v>262.83</v>
      </c>
      <c r="C11" s="6">
        <f>'Data Sheet'!C48</f>
        <v>-620.65</v>
      </c>
      <c r="D11" s="6">
        <f>'Data Sheet'!D48</f>
        <v>1563</v>
      </c>
      <c r="E11" s="6">
        <f>'Data Sheet'!E48</f>
        <v>2203</v>
      </c>
      <c r="F11" s="6">
        <f>'Data Sheet'!F48</f>
        <v>542</v>
      </c>
      <c r="G11" s="6">
        <f>'Data Sheet'!G48</f>
        <v>-8219</v>
      </c>
      <c r="H11" s="6">
        <f>'Data Sheet'!H48</f>
        <v>3178</v>
      </c>
      <c r="I11" s="6">
        <f>'Data Sheet'!I48</f>
        <v>2317</v>
      </c>
      <c r="J11" s="6">
        <f>'Data Sheet'!J48</f>
        <v>2120</v>
      </c>
      <c r="K11" s="6">
        <f>'Data Sheet'!K48</f>
        <v>2948</v>
      </c>
    </row>
    <row r="12" spans="1:11" s="2" customFormat="1" x14ac:dyDescent="0.25">
      <c r="A12" s="2" t="s">
        <v>14</v>
      </c>
      <c r="B12" s="1">
        <f>'Data Sheet'!B49</f>
        <v>2957.71</v>
      </c>
      <c r="C12" s="1">
        <f>'Data Sheet'!C49</f>
        <v>5407.79</v>
      </c>
      <c r="D12" s="1">
        <f>'Data Sheet'!D49</f>
        <v>3203</v>
      </c>
      <c r="E12" s="1">
        <f>'Data Sheet'!E49</f>
        <v>3764</v>
      </c>
      <c r="F12" s="1">
        <f>'Data Sheet'!F49</f>
        <v>7025</v>
      </c>
      <c r="G12" s="1">
        <f>'Data Sheet'!G49</f>
        <v>17407</v>
      </c>
      <c r="H12" s="1">
        <f>'Data Sheet'!H49</f>
        <v>5566</v>
      </c>
      <c r="I12" s="1">
        <f>'Data Sheet'!I49</f>
        <v>3343</v>
      </c>
      <c r="J12" s="1">
        <f>'Data Sheet'!J49</f>
        <v>5406</v>
      </c>
      <c r="K12" s="1">
        <f>'Data Sheet'!K49</f>
        <v>8470</v>
      </c>
    </row>
    <row r="14" spans="1:11" s="2" customFormat="1" x14ac:dyDescent="0.25">
      <c r="A14" s="2" t="s">
        <v>18</v>
      </c>
      <c r="B14" s="10">
        <f>IF(B4&gt;0,B6/B4,"")</f>
        <v>0.12227836379808968</v>
      </c>
      <c r="C14" s="10">
        <f t="shared" ref="C14:K14" si="0">IF(C4&gt;0,C6/C4,"")</f>
        <v>0.1237997646611257</v>
      </c>
      <c r="D14" s="10">
        <f t="shared" si="0"/>
        <v>0.12927931452717242</v>
      </c>
      <c r="E14" s="10">
        <f t="shared" si="0"/>
        <v>0.1309534001084382</v>
      </c>
      <c r="F14" s="10">
        <f t="shared" si="0"/>
        <v>0.13943225082973856</v>
      </c>
      <c r="G14" s="10">
        <f t="shared" si="0"/>
        <v>0.14017121302495947</v>
      </c>
      <c r="H14" s="10">
        <f t="shared" si="0"/>
        <v>0.14609247741744411</v>
      </c>
      <c r="I14" s="10">
        <f t="shared" si="0"/>
        <v>0.11985214391325777</v>
      </c>
      <c r="J14" s="10">
        <f t="shared" si="0"/>
        <v>0.11032075873827792</v>
      </c>
      <c r="K14" s="10">
        <f t="shared" si="0"/>
        <v>0.14073286863091303</v>
      </c>
    </row>
    <row r="22" s="19" customFormat="1" x14ac:dyDescent="0.2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E24" sqref="E24"/>
    </sheetView>
  </sheetViews>
  <sheetFormatPr defaultColWidth="8.85546875" defaultRowHeight="15" x14ac:dyDescent="0.25"/>
  <cols>
    <col min="1" max="1" width="22.85546875" bestFit="1" customWidth="1"/>
    <col min="2" max="2" width="13.42578125" customWidth="1"/>
    <col min="3" max="11" width="15.42578125" customWidth="1"/>
  </cols>
  <sheetData>
    <row r="1" spans="1:11" s="2" customFormat="1" x14ac:dyDescent="0.25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25">
      <c r="G2" s="2"/>
      <c r="H2" s="2"/>
    </row>
    <row r="3" spans="1:11" x14ac:dyDescent="0.2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25">
      <c r="A4" t="s">
        <v>24</v>
      </c>
      <c r="B4" s="14">
        <f>'Data Sheet'!B57</f>
        <v>679.18</v>
      </c>
      <c r="C4" s="14">
        <f>'Data Sheet'!C57</f>
        <v>679.22</v>
      </c>
      <c r="D4" s="14">
        <f>'Data Sheet'!D57</f>
        <v>679.22</v>
      </c>
      <c r="E4" s="14">
        <f>'Data Sheet'!E57</f>
        <v>679.22</v>
      </c>
      <c r="F4" s="14">
        <f>'Data Sheet'!F57</f>
        <v>719.54</v>
      </c>
      <c r="G4" s="14">
        <f>'Data Sheet'!G57</f>
        <v>765.81</v>
      </c>
      <c r="H4" s="14">
        <f>'Data Sheet'!H57</f>
        <v>765.88</v>
      </c>
      <c r="I4" s="14">
        <f>'Data Sheet'!I57</f>
        <v>766.02</v>
      </c>
      <c r="J4" s="14">
        <f>'Data Sheet'!J57</f>
        <v>767</v>
      </c>
      <c r="K4" s="14">
        <f>'Data Sheet'!K57</f>
        <v>736</v>
      </c>
    </row>
    <row r="5" spans="1:11" x14ac:dyDescent="0.25">
      <c r="A5" t="s">
        <v>25</v>
      </c>
      <c r="B5" s="14">
        <f>'Data Sheet'!B58</f>
        <v>78273.23</v>
      </c>
      <c r="C5" s="14">
        <f>'Data Sheet'!C58</f>
        <v>57382.67</v>
      </c>
      <c r="D5" s="14">
        <f>'Data Sheet'!D58</f>
        <v>94748.69</v>
      </c>
      <c r="E5" s="14">
        <f>'Data Sheet'!E58</f>
        <v>59500.34</v>
      </c>
      <c r="F5" s="14">
        <f>'Data Sheet'!F58</f>
        <v>62358.99</v>
      </c>
      <c r="G5" s="14">
        <f>'Data Sheet'!G58</f>
        <v>54480.91</v>
      </c>
      <c r="H5" s="14">
        <f>'Data Sheet'!H58</f>
        <v>43795.360000000001</v>
      </c>
      <c r="I5" s="14">
        <f>'Data Sheet'!I58</f>
        <v>44555.77</v>
      </c>
      <c r="J5" s="14">
        <f>'Data Sheet'!J58</f>
        <v>84151</v>
      </c>
      <c r="K5" s="14">
        <f>'Data Sheet'!K58</f>
        <v>115408</v>
      </c>
    </row>
    <row r="6" spans="1:11" x14ac:dyDescent="0.25">
      <c r="A6" t="s">
        <v>62</v>
      </c>
      <c r="B6" s="14">
        <f>'Data Sheet'!B59</f>
        <v>69359.960000000006</v>
      </c>
      <c r="C6" s="14">
        <f>'Data Sheet'!C59</f>
        <v>78603.98</v>
      </c>
      <c r="D6" s="14">
        <f>'Data Sheet'!D59</f>
        <v>88950.47</v>
      </c>
      <c r="E6" s="14">
        <f>'Data Sheet'!E59</f>
        <v>106175.34</v>
      </c>
      <c r="F6" s="14">
        <f>'Data Sheet'!F59</f>
        <v>124787.64</v>
      </c>
      <c r="G6" s="14">
        <f>'Data Sheet'!G59</f>
        <v>142130.57</v>
      </c>
      <c r="H6" s="14">
        <f>'Data Sheet'!H59</f>
        <v>146449.03</v>
      </c>
      <c r="I6" s="14">
        <f>'Data Sheet'!I59</f>
        <v>134113.44</v>
      </c>
      <c r="J6" s="14">
        <f>'Data Sheet'!J59</f>
        <v>107264</v>
      </c>
      <c r="K6" s="14">
        <f>'Data Sheet'!K59</f>
        <v>71540</v>
      </c>
    </row>
    <row r="7" spans="1:11" x14ac:dyDescent="0.25">
      <c r="A7" t="s">
        <v>63</v>
      </c>
      <c r="B7" s="14">
        <f>'Data Sheet'!B60</f>
        <v>114871.75</v>
      </c>
      <c r="C7" s="14">
        <f>'Data Sheet'!C60</f>
        <v>135914.49</v>
      </c>
      <c r="D7" s="14">
        <f>'Data Sheet'!D60</f>
        <v>142813.43</v>
      </c>
      <c r="E7" s="14">
        <f>'Data Sheet'!E60</f>
        <v>139348.59</v>
      </c>
      <c r="F7" s="14">
        <f>'Data Sheet'!F60</f>
        <v>132313.22</v>
      </c>
      <c r="G7" s="14">
        <f>'Data Sheet'!G60</f>
        <v>144192.62</v>
      </c>
      <c r="H7" s="14">
        <f>'Data Sheet'!H60</f>
        <v>138051.22</v>
      </c>
      <c r="I7" s="14">
        <f>'Data Sheet'!I60</f>
        <v>155239.20000000001</v>
      </c>
      <c r="J7" s="14">
        <f>'Data Sheet'!J60</f>
        <v>177339</v>
      </c>
      <c r="K7" s="14">
        <f>'Data Sheet'!K60</f>
        <v>189289</v>
      </c>
    </row>
    <row r="8" spans="1:11" s="2" customFormat="1" x14ac:dyDescent="0.25">
      <c r="A8" s="2" t="s">
        <v>26</v>
      </c>
      <c r="B8" s="15">
        <f>'Data Sheet'!B61</f>
        <v>263184.12</v>
      </c>
      <c r="C8" s="15">
        <f>'Data Sheet'!C61</f>
        <v>272580.36</v>
      </c>
      <c r="D8" s="15">
        <f>'Data Sheet'!D61</f>
        <v>327191.81</v>
      </c>
      <c r="E8" s="15">
        <f>'Data Sheet'!E61</f>
        <v>305703.49</v>
      </c>
      <c r="F8" s="15">
        <f>'Data Sheet'!F61</f>
        <v>320179.39</v>
      </c>
      <c r="G8" s="15">
        <f>'Data Sheet'!G61</f>
        <v>341569.91</v>
      </c>
      <c r="H8" s="15">
        <f>'Data Sheet'!H61</f>
        <v>329061.49</v>
      </c>
      <c r="I8" s="15">
        <f>'Data Sheet'!I61</f>
        <v>334674.43</v>
      </c>
      <c r="J8" s="15">
        <f>'Data Sheet'!J61</f>
        <v>369521</v>
      </c>
      <c r="K8" s="15">
        <f>'Data Sheet'!K61</f>
        <v>376973</v>
      </c>
    </row>
    <row r="9" spans="1:11" s="2" customForma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t="s">
        <v>27</v>
      </c>
      <c r="B10" s="14">
        <f>'Data Sheet'!B62</f>
        <v>107231.76</v>
      </c>
      <c r="C10" s="14">
        <f>'Data Sheet'!C62</f>
        <v>95944.08</v>
      </c>
      <c r="D10" s="14">
        <f>'Data Sheet'!D62</f>
        <v>121413.86</v>
      </c>
      <c r="E10" s="14">
        <f>'Data Sheet'!E62</f>
        <v>111234.47</v>
      </c>
      <c r="F10" s="14">
        <f>'Data Sheet'!F62</f>
        <v>127107.14</v>
      </c>
      <c r="G10" s="14">
        <f>'Data Sheet'!G62</f>
        <v>138707.60999999999</v>
      </c>
      <c r="H10" s="14">
        <f>'Data Sheet'!H62</f>
        <v>138855.45000000001</v>
      </c>
      <c r="I10" s="14">
        <f>'Data Sheet'!I62</f>
        <v>132079.76</v>
      </c>
      <c r="J10" s="14">
        <f>'Data Sheet'!J62</f>
        <v>121285</v>
      </c>
      <c r="K10" s="14">
        <f>'Data Sheet'!K62</f>
        <v>115697</v>
      </c>
    </row>
    <row r="11" spans="1:11" x14ac:dyDescent="0.25">
      <c r="A11" t="s">
        <v>28</v>
      </c>
      <c r="B11" s="14">
        <f>'Data Sheet'!B63</f>
        <v>25918.94</v>
      </c>
      <c r="C11" s="14">
        <f>'Data Sheet'!C63</f>
        <v>33698.839999999997</v>
      </c>
      <c r="D11" s="14">
        <f>'Data Sheet'!D63</f>
        <v>40033.5</v>
      </c>
      <c r="E11" s="14">
        <f>'Data Sheet'!E63</f>
        <v>31883.84</v>
      </c>
      <c r="F11" s="14">
        <f>'Data Sheet'!F63</f>
        <v>35622.29</v>
      </c>
      <c r="G11" s="14">
        <f>'Data Sheet'!G63</f>
        <v>20963.93</v>
      </c>
      <c r="H11" s="14">
        <f>'Data Sheet'!H63</f>
        <v>10251.09</v>
      </c>
      <c r="I11" s="14">
        <f>'Data Sheet'!I63</f>
        <v>14274.5</v>
      </c>
      <c r="J11" s="14">
        <f>'Data Sheet'!J63</f>
        <v>35698</v>
      </c>
      <c r="K11" s="14">
        <f>'Data Sheet'!K63</f>
        <v>65806</v>
      </c>
    </row>
    <row r="12" spans="1:11" x14ac:dyDescent="0.25">
      <c r="A12" t="s">
        <v>29</v>
      </c>
      <c r="B12" s="14">
        <f>'Data Sheet'!B64</f>
        <v>23767.02</v>
      </c>
      <c r="C12" s="14">
        <f>'Data Sheet'!C64</f>
        <v>20337.919999999998</v>
      </c>
      <c r="D12" s="14">
        <f>'Data Sheet'!D64</f>
        <v>20812.75</v>
      </c>
      <c r="E12" s="14">
        <f>'Data Sheet'!E64</f>
        <v>15770.72</v>
      </c>
      <c r="F12" s="14">
        <f>'Data Sheet'!F64</f>
        <v>16308.48</v>
      </c>
      <c r="G12" s="14">
        <f>'Data Sheet'!G64</f>
        <v>24620.28</v>
      </c>
      <c r="H12" s="14">
        <f>'Data Sheet'!H64</f>
        <v>29379.53</v>
      </c>
      <c r="I12" s="14">
        <f>'Data Sheet'!I64</f>
        <v>26379.16</v>
      </c>
      <c r="J12" s="14">
        <f>'Data Sheet'!J64</f>
        <v>22971</v>
      </c>
      <c r="K12" s="14">
        <f>'Data Sheet'!K64</f>
        <v>35656</v>
      </c>
    </row>
    <row r="13" spans="1:11" x14ac:dyDescent="0.25">
      <c r="A13" t="s">
        <v>64</v>
      </c>
      <c r="B13" s="14">
        <f>'Data Sheet'!B65</f>
        <v>106266.4</v>
      </c>
      <c r="C13" s="14">
        <f>'Data Sheet'!C65</f>
        <v>122599.52</v>
      </c>
      <c r="D13" s="14">
        <f>'Data Sheet'!D65</f>
        <v>144931.70000000001</v>
      </c>
      <c r="E13" s="14">
        <f>'Data Sheet'!E65</f>
        <v>146814.46</v>
      </c>
      <c r="F13" s="14">
        <f>'Data Sheet'!F65</f>
        <v>141141.48000000001</v>
      </c>
      <c r="G13" s="14">
        <f>'Data Sheet'!G65</f>
        <v>157278.09</v>
      </c>
      <c r="H13" s="14">
        <f>'Data Sheet'!H65</f>
        <v>150575.42000000001</v>
      </c>
      <c r="I13" s="14">
        <f>'Data Sheet'!I65</f>
        <v>161941.01</v>
      </c>
      <c r="J13" s="14">
        <f>'Data Sheet'!J65</f>
        <v>189567</v>
      </c>
      <c r="K13" s="14">
        <f>'Data Sheet'!K65</f>
        <v>159814</v>
      </c>
    </row>
    <row r="14" spans="1:11" s="2" customFormat="1" x14ac:dyDescent="0.25">
      <c r="A14" s="2" t="s">
        <v>26</v>
      </c>
      <c r="B14" s="14">
        <f>'Data Sheet'!B66</f>
        <v>263184.12</v>
      </c>
      <c r="C14" s="14">
        <f>'Data Sheet'!C66</f>
        <v>272580.36</v>
      </c>
      <c r="D14" s="14">
        <f>'Data Sheet'!D66</f>
        <v>327191.81</v>
      </c>
      <c r="E14" s="14">
        <f>'Data Sheet'!E66</f>
        <v>305703.49</v>
      </c>
      <c r="F14" s="14">
        <f>'Data Sheet'!F66</f>
        <v>320179.39</v>
      </c>
      <c r="G14" s="14">
        <f>'Data Sheet'!G66</f>
        <v>341569.91</v>
      </c>
      <c r="H14" s="14">
        <f>'Data Sheet'!H66</f>
        <v>329061.49</v>
      </c>
      <c r="I14" s="14">
        <f>'Data Sheet'!I66</f>
        <v>334674.43</v>
      </c>
      <c r="J14" s="14">
        <f>'Data Sheet'!J66</f>
        <v>369521</v>
      </c>
      <c r="K14" s="14">
        <f>'Data Sheet'!K66</f>
        <v>376973</v>
      </c>
    </row>
    <row r="15" spans="1:1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t="s">
        <v>30</v>
      </c>
      <c r="B16" s="4">
        <f>B13-B7</f>
        <v>-8605.3500000000058</v>
      </c>
      <c r="C16" s="4">
        <f t="shared" ref="C16:K16" si="0">C13-C7</f>
        <v>-13314.969999999987</v>
      </c>
      <c r="D16" s="4">
        <f t="shared" si="0"/>
        <v>2118.2700000000186</v>
      </c>
      <c r="E16" s="4">
        <f t="shared" si="0"/>
        <v>7465.8699999999953</v>
      </c>
      <c r="F16" s="4">
        <f t="shared" si="0"/>
        <v>8828.2600000000093</v>
      </c>
      <c r="G16" s="4">
        <f t="shared" si="0"/>
        <v>13085.470000000001</v>
      </c>
      <c r="H16" s="4">
        <f t="shared" si="0"/>
        <v>12524.200000000012</v>
      </c>
      <c r="I16" s="4">
        <f t="shared" si="0"/>
        <v>6701.8099999999977</v>
      </c>
      <c r="J16" s="4">
        <f t="shared" si="0"/>
        <v>12228</v>
      </c>
      <c r="K16" s="4">
        <f t="shared" si="0"/>
        <v>-29475</v>
      </c>
    </row>
    <row r="17" spans="1:11" x14ac:dyDescent="0.25">
      <c r="A17" t="s">
        <v>44</v>
      </c>
      <c r="B17" s="4">
        <f>'Data Sheet'!B67</f>
        <v>13570.91</v>
      </c>
      <c r="C17" s="4">
        <f>'Data Sheet'!C67</f>
        <v>14075.55</v>
      </c>
      <c r="D17" s="4">
        <f>'Data Sheet'!D67</f>
        <v>19893.3</v>
      </c>
      <c r="E17" s="4">
        <f>'Data Sheet'!E67</f>
        <v>18996.169999999998</v>
      </c>
      <c r="F17" s="4">
        <f>'Data Sheet'!F67</f>
        <v>11172.69</v>
      </c>
      <c r="G17" s="4">
        <f>'Data Sheet'!G67</f>
        <v>12679.08</v>
      </c>
      <c r="H17" s="4">
        <f>'Data Sheet'!H67</f>
        <v>12442.12</v>
      </c>
      <c r="I17" s="4">
        <f>'Data Sheet'!I67</f>
        <v>15737.97</v>
      </c>
      <c r="J17" s="4">
        <f>'Data Sheet'!J67</f>
        <v>16952</v>
      </c>
      <c r="K17" s="4">
        <f>'Data Sheet'!K67</f>
        <v>13248</v>
      </c>
    </row>
    <row r="18" spans="1:11" x14ac:dyDescent="0.25">
      <c r="A18" t="s">
        <v>45</v>
      </c>
      <c r="B18" s="4">
        <f>'Data Sheet'!B68</f>
        <v>32655.73</v>
      </c>
      <c r="C18" s="4">
        <f>'Data Sheet'!C68</f>
        <v>35085.31</v>
      </c>
      <c r="D18" s="4">
        <f>'Data Sheet'!D68</f>
        <v>42137.63</v>
      </c>
      <c r="E18" s="4">
        <f>'Data Sheet'!E68</f>
        <v>39013.730000000003</v>
      </c>
      <c r="F18" s="4">
        <f>'Data Sheet'!F68</f>
        <v>37456.879999999997</v>
      </c>
      <c r="G18" s="4">
        <f>'Data Sheet'!G68</f>
        <v>36088.589999999997</v>
      </c>
      <c r="H18" s="4">
        <f>'Data Sheet'!H68</f>
        <v>35240.339999999997</v>
      </c>
      <c r="I18" s="4">
        <f>'Data Sheet'!I68</f>
        <v>40755.39</v>
      </c>
      <c r="J18" s="4">
        <f>'Data Sheet'!J68</f>
        <v>47788</v>
      </c>
      <c r="K18" s="4">
        <f>'Data Sheet'!K68</f>
        <v>47269</v>
      </c>
    </row>
    <row r="20" spans="1:11" x14ac:dyDescent="0.25">
      <c r="A20" t="s">
        <v>46</v>
      </c>
      <c r="B20" s="4">
        <f>IF('Profit &amp; Loss'!B4&gt;0,'Balance Sheet'!B17/('Profit &amp; Loss'!B4/365),0)</f>
        <v>18.141226776772818</v>
      </c>
      <c r="C20" s="4">
        <f>IF('Profit &amp; Loss'!C4&gt;0,'Balance Sheet'!C17/('Profit &amp; Loss'!C4/365),0)</f>
        <v>19.049753180019717</v>
      </c>
      <c r="D20" s="4">
        <f>IF('Profit &amp; Loss'!D4&gt;0,'Balance Sheet'!D17/('Profit &amp; Loss'!D4/365),0)</f>
        <v>24.904964999543132</v>
      </c>
      <c r="E20" s="4">
        <f>IF('Profit &amp; Loss'!E4&gt;0,'Balance Sheet'!E17/('Profit &amp; Loss'!E4/365),0)</f>
        <v>22.963631157878556</v>
      </c>
      <c r="F20" s="4">
        <f>IF('Profit &amp; Loss'!F4&gt;0,'Balance Sheet'!F17/('Profit &amp; Loss'!F4/365),0)</f>
        <v>15.62057517051977</v>
      </c>
      <c r="G20" s="4">
        <f>IF('Profit &amp; Loss'!G4&gt;0,'Balance Sheet'!G17/('Profit &amp; Loss'!G4/365),0)</f>
        <v>18.526667193766084</v>
      </c>
      <c r="H20" s="4">
        <f>IF('Profit &amp; Loss'!H4&gt;0,'Balance Sheet'!H17/('Profit &amp; Loss'!H4/365),0)</f>
        <v>16.309264717046958</v>
      </c>
      <c r="I20" s="4">
        <f>IF('Profit &amp; Loss'!I4&gt;0,'Balance Sheet'!I17/('Profit &amp; Loss'!I4/365),0)</f>
        <v>16.603778823163381</v>
      </c>
      <c r="J20" s="4">
        <f>IF('Profit &amp; Loss'!J4&gt;0,'Balance Sheet'!J17/('Profit &amp; Loss'!J4/365),0)</f>
        <v>14.256340780063409</v>
      </c>
      <c r="K20" s="4">
        <f>IF('Profit &amp; Loss'!K4&gt;0,'Balance Sheet'!K17/('Profit &amp; Loss'!K4/365),0)</f>
        <v>10.9974414082489</v>
      </c>
    </row>
    <row r="21" spans="1:11" x14ac:dyDescent="0.25">
      <c r="A21" t="s">
        <v>47</v>
      </c>
      <c r="B21" s="4">
        <f>IF('Balance Sheet'!B18&gt;0,'Profit &amp; Loss'!B4/'Balance Sheet'!B18,0)</f>
        <v>8.3613381173839922</v>
      </c>
      <c r="C21" s="4">
        <f>IF('Balance Sheet'!C18&gt;0,'Profit &amp; Loss'!C4/'Balance Sheet'!C18,0)</f>
        <v>7.6867643466738649</v>
      </c>
      <c r="D21" s="4">
        <f>IF('Balance Sheet'!D18&gt;0,'Profit &amp; Loss'!D4/'Balance Sheet'!D18,0)</f>
        <v>6.9190051742350009</v>
      </c>
      <c r="E21" s="4">
        <f>IF('Balance Sheet'!E18&gt;0,'Profit &amp; Loss'!E4/'Balance Sheet'!E18,0)</f>
        <v>7.7392856309817084</v>
      </c>
      <c r="F21" s="4">
        <f>IF('Balance Sheet'!F18&gt;0,'Profit &amp; Loss'!F4/'Balance Sheet'!F18,0)</f>
        <v>6.9698269049637886</v>
      </c>
      <c r="G21" s="4">
        <f>IF('Balance Sheet'!G18&gt;0,'Profit &amp; Loss'!G4/'Balance Sheet'!G18,0)</f>
        <v>6.9217098811563442</v>
      </c>
      <c r="H21" s="4">
        <f>IF('Balance Sheet'!H18&gt;0,'Profit &amp; Loss'!H4/'Balance Sheet'!H18,0)</f>
        <v>7.9015588385356104</v>
      </c>
      <c r="I21" s="4">
        <f>IF('Balance Sheet'!I18&gt;0,'Profit &amp; Loss'!I4/'Balance Sheet'!I18,0)</f>
        <v>8.4888641723217457</v>
      </c>
      <c r="J21" s="4">
        <f>IF('Balance Sheet'!J18&gt;0,'Profit &amp; Loss'!J4/'Balance Sheet'!J18,0)</f>
        <v>9.0821126642671803</v>
      </c>
      <c r="K21" s="4">
        <f>IF('Balance Sheet'!K18&gt;0,'Profit &amp; Loss'!K4/'Balance Sheet'!K18,0)</f>
        <v>9.3019738094734397</v>
      </c>
    </row>
    <row r="23" spans="1:11" s="2" customFormat="1" x14ac:dyDescent="0.25">
      <c r="A23" s="2" t="s">
        <v>50</v>
      </c>
      <c r="B23" s="10">
        <f>IF(SUM('Balance Sheet'!B4:B5)&gt;0,'Profit &amp; Loss'!B12/SUM('Balance Sheet'!B4:B5),"")</f>
        <v>0.14666189417143824</v>
      </c>
      <c r="C23" s="10">
        <f>IF(SUM('Balance Sheet'!C4:C5)&gt;0,'Profit &amp; Loss'!C12/SUM('Balance Sheet'!C4:C5),"")</f>
        <v>0.1283864510783235</v>
      </c>
      <c r="D23" s="10">
        <f>IF(SUM('Balance Sheet'!D4:D5)&gt;0,'Profit &amp; Loss'!D12/SUM('Balance Sheet'!D4:D5),"")</f>
        <v>9.4195817554843228E-2</v>
      </c>
      <c r="E23" s="10">
        <f>IF(SUM('Balance Sheet'!E4:E5)&gt;0,'Profit &amp; Loss'!E12/SUM('Balance Sheet'!E4:E5),"")</f>
        <v>-0.47900366835516911</v>
      </c>
      <c r="F23" s="10">
        <f>IF(SUM('Balance Sheet'!F4:F5)&gt;0,'Profit &amp; Loss'!F12/SUM('Balance Sheet'!F4:F5),"")</f>
        <v>-0.19136225907610721</v>
      </c>
      <c r="G23" s="10">
        <f>IF(SUM('Balance Sheet'!G4:G5)&gt;0,'Profit &amp; Loss'!G12/SUM('Balance Sheet'!G4:G5),"")</f>
        <v>-0.24347852687001145</v>
      </c>
      <c r="H23" s="10">
        <f>IF(SUM('Balance Sheet'!H4:H5)&gt;0,'Profit &amp; Loss'!H12/SUM('Balance Sheet'!H4:H5),"")</f>
        <v>-0.25675833975894746</v>
      </c>
      <c r="I23" s="10">
        <f>IF(SUM('Balance Sheet'!I4:I5)&gt;0,'Profit &amp; Loss'!I12/SUM('Balance Sheet'!I4:I5),"")</f>
        <v>5.326996131441411E-2</v>
      </c>
      <c r="J23" s="10">
        <f>IF(SUM('Balance Sheet'!J4:J5)&gt;0,'Profit &amp; Loss'!J12/SUM('Balance Sheet'!J4:J5),"")</f>
        <v>0.36975670646977082</v>
      </c>
      <c r="K23" s="10">
        <f>IF(SUM('Balance Sheet'!K4:K5)&gt;0,'Profit &amp; Loss'!K12/SUM('Balance Sheet'!K4:K5),"")</f>
        <v>0.23961633833861412</v>
      </c>
    </row>
    <row r="24" spans="1:11" s="2" customFormat="1" x14ac:dyDescent="0.25">
      <c r="A24" s="2" t="s">
        <v>51</v>
      </c>
      <c r="B24" s="10"/>
      <c r="C24" s="10">
        <f>IF((B4+B5+B6+C4+C5+C6)&gt;0,('Profit &amp; Loss'!C10+'Profit &amp; Loss'!C9)*2/(B4+B5+B6+C4+C5+C6),"")</f>
        <v>9.5114630506525702E-2</v>
      </c>
      <c r="D24" s="10">
        <f>IF((C4+C5+C6+D4+D5+D6)&gt;0,('Profit &amp; Loss'!D10+'Profit &amp; Loss'!D9)*2/(C4+C5+C6+D4+D5+D6),"")</f>
        <v>9.8658175625322669E-2</v>
      </c>
      <c r="E24" s="10">
        <f>IF((D4+D5+D6+E4+E5+E6)&gt;0,('Profit &amp; Loss'!E10+'Profit &amp; Loss'!E9)*2/(D4+D5+D6+E4+E5+E6),"")</f>
        <v>-0.14605143828951733</v>
      </c>
      <c r="F24" s="10">
        <f>IF((E4+E5+E6+F4+F5+F6)&gt;0,('Profit &amp; Loss'!F10+'Profit &amp; Loss'!F9)*2/(E4+E5+E6+F4+F5+F6),"")</f>
        <v>-1.8839364919766063E-2</v>
      </c>
      <c r="G24" s="10">
        <f>IF((F4+F5+F6+G4+G5+G6)&gt;0,('Profit &amp; Loss'!G10+'Profit &amp; Loss'!G9)*2/(F4+F5+F6+G4+G5+G6),"")</f>
        <v>-1.2340819491134259E-2</v>
      </c>
      <c r="H24" s="10">
        <f>IF((G4+G5+G6+H4+H5+H6)&gt;0,('Profit &amp; Loss'!H10+'Profit &amp; Loss'!H9)*2/(G4+G5+G6+H4+H5+H6),"")</f>
        <v>1.1887352931695343E-2</v>
      </c>
      <c r="I24" s="10">
        <f>IF((H4+H5+H6+I4+I5+I6)&gt;0,('Profit &amp; Loss'!I10+'Profit &amp; Loss'!I9)*2/(H4+H5+H6+I4+I5+I6),"")</f>
        <v>7.3529898460097373E-2</v>
      </c>
      <c r="J24" s="10">
        <f>IF((I4+I5+I6+J4+J5+J6)&gt;0,('Profit &amp; Loss'!J10+'Profit &amp; Loss'!J9)*2/(I4+I5+I6+J4+J5+J6),"")</f>
        <v>0.19039483180045233</v>
      </c>
      <c r="K24" s="10">
        <f>IF((J4+J5+J6+K4+K5+K6)&gt;0,('Profit &amp; Loss'!K10+'Profit &amp; Loss'!K9)*2/(J4+J5+J6+K4+K5+K6),"")</f>
        <v>0.23026014436669773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110" zoomScaleNormal="11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5546875" defaultRowHeight="15" x14ac:dyDescent="0.25"/>
  <cols>
    <col min="1" max="1" width="26.85546875" bestFit="1" customWidth="1"/>
    <col min="2" max="6" width="13.42578125" customWidth="1"/>
    <col min="7" max="11" width="13.42578125" bestFit="1" customWidth="1"/>
  </cols>
  <sheetData>
    <row r="1" spans="1:11" s="2" customFormat="1" x14ac:dyDescent="0.25">
      <c r="A1" s="2" t="str">
        <f>'Balance Sheet'!A1</f>
        <v>TATA MOTORS LTD</v>
      </c>
      <c r="E1" t="str">
        <f>UPDATE</f>
        <v/>
      </c>
      <c r="F1"/>
      <c r="J1" s="2" t="s">
        <v>1</v>
      </c>
    </row>
    <row r="3" spans="1:11" s="2" customFormat="1" x14ac:dyDescent="0.2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25">
      <c r="A4" s="2" t="s">
        <v>32</v>
      </c>
      <c r="B4" s="1">
        <f>'Data Sheet'!B82</f>
        <v>37899.54</v>
      </c>
      <c r="C4" s="1">
        <f>'Data Sheet'!C82</f>
        <v>30199.25</v>
      </c>
      <c r="D4" s="1">
        <f>'Data Sheet'!D82</f>
        <v>23857.42</v>
      </c>
      <c r="E4" s="1">
        <f>'Data Sheet'!E82</f>
        <v>18890.75</v>
      </c>
      <c r="F4" s="1">
        <f>'Data Sheet'!F82</f>
        <v>26632.94</v>
      </c>
      <c r="G4" s="1">
        <f>'Data Sheet'!G82</f>
        <v>29000.51</v>
      </c>
      <c r="H4" s="1">
        <f>'Data Sheet'!H82</f>
        <v>14282.83</v>
      </c>
      <c r="I4" s="1">
        <f>'Data Sheet'!I82</f>
        <v>35388.01</v>
      </c>
      <c r="J4" s="1">
        <f>'Data Sheet'!J82</f>
        <v>67915</v>
      </c>
      <c r="K4" s="1">
        <f>'Data Sheet'!K82</f>
        <v>63102</v>
      </c>
    </row>
    <row r="5" spans="1:11" x14ac:dyDescent="0.25">
      <c r="A5" t="s">
        <v>33</v>
      </c>
      <c r="B5" s="6">
        <f>'Data Sheet'!B83</f>
        <v>-36693.9</v>
      </c>
      <c r="C5" s="6">
        <f>'Data Sheet'!C83</f>
        <v>-39571.4</v>
      </c>
      <c r="D5" s="6">
        <f>'Data Sheet'!D83</f>
        <v>-25139.14</v>
      </c>
      <c r="E5" s="6">
        <f>'Data Sheet'!E83</f>
        <v>-20878.07</v>
      </c>
      <c r="F5" s="6">
        <f>'Data Sheet'!F83</f>
        <v>-33114.550000000003</v>
      </c>
      <c r="G5" s="6">
        <f>'Data Sheet'!G83</f>
        <v>-25672.5</v>
      </c>
      <c r="H5" s="6">
        <f>'Data Sheet'!H83</f>
        <v>-4443.66</v>
      </c>
      <c r="I5" s="6">
        <f>'Data Sheet'!I83</f>
        <v>-15417.17</v>
      </c>
      <c r="J5" s="6">
        <f>'Data Sheet'!J83</f>
        <v>-22781</v>
      </c>
      <c r="K5" s="6">
        <f>'Data Sheet'!K83</f>
        <v>-49982</v>
      </c>
    </row>
    <row r="6" spans="1:11" x14ac:dyDescent="0.25">
      <c r="A6" t="s">
        <v>34</v>
      </c>
      <c r="B6" s="6">
        <f>'Data Sheet'!B84</f>
        <v>-3795.12</v>
      </c>
      <c r="C6" s="6">
        <f>'Data Sheet'!C84</f>
        <v>6205.3</v>
      </c>
      <c r="D6" s="6">
        <f>'Data Sheet'!D84</f>
        <v>2011.71</v>
      </c>
      <c r="E6" s="6">
        <f>'Data Sheet'!E84</f>
        <v>8830.3700000000008</v>
      </c>
      <c r="F6" s="6">
        <f>'Data Sheet'!F84</f>
        <v>3389.61</v>
      </c>
      <c r="G6" s="6">
        <f>'Data Sheet'!G84</f>
        <v>9904.2000000000007</v>
      </c>
      <c r="H6" s="6">
        <f>'Data Sheet'!H84</f>
        <v>-3380.17</v>
      </c>
      <c r="I6" s="6">
        <f>'Data Sheet'!I84</f>
        <v>-26242.9</v>
      </c>
      <c r="J6" s="6">
        <f>'Data Sheet'!J84</f>
        <v>-37006</v>
      </c>
      <c r="K6" s="6">
        <f>'Data Sheet'!K84</f>
        <v>-18786</v>
      </c>
    </row>
    <row r="7" spans="1:11" s="2" customFormat="1" x14ac:dyDescent="0.25">
      <c r="A7" s="2" t="s">
        <v>35</v>
      </c>
      <c r="B7" s="1">
        <f>'Data Sheet'!B85</f>
        <v>-2589.48</v>
      </c>
      <c r="C7" s="1">
        <f>'Data Sheet'!C85</f>
        <v>-3166.85</v>
      </c>
      <c r="D7" s="1">
        <f>'Data Sheet'!D85</f>
        <v>729.99</v>
      </c>
      <c r="E7" s="1">
        <f>'Data Sheet'!E85</f>
        <v>6843.05</v>
      </c>
      <c r="F7" s="1">
        <f>'Data Sheet'!F85</f>
        <v>-3092</v>
      </c>
      <c r="G7" s="1">
        <f>'Data Sheet'!G85</f>
        <v>13232.21</v>
      </c>
      <c r="H7" s="1">
        <f>'Data Sheet'!H85</f>
        <v>6459</v>
      </c>
      <c r="I7" s="1">
        <f>'Data Sheet'!I85</f>
        <v>-6272.06</v>
      </c>
      <c r="J7" s="1">
        <f>'Data Sheet'!J85</f>
        <v>8128</v>
      </c>
      <c r="K7" s="1">
        <f>'Data Sheet'!K85</f>
        <v>-5666</v>
      </c>
    </row>
    <row r="8" spans="1:11" x14ac:dyDescent="0.25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749992370372631"/>
  </sheetPr>
  <dimension ref="A1:K93"/>
  <sheetViews>
    <sheetView zoomScale="120" zoomScaleNormal="120" zoomScalePageLayoutView="120" workbookViewId="0">
      <pane xSplit="1" ySplit="1" topLeftCell="B68" activePane="bottomRight" state="frozen"/>
      <selection activeCell="C4" sqref="C4"/>
      <selection pane="topRight" activeCell="C4" sqref="C4"/>
      <selection pane="bottomLeft" activeCell="C4" sqref="C4"/>
      <selection pane="bottomRight" activeCell="B85" sqref="B85"/>
    </sheetView>
  </sheetViews>
  <sheetFormatPr defaultColWidth="8.85546875" defaultRowHeight="15" x14ac:dyDescent="0.25"/>
  <cols>
    <col min="1" max="1" width="27.7109375" style="4" bestFit="1" customWidth="1"/>
    <col min="2" max="11" width="13.42578125" style="4" bestFit="1" customWidth="1"/>
    <col min="12" max="16384" width="8.85546875" style="4"/>
  </cols>
  <sheetData>
    <row r="1" spans="1:11" s="1" customFormat="1" x14ac:dyDescent="0.25">
      <c r="A1" s="1" t="s">
        <v>0</v>
      </c>
      <c r="B1" s="1" t="s">
        <v>54</v>
      </c>
      <c r="E1" s="74" t="str">
        <f>IF(B2&lt;&gt;B3, "A NEW VERSION OF THE WORKSHEET IS AVAILABLE", "")</f>
        <v/>
      </c>
      <c r="F1" s="74"/>
      <c r="G1" s="74"/>
      <c r="H1" s="74"/>
      <c r="I1" s="74"/>
      <c r="J1" s="74"/>
      <c r="K1" s="74"/>
    </row>
    <row r="2" spans="1:11" x14ac:dyDescent="0.25">
      <c r="A2" s="1" t="s">
        <v>52</v>
      </c>
      <c r="B2" s="4">
        <v>2.1</v>
      </c>
      <c r="E2" s="75" t="s">
        <v>36</v>
      </c>
      <c r="F2" s="75"/>
      <c r="G2" s="75"/>
      <c r="H2" s="75"/>
      <c r="I2" s="75"/>
      <c r="J2" s="75"/>
      <c r="K2" s="75"/>
    </row>
    <row r="3" spans="1:11" x14ac:dyDescent="0.25">
      <c r="A3" s="1" t="s">
        <v>53</v>
      </c>
      <c r="B3" s="4">
        <v>2.1</v>
      </c>
    </row>
    <row r="4" spans="1:11" x14ac:dyDescent="0.25">
      <c r="A4" s="1"/>
    </row>
    <row r="5" spans="1:11" x14ac:dyDescent="0.25">
      <c r="A5" s="1" t="s">
        <v>55</v>
      </c>
    </row>
    <row r="6" spans="1:11" x14ac:dyDescent="0.25">
      <c r="A6" s="4" t="s">
        <v>42</v>
      </c>
      <c r="B6" s="4">
        <f>IF(B9&gt;0, B9/B8, 0)</f>
        <v>368.11768736616705</v>
      </c>
    </row>
    <row r="7" spans="1:11" x14ac:dyDescent="0.25">
      <c r="A7" s="4" t="s">
        <v>31</v>
      </c>
      <c r="B7">
        <v>2</v>
      </c>
    </row>
    <row r="8" spans="1:11" x14ac:dyDescent="0.25">
      <c r="A8" s="4" t="s">
        <v>43</v>
      </c>
      <c r="B8">
        <v>700.5</v>
      </c>
    </row>
    <row r="9" spans="1:11" x14ac:dyDescent="0.25">
      <c r="A9" s="4" t="s">
        <v>70</v>
      </c>
      <c r="B9">
        <v>257866.44</v>
      </c>
    </row>
    <row r="15" spans="1:11" x14ac:dyDescent="0.25">
      <c r="A15" s="1" t="s">
        <v>37</v>
      </c>
    </row>
    <row r="16" spans="1:11" s="18" customFormat="1" x14ac:dyDescent="0.2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25">
      <c r="A17" s="6" t="s">
        <v>6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6" customFormat="1" x14ac:dyDescent="0.25">
      <c r="A18" s="4" t="s">
        <v>71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6" customFormat="1" x14ac:dyDescent="0.25">
      <c r="A19" s="4" t="s">
        <v>72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6" customFormat="1" x14ac:dyDescent="0.25">
      <c r="A20" s="4" t="s">
        <v>73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6" customFormat="1" x14ac:dyDescent="0.25">
      <c r="A21" s="4" t="s">
        <v>74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6" customFormat="1" x14ac:dyDescent="0.25">
      <c r="A22" s="4" t="s">
        <v>75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6" customFormat="1" x14ac:dyDescent="0.25">
      <c r="A23" s="4" t="s">
        <v>76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6" customFormat="1" x14ac:dyDescent="0.25">
      <c r="A24" s="4" t="s">
        <v>77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6" customFormat="1" x14ac:dyDescent="0.25">
      <c r="A25" s="6" t="s">
        <v>9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6" customFormat="1" x14ac:dyDescent="0.25">
      <c r="A26" s="6" t="s">
        <v>10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6" customFormat="1" x14ac:dyDescent="0.25">
      <c r="A27" s="6" t="s">
        <v>11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6" customFormat="1" x14ac:dyDescent="0.25">
      <c r="A28" s="6" t="s">
        <v>12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6" customFormat="1" x14ac:dyDescent="0.25">
      <c r="A29" s="6" t="s">
        <v>13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6" customFormat="1" x14ac:dyDescent="0.25">
      <c r="A30" s="6" t="s">
        <v>14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6" customFormat="1" x14ac:dyDescent="0.25">
      <c r="A31" s="6" t="s">
        <v>61</v>
      </c>
      <c r="B31">
        <v>67.92</v>
      </c>
      <c r="I31">
        <v>766.02</v>
      </c>
      <c r="J31">
        <v>2301</v>
      </c>
      <c r="K31">
        <v>2208</v>
      </c>
    </row>
    <row r="32" spans="1:11" s="6" customFormat="1" x14ac:dyDescent="0.25"/>
    <row r="33" spans="1:11" x14ac:dyDescent="0.25">
      <c r="A33" s="6"/>
    </row>
    <row r="34" spans="1:11" x14ac:dyDescent="0.25">
      <c r="A34" s="6"/>
    </row>
    <row r="35" spans="1:11" x14ac:dyDescent="0.25">
      <c r="A35" s="6"/>
    </row>
    <row r="36" spans="1:11" x14ac:dyDescent="0.25">
      <c r="A36" s="6"/>
    </row>
    <row r="37" spans="1:11" x14ac:dyDescent="0.25">
      <c r="A37" s="6"/>
    </row>
    <row r="38" spans="1:11" x14ac:dyDescent="0.25">
      <c r="A38" s="6"/>
    </row>
    <row r="39" spans="1:11" x14ac:dyDescent="0.25">
      <c r="A39" s="6"/>
    </row>
    <row r="40" spans="1:11" x14ac:dyDescent="0.25">
      <c r="A40" s="1" t="s">
        <v>39</v>
      </c>
    </row>
    <row r="41" spans="1:11" s="18" customFormat="1" x14ac:dyDescent="0.25">
      <c r="A41" s="17" t="s">
        <v>38</v>
      </c>
      <c r="B41" s="12">
        <v>44926</v>
      </c>
      <c r="C41" s="12">
        <v>45016</v>
      </c>
      <c r="D41" s="12">
        <v>45107</v>
      </c>
      <c r="E41" s="12">
        <v>45199</v>
      </c>
      <c r="F41" s="12">
        <v>45291</v>
      </c>
      <c r="G41" s="12">
        <v>45382</v>
      </c>
      <c r="H41" s="12">
        <v>45473</v>
      </c>
      <c r="I41" s="12">
        <v>45565</v>
      </c>
      <c r="J41" s="12">
        <v>45657</v>
      </c>
      <c r="K41" s="12">
        <v>45747</v>
      </c>
    </row>
    <row r="42" spans="1:11" s="6" customFormat="1" x14ac:dyDescent="0.25">
      <c r="A42" s="6" t="s">
        <v>6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6" customFormat="1" x14ac:dyDescent="0.25">
      <c r="A43" s="6" t="s">
        <v>7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6" customFormat="1" x14ac:dyDescent="0.25">
      <c r="A44" s="6" t="s">
        <v>9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6" customFormat="1" x14ac:dyDescent="0.25">
      <c r="A45" s="6" t="s">
        <v>10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6" customFormat="1" x14ac:dyDescent="0.25">
      <c r="A46" s="6" t="s">
        <v>11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6" customFormat="1" x14ac:dyDescent="0.25">
      <c r="A47" s="6" t="s">
        <v>12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6" customFormat="1" x14ac:dyDescent="0.25">
      <c r="A48" s="6" t="s">
        <v>13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6" customFormat="1" x14ac:dyDescent="0.25">
      <c r="A49" s="6" t="s">
        <v>14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 x14ac:dyDescent="0.25">
      <c r="A50" s="6" t="s">
        <v>8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 x14ac:dyDescent="0.25">
      <c r="A51" s="6"/>
    </row>
    <row r="52" spans="1:11" x14ac:dyDescent="0.25">
      <c r="A52" s="6"/>
    </row>
    <row r="53" spans="1:11" x14ac:dyDescent="0.25">
      <c r="A53" s="6"/>
    </row>
    <row r="54" spans="1:11" x14ac:dyDescent="0.25">
      <c r="A54" s="6"/>
    </row>
    <row r="55" spans="1:11" x14ac:dyDescent="0.25">
      <c r="A55" s="1" t="s">
        <v>40</v>
      </c>
    </row>
    <row r="56" spans="1:11" s="18" customFormat="1" x14ac:dyDescent="0.2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25">
      <c r="A57" s="6" t="s">
        <v>24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 x14ac:dyDescent="0.25">
      <c r="A58" s="6" t="s">
        <v>25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 x14ac:dyDescent="0.25">
      <c r="A59" s="6" t="s">
        <v>62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 x14ac:dyDescent="0.25">
      <c r="A60" s="6" t="s">
        <v>63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" customFormat="1" x14ac:dyDescent="0.25">
      <c r="A61" s="1" t="s">
        <v>26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 x14ac:dyDescent="0.25">
      <c r="A62" s="6" t="s">
        <v>27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 x14ac:dyDescent="0.25">
      <c r="A63" s="6" t="s">
        <v>28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 x14ac:dyDescent="0.25">
      <c r="A64" s="6" t="s">
        <v>29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 x14ac:dyDescent="0.25">
      <c r="A65" s="6" t="s">
        <v>64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" customFormat="1" x14ac:dyDescent="0.25">
      <c r="A66" s="1" t="s">
        <v>26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6" customFormat="1" x14ac:dyDescent="0.25">
      <c r="A67" s="6" t="s">
        <v>69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 x14ac:dyDescent="0.25">
      <c r="A68" s="6" t="s">
        <v>45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 x14ac:dyDescent="0.25">
      <c r="A69" s="4" t="s">
        <v>78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 x14ac:dyDescent="0.25">
      <c r="A70" s="4" t="s">
        <v>65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 x14ac:dyDescent="0.25">
      <c r="A71" s="4" t="s">
        <v>66</v>
      </c>
    </row>
    <row r="72" spans="1:11" x14ac:dyDescent="0.25">
      <c r="A72" s="4" t="s">
        <v>79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5">
      <c r="A74" s="6"/>
    </row>
    <row r="75" spans="1:11" x14ac:dyDescent="0.25">
      <c r="A75" s="6"/>
    </row>
    <row r="76" spans="1:11" x14ac:dyDescent="0.25">
      <c r="A76" s="6"/>
    </row>
    <row r="77" spans="1:11" x14ac:dyDescent="0.25">
      <c r="A77" s="6"/>
    </row>
    <row r="78" spans="1:11" x14ac:dyDescent="0.25">
      <c r="A78" s="6"/>
    </row>
    <row r="79" spans="1:11" x14ac:dyDescent="0.25">
      <c r="A79" s="6"/>
    </row>
    <row r="80" spans="1:11" x14ac:dyDescent="0.25">
      <c r="A80" s="1" t="s">
        <v>41</v>
      </c>
    </row>
    <row r="81" spans="1:11" s="18" customFormat="1" x14ac:dyDescent="0.2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25">
      <c r="A82" s="6" t="s">
        <v>32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6" customFormat="1" x14ac:dyDescent="0.25">
      <c r="A83" s="6" t="s">
        <v>33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6" customFormat="1" x14ac:dyDescent="0.25">
      <c r="A84" s="6" t="s">
        <v>34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" customFormat="1" x14ac:dyDescent="0.25">
      <c r="A85" s="6" t="s">
        <v>35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 x14ac:dyDescent="0.25">
      <c r="A86" s="6"/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s="1" customFormat="1" x14ac:dyDescent="0.25">
      <c r="A90" s="1" t="s">
        <v>68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" customFormat="1" x14ac:dyDescent="0.25">
      <c r="A92" s="1" t="s">
        <v>67</v>
      </c>
    </row>
    <row r="93" spans="1:11" x14ac:dyDescent="0.25">
      <c r="A93" s="4" t="s">
        <v>80</v>
      </c>
      <c r="B93" s="20">
        <v>288.72000000000003</v>
      </c>
      <c r="C93" s="20">
        <v>288.73</v>
      </c>
      <c r="D93" s="20">
        <v>288.73</v>
      </c>
      <c r="E93" s="20">
        <v>288.73</v>
      </c>
      <c r="F93" s="20">
        <v>308.89999999999998</v>
      </c>
      <c r="G93" s="20">
        <v>332.03</v>
      </c>
      <c r="H93" s="20">
        <v>332.07</v>
      </c>
      <c r="I93" s="20">
        <v>332.13</v>
      </c>
      <c r="J93" s="20">
        <v>332.37</v>
      </c>
      <c r="K93" s="20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539F-ABB5-4BFA-BA3A-AD118E69FDD8}">
  <dimension ref="B2:N33"/>
  <sheetViews>
    <sheetView workbookViewId="0">
      <selection activeCell="H29" sqref="H29"/>
    </sheetView>
  </sheetViews>
  <sheetFormatPr defaultRowHeight="15" x14ac:dyDescent="0.25"/>
  <cols>
    <col min="2" max="2" width="36.85546875" bestFit="1" customWidth="1"/>
    <col min="3" max="14" width="10.5703125" bestFit="1" customWidth="1"/>
  </cols>
  <sheetData>
    <row r="2" spans="2:14" ht="15.75" thickBot="1" x14ac:dyDescent="0.3">
      <c r="C2" s="36">
        <v>41699</v>
      </c>
      <c r="D2" s="36">
        <v>42064</v>
      </c>
      <c r="E2" s="36">
        <v>42430</v>
      </c>
      <c r="F2" s="36">
        <v>42795</v>
      </c>
      <c r="G2" s="36">
        <v>43160</v>
      </c>
      <c r="H2" s="36">
        <v>43525</v>
      </c>
      <c r="I2" s="36">
        <v>43891</v>
      </c>
      <c r="J2" s="36">
        <v>44256</v>
      </c>
      <c r="K2" s="36">
        <v>44621</v>
      </c>
      <c r="L2" s="36">
        <v>44986</v>
      </c>
      <c r="M2" s="36">
        <v>45352</v>
      </c>
      <c r="N2" s="36">
        <v>45717</v>
      </c>
    </row>
    <row r="3" spans="2:14" ht="16.5" thickTop="1" thickBot="1" x14ac:dyDescent="0.3">
      <c r="B3" s="37" t="s">
        <v>114</v>
      </c>
      <c r="C3" s="38">
        <v>36151</v>
      </c>
      <c r="D3" s="38">
        <v>35531</v>
      </c>
      <c r="E3" s="38">
        <v>37900</v>
      </c>
      <c r="F3" s="38">
        <v>30199</v>
      </c>
      <c r="G3" s="38">
        <v>23857</v>
      </c>
      <c r="H3" s="38">
        <v>18891</v>
      </c>
      <c r="I3" s="38">
        <v>26633</v>
      </c>
      <c r="J3" s="38">
        <v>29001</v>
      </c>
      <c r="K3" s="38">
        <v>14283</v>
      </c>
      <c r="L3" s="38">
        <v>35388</v>
      </c>
      <c r="M3" s="38">
        <v>67915</v>
      </c>
      <c r="N3" s="38">
        <v>63102</v>
      </c>
    </row>
    <row r="4" spans="2:14" ht="15.75" thickTop="1" x14ac:dyDescent="0.25">
      <c r="B4" s="50" t="s">
        <v>115</v>
      </c>
      <c r="C4" s="38">
        <v>36303</v>
      </c>
      <c r="D4" s="38">
        <v>43397</v>
      </c>
      <c r="E4" s="38">
        <v>38626</v>
      </c>
      <c r="F4" s="38">
        <v>28840</v>
      </c>
      <c r="G4" s="38">
        <v>33312</v>
      </c>
      <c r="H4" s="38">
        <v>28771</v>
      </c>
      <c r="I4" s="38">
        <v>23352</v>
      </c>
      <c r="J4" s="38">
        <v>31198</v>
      </c>
      <c r="K4" s="38">
        <v>26943</v>
      </c>
      <c r="L4" s="38">
        <v>41694</v>
      </c>
      <c r="M4" s="38">
        <v>65106</v>
      </c>
      <c r="N4" s="38">
        <v>58937</v>
      </c>
    </row>
    <row r="5" spans="2:14" x14ac:dyDescent="0.25">
      <c r="B5" s="40" t="s">
        <v>69</v>
      </c>
      <c r="C5" s="41">
        <v>445</v>
      </c>
      <c r="D5" s="42">
        <v>-3179</v>
      </c>
      <c r="E5" s="42">
        <v>-2223</v>
      </c>
      <c r="F5" s="42">
        <v>-4152</v>
      </c>
      <c r="G5" s="42">
        <v>-10688</v>
      </c>
      <c r="H5" s="42">
        <v>-9109</v>
      </c>
      <c r="I5" s="42">
        <v>9950</v>
      </c>
      <c r="J5" s="42">
        <v>-5505</v>
      </c>
      <c r="K5" s="41">
        <v>185</v>
      </c>
      <c r="L5" s="42">
        <v>-2213</v>
      </c>
      <c r="M5" s="42">
        <v>-1876</v>
      </c>
      <c r="N5" s="42">
        <v>3573</v>
      </c>
    </row>
    <row r="6" spans="2:14" x14ac:dyDescent="0.25">
      <c r="B6" s="40" t="s">
        <v>45</v>
      </c>
      <c r="C6" s="42">
        <v>-2853</v>
      </c>
      <c r="D6" s="42">
        <v>-3692</v>
      </c>
      <c r="E6" s="42">
        <v>-5743</v>
      </c>
      <c r="F6" s="42">
        <v>-6621</v>
      </c>
      <c r="G6" s="42">
        <v>-3560</v>
      </c>
      <c r="H6" s="42">
        <v>2069</v>
      </c>
      <c r="I6" s="42">
        <v>2326</v>
      </c>
      <c r="J6" s="42">
        <v>3814</v>
      </c>
      <c r="K6" s="41">
        <v>472</v>
      </c>
      <c r="L6" s="42">
        <v>-5665</v>
      </c>
      <c r="M6" s="42">
        <v>-7265</v>
      </c>
      <c r="N6" s="42">
        <v>2127</v>
      </c>
    </row>
    <row r="7" spans="2:14" x14ac:dyDescent="0.25">
      <c r="B7" s="40" t="s">
        <v>116</v>
      </c>
      <c r="C7" s="42">
        <v>4694</v>
      </c>
      <c r="D7" s="42">
        <v>3598</v>
      </c>
      <c r="E7" s="42">
        <v>3947</v>
      </c>
      <c r="F7" s="42">
        <v>9301</v>
      </c>
      <c r="G7" s="42">
        <v>7320</v>
      </c>
      <c r="H7" s="42">
        <v>-4692</v>
      </c>
      <c r="I7" s="42">
        <v>-8085</v>
      </c>
      <c r="J7" s="42">
        <v>5748</v>
      </c>
      <c r="K7" s="42">
        <v>-7012</v>
      </c>
      <c r="L7" s="42">
        <v>6945</v>
      </c>
      <c r="M7" s="42">
        <v>13706</v>
      </c>
      <c r="N7" s="42">
        <v>1303</v>
      </c>
    </row>
    <row r="8" spans="2:14" x14ac:dyDescent="0.25">
      <c r="B8" s="40" t="s">
        <v>117</v>
      </c>
      <c r="C8" s="41">
        <v>0</v>
      </c>
      <c r="D8" s="41">
        <v>0</v>
      </c>
      <c r="E8" s="41">
        <v>-520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</row>
    <row r="9" spans="2:14" ht="15.75" thickBot="1" x14ac:dyDescent="0.3">
      <c r="B9" s="40" t="s">
        <v>118</v>
      </c>
      <c r="C9" s="42">
        <v>1870</v>
      </c>
      <c r="D9" s="41">
        <v>-398</v>
      </c>
      <c r="E9" s="42">
        <v>5852</v>
      </c>
      <c r="F9" s="42">
        <v>4727</v>
      </c>
      <c r="G9" s="41">
        <v>494</v>
      </c>
      <c r="H9" s="42">
        <v>4512</v>
      </c>
      <c r="I9" s="41">
        <v>875</v>
      </c>
      <c r="J9" s="42">
        <v>-4150</v>
      </c>
      <c r="K9" s="42">
        <v>-4396</v>
      </c>
      <c r="L9" s="42">
        <v>-2194</v>
      </c>
      <c r="M9" s="42">
        <v>2760</v>
      </c>
      <c r="N9" s="42">
        <v>1153</v>
      </c>
    </row>
    <row r="10" spans="2:14" ht="15.75" thickTop="1" x14ac:dyDescent="0.25">
      <c r="B10" s="39" t="s">
        <v>119</v>
      </c>
      <c r="C10" s="38">
        <v>4157</v>
      </c>
      <c r="D10" s="38">
        <v>-3672</v>
      </c>
      <c r="E10" s="38">
        <v>1313</v>
      </c>
      <c r="F10" s="38">
        <v>3254</v>
      </c>
      <c r="G10" s="38">
        <v>-6434</v>
      </c>
      <c r="H10" s="38">
        <v>-7221</v>
      </c>
      <c r="I10" s="38">
        <v>5065</v>
      </c>
      <c r="J10" s="43">
        <v>-93</v>
      </c>
      <c r="K10" s="38">
        <v>-10750</v>
      </c>
      <c r="L10" s="38">
        <v>-3127</v>
      </c>
      <c r="M10" s="38">
        <v>7325</v>
      </c>
      <c r="N10" s="38">
        <v>8156</v>
      </c>
    </row>
    <row r="11" spans="2:14" ht="15.75" thickBot="1" x14ac:dyDescent="0.3">
      <c r="B11" s="40" t="s">
        <v>120</v>
      </c>
      <c r="C11" s="42">
        <v>-4308</v>
      </c>
      <c r="D11" s="42">
        <v>-4194</v>
      </c>
      <c r="E11" s="42">
        <v>-2040</v>
      </c>
      <c r="F11" s="42">
        <v>-1895</v>
      </c>
      <c r="G11" s="42">
        <v>-3021</v>
      </c>
      <c r="H11" s="42">
        <v>-2659</v>
      </c>
      <c r="I11" s="42">
        <v>-1785</v>
      </c>
      <c r="J11" s="42">
        <v>-2105</v>
      </c>
      <c r="K11" s="42">
        <v>-1910</v>
      </c>
      <c r="L11" s="42">
        <v>-3179</v>
      </c>
      <c r="M11" s="42">
        <v>-4516</v>
      </c>
      <c r="N11" s="42">
        <v>-3991</v>
      </c>
    </row>
    <row r="12" spans="2:14" ht="15.75" thickTop="1" x14ac:dyDescent="0.25">
      <c r="B12" s="44" t="s">
        <v>121</v>
      </c>
      <c r="C12" s="45">
        <v>-27991</v>
      </c>
      <c r="D12" s="45">
        <v>-36232</v>
      </c>
      <c r="E12" s="45">
        <v>-36694</v>
      </c>
      <c r="F12" s="45">
        <v>-39571</v>
      </c>
      <c r="G12" s="45">
        <v>-25139</v>
      </c>
      <c r="H12" s="45">
        <v>-20878</v>
      </c>
      <c r="I12" s="45">
        <v>-33115</v>
      </c>
      <c r="J12" s="45">
        <v>-25672</v>
      </c>
      <c r="K12" s="45">
        <v>-4444</v>
      </c>
      <c r="L12" s="45">
        <v>-15417</v>
      </c>
      <c r="M12" s="45">
        <v>-22781</v>
      </c>
      <c r="N12" s="45">
        <v>-49982</v>
      </c>
    </row>
    <row r="13" spans="2:14" x14ac:dyDescent="0.25">
      <c r="B13" s="46" t="s">
        <v>122</v>
      </c>
      <c r="C13" s="47">
        <v>-26975</v>
      </c>
      <c r="D13" s="47">
        <v>-31962</v>
      </c>
      <c r="E13" s="47">
        <v>-31503</v>
      </c>
      <c r="F13" s="47">
        <v>-16072</v>
      </c>
      <c r="G13" s="47">
        <v>-35079</v>
      </c>
      <c r="H13" s="47">
        <v>-35304</v>
      </c>
      <c r="I13" s="47">
        <v>-29702</v>
      </c>
      <c r="J13" s="47">
        <v>-20205</v>
      </c>
      <c r="K13" s="47">
        <v>-15168</v>
      </c>
      <c r="L13" s="47">
        <v>-19230</v>
      </c>
      <c r="M13" s="47">
        <v>-31414</v>
      </c>
      <c r="N13" s="47">
        <v>-38042</v>
      </c>
    </row>
    <row r="14" spans="2:14" x14ac:dyDescent="0.25">
      <c r="B14" s="46" t="s">
        <v>123</v>
      </c>
      <c r="C14" s="48">
        <v>50</v>
      </c>
      <c r="D14" s="48">
        <v>74</v>
      </c>
      <c r="E14" s="48">
        <v>59</v>
      </c>
      <c r="F14" s="48">
        <v>53</v>
      </c>
      <c r="G14" s="48">
        <v>30</v>
      </c>
      <c r="H14" s="48">
        <v>67</v>
      </c>
      <c r="I14" s="48">
        <v>171</v>
      </c>
      <c r="J14" s="48">
        <v>351</v>
      </c>
      <c r="K14" s="48">
        <v>230</v>
      </c>
      <c r="L14" s="48">
        <v>285</v>
      </c>
      <c r="M14" s="48">
        <v>231</v>
      </c>
      <c r="N14" s="48">
        <v>974</v>
      </c>
    </row>
    <row r="15" spans="2:14" x14ac:dyDescent="0.25">
      <c r="B15" s="46" t="s">
        <v>124</v>
      </c>
      <c r="C15" s="48">
        <v>-429</v>
      </c>
      <c r="D15" s="47">
        <v>-5461</v>
      </c>
      <c r="E15" s="47">
        <v>-4728</v>
      </c>
      <c r="F15" s="48">
        <v>-6</v>
      </c>
      <c r="G15" s="48">
        <v>-329</v>
      </c>
      <c r="H15" s="48">
        <v>-130</v>
      </c>
      <c r="I15" s="47">
        <v>-1439</v>
      </c>
      <c r="J15" s="47">
        <v>-7530</v>
      </c>
      <c r="K15" s="47">
        <v>-3008</v>
      </c>
      <c r="L15" s="48">
        <v>-50</v>
      </c>
      <c r="M15" s="48">
        <v>-74</v>
      </c>
      <c r="N15" s="47">
        <v>-12677</v>
      </c>
    </row>
    <row r="16" spans="2:14" x14ac:dyDescent="0.25">
      <c r="B16" s="46" t="s">
        <v>125</v>
      </c>
      <c r="C16" s="48">
        <v>4</v>
      </c>
      <c r="D16" s="48">
        <v>42</v>
      </c>
      <c r="E16" s="48">
        <v>89</v>
      </c>
      <c r="F16" s="47">
        <v>1965</v>
      </c>
      <c r="G16" s="47">
        <v>2381</v>
      </c>
      <c r="H16" s="47">
        <v>5644</v>
      </c>
      <c r="I16" s="48">
        <v>21</v>
      </c>
      <c r="J16" s="48">
        <v>226</v>
      </c>
      <c r="K16" s="48">
        <v>104</v>
      </c>
      <c r="L16" s="47">
        <v>6895</v>
      </c>
      <c r="M16" s="47">
        <v>10821</v>
      </c>
      <c r="N16" s="48">
        <v>111</v>
      </c>
    </row>
    <row r="17" spans="2:14" x14ac:dyDescent="0.25">
      <c r="B17" s="46" t="s">
        <v>126</v>
      </c>
      <c r="C17" s="48">
        <v>653</v>
      </c>
      <c r="D17" s="48">
        <v>698</v>
      </c>
      <c r="E17" s="48">
        <v>731</v>
      </c>
      <c r="F17" s="48">
        <v>638</v>
      </c>
      <c r="G17" s="48">
        <v>690</v>
      </c>
      <c r="H17" s="48">
        <v>761</v>
      </c>
      <c r="I17" s="47">
        <v>1104</v>
      </c>
      <c r="J17" s="48">
        <v>428</v>
      </c>
      <c r="K17" s="48">
        <v>653</v>
      </c>
      <c r="L17" s="48">
        <v>973</v>
      </c>
      <c r="M17" s="47">
        <v>2493</v>
      </c>
      <c r="N17" s="47">
        <v>2420</v>
      </c>
    </row>
    <row r="18" spans="2:14" x14ac:dyDescent="0.25">
      <c r="B18" s="46" t="s">
        <v>127</v>
      </c>
      <c r="C18" s="48">
        <v>40</v>
      </c>
      <c r="D18" s="48">
        <v>80</v>
      </c>
      <c r="E18" s="48">
        <v>58</v>
      </c>
      <c r="F18" s="48">
        <v>620</v>
      </c>
      <c r="G18" s="47">
        <v>1797</v>
      </c>
      <c r="H18" s="48">
        <v>232</v>
      </c>
      <c r="I18" s="48">
        <v>21</v>
      </c>
      <c r="J18" s="48">
        <v>18</v>
      </c>
      <c r="K18" s="48">
        <v>32</v>
      </c>
      <c r="L18" s="48">
        <v>46</v>
      </c>
      <c r="M18" s="48">
        <v>47</v>
      </c>
      <c r="N18" s="48">
        <v>64</v>
      </c>
    </row>
    <row r="19" spans="2:14" x14ac:dyDescent="0.25">
      <c r="B19" s="46" t="s">
        <v>128</v>
      </c>
      <c r="C19" s="48">
        <v>0</v>
      </c>
      <c r="D19" s="48">
        <v>-160</v>
      </c>
      <c r="E19" s="48">
        <v>0</v>
      </c>
      <c r="F19" s="48">
        <v>-107</v>
      </c>
      <c r="G19" s="48">
        <v>-4</v>
      </c>
      <c r="H19" s="48">
        <v>-9</v>
      </c>
      <c r="I19" s="48">
        <v>-606</v>
      </c>
      <c r="J19" s="48">
        <v>-10</v>
      </c>
      <c r="K19" s="48">
        <v>0</v>
      </c>
      <c r="L19" s="48">
        <v>0</v>
      </c>
      <c r="M19" s="48">
        <v>-150</v>
      </c>
      <c r="N19" s="48">
        <v>0</v>
      </c>
    </row>
    <row r="20" spans="2:14" x14ac:dyDescent="0.25">
      <c r="B20" s="46" t="s">
        <v>129</v>
      </c>
      <c r="C20" s="48">
        <v>0</v>
      </c>
      <c r="D20" s="48">
        <v>0</v>
      </c>
      <c r="E20" s="48">
        <v>0</v>
      </c>
      <c r="F20" s="48">
        <v>0</v>
      </c>
      <c r="G20" s="48">
        <v>14</v>
      </c>
      <c r="H20" s="48">
        <v>533</v>
      </c>
      <c r="I20" s="48">
        <v>0</v>
      </c>
      <c r="J20" s="48">
        <v>0</v>
      </c>
      <c r="K20" s="48">
        <v>0</v>
      </c>
      <c r="L20" s="48">
        <v>19</v>
      </c>
      <c r="M20" s="48">
        <v>107</v>
      </c>
      <c r="N20" s="48">
        <v>765</v>
      </c>
    </row>
    <row r="21" spans="2:14" x14ac:dyDescent="0.25">
      <c r="B21" s="46" t="s">
        <v>130</v>
      </c>
      <c r="C21" s="48">
        <v>-185</v>
      </c>
      <c r="D21" s="48">
        <v>0</v>
      </c>
      <c r="E21" s="48">
        <v>-111</v>
      </c>
      <c r="F21" s="48">
        <v>0</v>
      </c>
      <c r="G21" s="48">
        <v>0</v>
      </c>
      <c r="H21" s="48">
        <v>-8</v>
      </c>
      <c r="I21" s="48">
        <v>-27</v>
      </c>
      <c r="J21" s="48">
        <v>0</v>
      </c>
      <c r="K21" s="48">
        <v>-98</v>
      </c>
      <c r="L21" s="48">
        <v>0</v>
      </c>
      <c r="M21" s="48">
        <v>0</v>
      </c>
      <c r="N21" s="48">
        <v>-688</v>
      </c>
    </row>
    <row r="22" spans="2:14" x14ac:dyDescent="0.25">
      <c r="B22" s="46" t="s">
        <v>131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-25</v>
      </c>
      <c r="N22" s="48">
        <v>-20</v>
      </c>
    </row>
    <row r="23" spans="2:14" ht="15.75" thickBot="1" x14ac:dyDescent="0.3">
      <c r="B23" s="46" t="s">
        <v>132</v>
      </c>
      <c r="C23" s="47">
        <v>-1149</v>
      </c>
      <c r="D23" s="48">
        <v>456</v>
      </c>
      <c r="E23" s="47">
        <v>-1289</v>
      </c>
      <c r="F23" s="47">
        <v>-26663</v>
      </c>
      <c r="G23" s="47">
        <v>5360</v>
      </c>
      <c r="H23" s="47">
        <v>7335</v>
      </c>
      <c r="I23" s="47">
        <v>-2659</v>
      </c>
      <c r="J23" s="47">
        <v>1051</v>
      </c>
      <c r="K23" s="47">
        <v>12813</v>
      </c>
      <c r="L23" s="47">
        <v>-4357</v>
      </c>
      <c r="M23" s="47">
        <v>-4817</v>
      </c>
      <c r="N23" s="47">
        <v>-2889</v>
      </c>
    </row>
    <row r="24" spans="2:14" ht="15.75" thickTop="1" x14ac:dyDescent="0.25">
      <c r="B24" s="37" t="s">
        <v>133</v>
      </c>
      <c r="C24" s="38">
        <v>-3883</v>
      </c>
      <c r="D24" s="38">
        <v>5201</v>
      </c>
      <c r="E24" s="38">
        <v>-3795</v>
      </c>
      <c r="F24" s="38">
        <v>6205</v>
      </c>
      <c r="G24" s="38">
        <v>2012</v>
      </c>
      <c r="H24" s="38">
        <v>8830</v>
      </c>
      <c r="I24" s="38">
        <v>3390</v>
      </c>
      <c r="J24" s="38">
        <v>9904</v>
      </c>
      <c r="K24" s="38">
        <v>-3380</v>
      </c>
      <c r="L24" s="38">
        <v>-26243</v>
      </c>
      <c r="M24" s="38">
        <v>-37006</v>
      </c>
      <c r="N24" s="38">
        <v>-18786</v>
      </c>
    </row>
    <row r="25" spans="2:14" x14ac:dyDescent="0.25">
      <c r="B25" s="40" t="s">
        <v>134</v>
      </c>
      <c r="C25" s="41">
        <v>0</v>
      </c>
      <c r="D25" s="41">
        <v>0</v>
      </c>
      <c r="E25" s="42">
        <v>7433</v>
      </c>
      <c r="F25" s="41">
        <v>5</v>
      </c>
      <c r="G25" s="41">
        <v>0</v>
      </c>
      <c r="H25" s="41">
        <v>0</v>
      </c>
      <c r="I25" s="42">
        <v>3889</v>
      </c>
      <c r="J25" s="42">
        <v>2603</v>
      </c>
      <c r="K25" s="41">
        <v>19</v>
      </c>
      <c r="L25" s="41">
        <v>20</v>
      </c>
      <c r="M25" s="41">
        <v>82</v>
      </c>
      <c r="N25" s="42">
        <v>1108</v>
      </c>
    </row>
    <row r="26" spans="2:14" x14ac:dyDescent="0.25">
      <c r="B26" s="40" t="s">
        <v>135</v>
      </c>
      <c r="C26" s="41">
        <v>-658</v>
      </c>
      <c r="D26" s="41">
        <v>-744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</row>
    <row r="27" spans="2:14" x14ac:dyDescent="0.25">
      <c r="B27" s="40" t="s">
        <v>136</v>
      </c>
      <c r="C27" s="42">
        <v>33258</v>
      </c>
      <c r="D27" s="42">
        <v>36363</v>
      </c>
      <c r="E27" s="42">
        <v>19519</v>
      </c>
      <c r="F27" s="42">
        <v>33390</v>
      </c>
      <c r="G27" s="42">
        <v>37482</v>
      </c>
      <c r="H27" s="42">
        <v>51128</v>
      </c>
      <c r="I27" s="42">
        <v>38297</v>
      </c>
      <c r="J27" s="42">
        <v>46641</v>
      </c>
      <c r="K27" s="42">
        <v>46578</v>
      </c>
      <c r="L27" s="42">
        <v>43934</v>
      </c>
      <c r="M27" s="42">
        <v>18829</v>
      </c>
      <c r="N27" s="42">
        <v>13384</v>
      </c>
    </row>
    <row r="28" spans="2:14" x14ac:dyDescent="0.25">
      <c r="B28" s="40" t="s">
        <v>137</v>
      </c>
      <c r="C28" s="42">
        <v>-29141</v>
      </c>
      <c r="D28" s="42">
        <v>-23332</v>
      </c>
      <c r="E28" s="42">
        <v>-24924</v>
      </c>
      <c r="F28" s="42">
        <v>-21732</v>
      </c>
      <c r="G28" s="42">
        <v>-29964</v>
      </c>
      <c r="H28" s="42">
        <v>-35198</v>
      </c>
      <c r="I28" s="42">
        <v>-29847</v>
      </c>
      <c r="J28" s="42">
        <v>-29709</v>
      </c>
      <c r="K28" s="42">
        <v>-42816</v>
      </c>
      <c r="L28" s="42">
        <v>-62557</v>
      </c>
      <c r="M28" s="42">
        <v>-47414</v>
      </c>
      <c r="N28" s="42">
        <v>-21443</v>
      </c>
    </row>
    <row r="29" spans="2:14" x14ac:dyDescent="0.25">
      <c r="B29" s="40" t="s">
        <v>138</v>
      </c>
      <c r="C29" s="42">
        <v>-6171</v>
      </c>
      <c r="D29" s="42">
        <v>-6307</v>
      </c>
      <c r="E29" s="42">
        <v>-5716</v>
      </c>
      <c r="F29" s="42">
        <v>-5336</v>
      </c>
      <c r="G29" s="42">
        <v>-5411</v>
      </c>
      <c r="H29" s="42">
        <v>-7005</v>
      </c>
      <c r="I29" s="42">
        <v>-7518</v>
      </c>
      <c r="J29" s="42">
        <v>-8123</v>
      </c>
      <c r="K29" s="42">
        <v>-9251</v>
      </c>
      <c r="L29" s="42">
        <v>-9336</v>
      </c>
      <c r="M29" s="42">
        <v>-9332</v>
      </c>
      <c r="N29" s="42">
        <v>-5814</v>
      </c>
    </row>
    <row r="30" spans="2:14" x14ac:dyDescent="0.25">
      <c r="B30" s="40" t="s">
        <v>139</v>
      </c>
      <c r="C30" s="41">
        <v>-722</v>
      </c>
      <c r="D30" s="41">
        <v>-720</v>
      </c>
      <c r="E30" s="41">
        <v>-108</v>
      </c>
      <c r="F30" s="41">
        <v>-121</v>
      </c>
      <c r="G30" s="41">
        <v>-96</v>
      </c>
      <c r="H30" s="41">
        <v>-95</v>
      </c>
      <c r="I30" s="41">
        <v>-57</v>
      </c>
      <c r="J30" s="41">
        <v>-30</v>
      </c>
      <c r="K30" s="41">
        <v>-100</v>
      </c>
      <c r="L30" s="41">
        <v>-141</v>
      </c>
      <c r="M30" s="42">
        <v>-1059</v>
      </c>
      <c r="N30" s="42">
        <v>-2492</v>
      </c>
    </row>
    <row r="31" spans="2:14" x14ac:dyDescent="0.25">
      <c r="B31" s="40" t="s">
        <v>140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2">
        <v>-1346</v>
      </c>
      <c r="J31" s="42">
        <v>-1477</v>
      </c>
      <c r="K31" s="42">
        <v>-1559</v>
      </c>
      <c r="L31" s="42">
        <v>-1517</v>
      </c>
      <c r="M31" s="42">
        <v>-1924</v>
      </c>
      <c r="N31" s="42">
        <v>-2393</v>
      </c>
    </row>
    <row r="32" spans="2:14" ht="15.75" thickBot="1" x14ac:dyDescent="0.3">
      <c r="B32" s="40" t="s">
        <v>141</v>
      </c>
      <c r="C32" s="41">
        <v>-450</v>
      </c>
      <c r="D32" s="41">
        <v>-57</v>
      </c>
      <c r="E32" s="41">
        <v>0</v>
      </c>
      <c r="F32" s="41">
        <v>0</v>
      </c>
      <c r="G32" s="41">
        <v>0</v>
      </c>
      <c r="H32" s="41">
        <v>0</v>
      </c>
      <c r="I32" s="41">
        <v>-29</v>
      </c>
      <c r="J32" s="41">
        <v>0</v>
      </c>
      <c r="K32" s="42">
        <v>3750</v>
      </c>
      <c r="L32" s="42">
        <v>3355</v>
      </c>
      <c r="M32" s="42">
        <v>3812</v>
      </c>
      <c r="N32" s="42">
        <v>-1136</v>
      </c>
    </row>
    <row r="33" spans="2:14" ht="15.75" thickTop="1" x14ac:dyDescent="0.25">
      <c r="B33" s="44" t="s">
        <v>35</v>
      </c>
      <c r="C33" s="45">
        <v>4277</v>
      </c>
      <c r="D33" s="45">
        <v>4500</v>
      </c>
      <c r="E33" s="45">
        <v>-2589</v>
      </c>
      <c r="F33" s="45">
        <v>-3167</v>
      </c>
      <c r="G33" s="49">
        <v>730</v>
      </c>
      <c r="H33" s="45">
        <v>6843</v>
      </c>
      <c r="I33" s="45">
        <v>-3092</v>
      </c>
      <c r="J33" s="45">
        <v>13232</v>
      </c>
      <c r="K33" s="45">
        <v>6459</v>
      </c>
      <c r="L33" s="45">
        <v>-6272</v>
      </c>
      <c r="M33" s="45">
        <v>8128</v>
      </c>
      <c r="N33" s="45">
        <v>-5666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C862-927B-4D1F-ABEB-1E3545D0CF32}">
  <sheetPr>
    <tabColor rgb="FF00B050"/>
  </sheetPr>
  <dimension ref="A2:M105"/>
  <sheetViews>
    <sheetView showGridLines="0" zoomScale="110" zoomScaleNormal="110" workbookViewId="0">
      <pane ySplit="3" topLeftCell="A4" activePane="bottomLeft" state="frozen"/>
      <selection pane="bottomLeft" activeCell="Q29" sqref="Q29"/>
    </sheetView>
  </sheetViews>
  <sheetFormatPr defaultRowHeight="15" x14ac:dyDescent="0.25"/>
  <cols>
    <col min="1" max="1" width="1.85546875" customWidth="1"/>
    <col min="2" max="2" width="38.7109375" customWidth="1"/>
    <col min="3" max="13" width="13" bestFit="1" customWidth="1"/>
  </cols>
  <sheetData>
    <row r="2" spans="1:13" x14ac:dyDescent="0.25">
      <c r="B2" s="76" t="str">
        <f>"Historical Financial Statement - "&amp;'Data Sheet'!B1</f>
        <v>Historical Financial Statement - TATA MOTORS LTD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x14ac:dyDescent="0.25">
      <c r="B3" s="21" t="s">
        <v>81</v>
      </c>
      <c r="C3" s="22">
        <f>'Data Sheet'!B16</f>
        <v>42460</v>
      </c>
      <c r="D3" s="22">
        <f>'Data Sheet'!C16</f>
        <v>42825</v>
      </c>
      <c r="E3" s="22">
        <f>'Data Sheet'!D16</f>
        <v>43190</v>
      </c>
      <c r="F3" s="22">
        <f>'Data Sheet'!E16</f>
        <v>43555</v>
      </c>
      <c r="G3" s="22">
        <f>'Data Sheet'!F16</f>
        <v>43921</v>
      </c>
      <c r="H3" s="22">
        <f>'Data Sheet'!G16</f>
        <v>44286</v>
      </c>
      <c r="I3" s="22">
        <f>'Data Sheet'!H16</f>
        <v>44651</v>
      </c>
      <c r="J3" s="22">
        <f>'Data Sheet'!I16</f>
        <v>45016</v>
      </c>
      <c r="K3" s="22">
        <f>'Data Sheet'!J16</f>
        <v>45382</v>
      </c>
      <c r="L3" s="22">
        <f>'Data Sheet'!K16</f>
        <v>45747</v>
      </c>
      <c r="M3" s="23" t="s">
        <v>82</v>
      </c>
    </row>
    <row r="4" spans="1:13" x14ac:dyDescent="0.25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</row>
    <row r="5" spans="1:13" x14ac:dyDescent="0.25">
      <c r="A5" s="2" t="s">
        <v>84</v>
      </c>
      <c r="B5" s="28" t="s">
        <v>83</v>
      </c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x14ac:dyDescent="0.25">
      <c r="B6" s="2" t="s">
        <v>6</v>
      </c>
      <c r="C6" s="24">
        <f>IFERROR('Data Sheet'!B17,0)</f>
        <v>273045.59999999998</v>
      </c>
      <c r="D6" s="24">
        <f>IFERROR('Data Sheet'!C17,0)</f>
        <v>269692.51</v>
      </c>
      <c r="E6" s="24">
        <f>IFERROR('Data Sheet'!D17,0)</f>
        <v>291550.48</v>
      </c>
      <c r="F6" s="24">
        <f>IFERROR('Data Sheet'!E17,0)</f>
        <v>301938.40000000002</v>
      </c>
      <c r="G6" s="24">
        <f>IFERROR('Data Sheet'!F17,0)</f>
        <v>261067.97</v>
      </c>
      <c r="H6" s="24">
        <f>IFERROR('Data Sheet'!G17,0)</f>
        <v>249794.75</v>
      </c>
      <c r="I6" s="24">
        <f>IFERROR('Data Sheet'!H17,0)</f>
        <v>278453.62</v>
      </c>
      <c r="J6" s="24">
        <f>IFERROR('Data Sheet'!I17,0)</f>
        <v>345966.97</v>
      </c>
      <c r="K6" s="24">
        <f>IFERROR('Data Sheet'!J17,0)</f>
        <v>434016</v>
      </c>
      <c r="L6" s="24">
        <f>IFERROR('Data Sheet'!K17,0)</f>
        <v>439695</v>
      </c>
      <c r="M6" s="24">
        <f>IFERROR(SUM('Data Sheet'!H42:K42),0)</f>
        <v>441609</v>
      </c>
    </row>
    <row r="7" spans="1:13" x14ac:dyDescent="0.25">
      <c r="B7" s="25" t="s">
        <v>22</v>
      </c>
      <c r="C7" s="25" t="s">
        <v>85</v>
      </c>
      <c r="D7" s="26">
        <f>D6/C6-1</f>
        <v>-1.2280329732469508E-2</v>
      </c>
      <c r="E7" s="26">
        <f t="shared" ref="E7:M7" si="0">E6/D6-1</f>
        <v>8.104774581985974E-2</v>
      </c>
      <c r="F7" s="26">
        <f t="shared" si="0"/>
        <v>3.5629919045237157E-2</v>
      </c>
      <c r="G7" s="26">
        <f t="shared" si="0"/>
        <v>-0.135360159555724</v>
      </c>
      <c r="H7" s="26">
        <f t="shared" si="0"/>
        <v>-4.3181168490336042E-2</v>
      </c>
      <c r="I7" s="26">
        <f t="shared" si="0"/>
        <v>0.11472967306158344</v>
      </c>
      <c r="J7" s="26">
        <f t="shared" si="0"/>
        <v>0.24245815155859707</v>
      </c>
      <c r="K7" s="26">
        <f t="shared" si="0"/>
        <v>0.25450126062612277</v>
      </c>
      <c r="L7" s="26">
        <f t="shared" si="0"/>
        <v>1.3084771068347711E-2</v>
      </c>
      <c r="M7" s="26">
        <f t="shared" si="0"/>
        <v>4.3530174325385751E-3</v>
      </c>
    </row>
    <row r="8" spans="1:13" x14ac:dyDescent="0.25">
      <c r="B8" s="25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 x14ac:dyDescent="0.25">
      <c r="B9" s="2" t="s">
        <v>86</v>
      </c>
      <c r="C9" s="24">
        <f>IFERROR(SUM('Data Sheet'!B18,'Data Sheet'!B20:B22)-1*'Data Sheet'!B19,0)</f>
        <v>205509.07</v>
      </c>
      <c r="D9" s="24">
        <f>IFERROR(SUM('Data Sheet'!C18,'Data Sheet'!C20:C22)-1*'Data Sheet'!C19,0)</f>
        <v>205454.23999999996</v>
      </c>
      <c r="E9" s="24">
        <f>IFERROR(SUM('Data Sheet'!D18,'Data Sheet'!D20:D22)-1*'Data Sheet'!D19,0)</f>
        <v>228429.83</v>
      </c>
      <c r="F9" s="24">
        <f>IFERROR(SUM('Data Sheet'!E18,'Data Sheet'!E20:E22)-1*'Data Sheet'!E19,0)</f>
        <v>242845.53</v>
      </c>
      <c r="G9" s="24">
        <f>IFERROR(SUM('Data Sheet'!F18,'Data Sheet'!F20:F22)-1*'Data Sheet'!F19,0)</f>
        <v>210376.07000000004</v>
      </c>
      <c r="H9" s="24">
        <f>IFERROR(SUM('Data Sheet'!G18,'Data Sheet'!G20:G22)-1*'Data Sheet'!G19,0)</f>
        <v>195326.04</v>
      </c>
      <c r="I9" s="24">
        <f>IFERROR(SUM('Data Sheet'!H18,'Data Sheet'!H20:H22)-1*'Data Sheet'!H19,0)</f>
        <v>223300.00999999998</v>
      </c>
      <c r="J9" s="24">
        <f>IFERROR(SUM('Data Sheet'!I18,'Data Sheet'!I20:I22)-1*'Data Sheet'!I19,0)</f>
        <v>274403.64</v>
      </c>
      <c r="K9" s="24">
        <f>IFERROR(SUM('Data Sheet'!J18,'Data Sheet'!J20:J22)-1*'Data Sheet'!J19,0)</f>
        <v>334380</v>
      </c>
      <c r="L9" s="24">
        <f>IFERROR(SUM('Data Sheet'!K18,'Data Sheet'!K20:K22)-1*'Data Sheet'!K19,0)</f>
        <v>340809</v>
      </c>
      <c r="M9" s="24">
        <f>IFERROR(SUM('Data Sheet'!L18,'Data Sheet'!L20:L22)-1*'Data Sheet'!L19,0)</f>
        <v>0</v>
      </c>
    </row>
    <row r="10" spans="1:13" x14ac:dyDescent="0.25">
      <c r="B10" s="25" t="s">
        <v>92</v>
      </c>
      <c r="C10" s="26">
        <f>C9/C6</f>
        <v>0.75265475803309057</v>
      </c>
      <c r="D10" s="26">
        <f t="shared" ref="D10:M10" si="1">D9/D6</f>
        <v>0.76180921746770036</v>
      </c>
      <c r="E10" s="26">
        <f t="shared" si="1"/>
        <v>0.78350009919380004</v>
      </c>
      <c r="F10" s="26">
        <f t="shared" si="1"/>
        <v>0.80428832503583503</v>
      </c>
      <c r="G10" s="26">
        <f t="shared" si="1"/>
        <v>0.80582872728508226</v>
      </c>
      <c r="H10" s="26">
        <f t="shared" si="1"/>
        <v>0.7819461377791167</v>
      </c>
      <c r="I10" s="26">
        <f t="shared" si="1"/>
        <v>0.80192891728252624</v>
      </c>
      <c r="J10" s="26">
        <f t="shared" si="1"/>
        <v>0.79314982005363122</v>
      </c>
      <c r="K10" s="26">
        <f t="shared" si="1"/>
        <v>0.7704324264543243</v>
      </c>
      <c r="L10" s="26">
        <f t="shared" si="1"/>
        <v>0.77510319653396109</v>
      </c>
      <c r="M10" s="26">
        <f t="shared" si="1"/>
        <v>0</v>
      </c>
    </row>
    <row r="12" spans="1:13" x14ac:dyDescent="0.25">
      <c r="B12" s="2" t="s">
        <v>87</v>
      </c>
      <c r="C12" s="27">
        <f>C6-C9</f>
        <v>67536.52999999997</v>
      </c>
      <c r="D12" s="27">
        <f t="shared" ref="D12:M12" si="2">D6-D9</f>
        <v>64238.270000000048</v>
      </c>
      <c r="E12" s="27">
        <f t="shared" si="2"/>
        <v>63120.649999999994</v>
      </c>
      <c r="F12" s="27">
        <f t="shared" si="2"/>
        <v>59092.870000000024</v>
      </c>
      <c r="G12" s="27">
        <f t="shared" si="2"/>
        <v>50691.899999999965</v>
      </c>
      <c r="H12" s="27">
        <f t="shared" si="2"/>
        <v>54468.709999999992</v>
      </c>
      <c r="I12" s="27">
        <f t="shared" si="2"/>
        <v>55153.610000000015</v>
      </c>
      <c r="J12" s="27">
        <f t="shared" si="2"/>
        <v>71563.329999999958</v>
      </c>
      <c r="K12" s="27">
        <f t="shared" si="2"/>
        <v>99636</v>
      </c>
      <c r="L12" s="27">
        <f t="shared" si="2"/>
        <v>98886</v>
      </c>
      <c r="M12" s="27">
        <f t="shared" si="2"/>
        <v>441609</v>
      </c>
    </row>
    <row r="13" spans="1:13" x14ac:dyDescent="0.25">
      <c r="B13" s="25" t="s">
        <v>95</v>
      </c>
      <c r="C13" s="26">
        <f>C12/C6</f>
        <v>0.24734524196690946</v>
      </c>
      <c r="D13" s="26">
        <f t="shared" ref="D13:M13" si="3">D12/D6</f>
        <v>0.23819078253229964</v>
      </c>
      <c r="E13" s="26">
        <f t="shared" si="3"/>
        <v>0.21649990080619999</v>
      </c>
      <c r="F13" s="26">
        <f t="shared" si="3"/>
        <v>0.19571167496416494</v>
      </c>
      <c r="G13" s="26">
        <f t="shared" si="3"/>
        <v>0.19417127271491774</v>
      </c>
      <c r="H13" s="26">
        <f t="shared" si="3"/>
        <v>0.2180538622208833</v>
      </c>
      <c r="I13" s="26">
        <f t="shared" si="3"/>
        <v>0.19807108271747378</v>
      </c>
      <c r="J13" s="26">
        <f t="shared" si="3"/>
        <v>0.20685017994636876</v>
      </c>
      <c r="K13" s="26">
        <f t="shared" si="3"/>
        <v>0.22956757354567572</v>
      </c>
      <c r="L13" s="26">
        <f t="shared" si="3"/>
        <v>0.22489680346603896</v>
      </c>
      <c r="M13" s="26">
        <f t="shared" si="3"/>
        <v>1</v>
      </c>
    </row>
    <row r="15" spans="1:13" x14ac:dyDescent="0.25">
      <c r="B15" s="2" t="s">
        <v>88</v>
      </c>
      <c r="C15" s="24">
        <f>IFERROR(SUM('Data Sheet'!B23:B24),0)</f>
        <v>29141.280000000002</v>
      </c>
      <c r="D15" s="24">
        <f>IFERROR(SUM('Data Sheet'!C23:C24),0)</f>
        <v>34649.58</v>
      </c>
      <c r="E15" s="24">
        <f>IFERROR(SUM('Data Sheet'!D23:D24),0)</f>
        <v>31662.97</v>
      </c>
      <c r="F15" s="24">
        <f>IFERROR(SUM('Data Sheet'!E23:E24),0)</f>
        <v>34428.54</v>
      </c>
      <c r="G15" s="24">
        <f>IFERROR(SUM('Data Sheet'!F23:F24),0)</f>
        <v>32704.83</v>
      </c>
      <c r="H15" s="24">
        <f>IFERROR(SUM('Data Sheet'!G23:G24),0)</f>
        <v>22181.280000000002</v>
      </c>
      <c r="I15" s="24">
        <f>IFERROR(SUM('Data Sheet'!H23:H24),0)</f>
        <v>30433.52</v>
      </c>
      <c r="J15" s="24">
        <f>IFERROR(SUM('Data Sheet'!I23:I24),0)</f>
        <v>39747.53</v>
      </c>
      <c r="K15" s="24">
        <f>IFERROR(SUM('Data Sheet'!J23:J24),0)</f>
        <v>41812</v>
      </c>
      <c r="L15" s="24">
        <f>IFERROR(SUM('Data Sheet'!K23:K24),0)</f>
        <v>43670</v>
      </c>
      <c r="M15" s="24"/>
    </row>
    <row r="16" spans="1:13" x14ac:dyDescent="0.25">
      <c r="B16" s="25" t="s">
        <v>89</v>
      </c>
      <c r="C16" s="26">
        <f>C15/C6</f>
        <v>0.10672678849247161</v>
      </c>
      <c r="D16" s="26">
        <f t="shared" ref="D16:M16" si="4">D15/D6</f>
        <v>0.12847809529452636</v>
      </c>
      <c r="E16" s="26">
        <f t="shared" si="4"/>
        <v>0.10860201636437025</v>
      </c>
      <c r="F16" s="26">
        <f t="shared" si="4"/>
        <v>0.11402504616835751</v>
      </c>
      <c r="G16" s="26">
        <f t="shared" si="4"/>
        <v>0.12527323822987554</v>
      </c>
      <c r="H16" s="26">
        <f t="shared" si="4"/>
        <v>8.8798023177028354E-2</v>
      </c>
      <c r="I16" s="26">
        <f t="shared" si="4"/>
        <v>0.10929475436519734</v>
      </c>
      <c r="J16" s="26">
        <f t="shared" si="4"/>
        <v>0.11488822184383672</v>
      </c>
      <c r="K16" s="26">
        <f t="shared" si="4"/>
        <v>9.6337462213374622E-2</v>
      </c>
      <c r="L16" s="26">
        <f t="shared" si="4"/>
        <v>9.9318846018262658E-2</v>
      </c>
      <c r="M16" s="26">
        <f t="shared" si="4"/>
        <v>0</v>
      </c>
    </row>
    <row r="18" spans="2:13" x14ac:dyDescent="0.25">
      <c r="B18" s="2" t="s">
        <v>90</v>
      </c>
      <c r="C18" s="27">
        <f>C12-C15</f>
        <v>38395.249999999971</v>
      </c>
      <c r="D18" s="27">
        <f t="shared" ref="D18:M18" si="5">D12-D15</f>
        <v>29588.690000000046</v>
      </c>
      <c r="E18" s="27">
        <f t="shared" si="5"/>
        <v>31457.679999999993</v>
      </c>
      <c r="F18" s="27">
        <f t="shared" si="5"/>
        <v>24664.330000000024</v>
      </c>
      <c r="G18" s="27">
        <f t="shared" si="5"/>
        <v>17987.069999999963</v>
      </c>
      <c r="H18" s="27">
        <f t="shared" si="5"/>
        <v>32287.429999999989</v>
      </c>
      <c r="I18" s="27">
        <f t="shared" si="5"/>
        <v>24720.090000000015</v>
      </c>
      <c r="J18" s="27">
        <f t="shared" si="5"/>
        <v>31815.799999999959</v>
      </c>
      <c r="K18" s="27">
        <f t="shared" si="5"/>
        <v>57824</v>
      </c>
      <c r="L18" s="27">
        <f t="shared" si="5"/>
        <v>55216</v>
      </c>
      <c r="M18" s="27">
        <f t="shared" si="5"/>
        <v>441609</v>
      </c>
    </row>
    <row r="19" spans="2:13" x14ac:dyDescent="0.25">
      <c r="B19" s="25" t="s">
        <v>91</v>
      </c>
      <c r="C19" s="26">
        <f>C18/C6</f>
        <v>0.14061845347443788</v>
      </c>
      <c r="D19" s="26">
        <f t="shared" ref="D19:M19" si="6">D18/D6</f>
        <v>0.10971268723777329</v>
      </c>
      <c r="E19" s="26">
        <f t="shared" si="6"/>
        <v>0.10789788444182975</v>
      </c>
      <c r="F19" s="26">
        <f t="shared" si="6"/>
        <v>8.1686628795807431E-2</v>
      </c>
      <c r="G19" s="26">
        <f t="shared" si="6"/>
        <v>6.8898034485042198E-2</v>
      </c>
      <c r="H19" s="26">
        <f t="shared" si="6"/>
        <v>0.12925583904385496</v>
      </c>
      <c r="I19" s="26">
        <f t="shared" si="6"/>
        <v>8.877632835227646E-2</v>
      </c>
      <c r="J19" s="26">
        <f t="shared" si="6"/>
        <v>9.1961958102532049E-2</v>
      </c>
      <c r="K19" s="26">
        <f t="shared" si="6"/>
        <v>0.13323011133230112</v>
      </c>
      <c r="L19" s="26">
        <f t="shared" si="6"/>
        <v>0.12557795744777631</v>
      </c>
      <c r="M19" s="26">
        <f t="shared" si="6"/>
        <v>1</v>
      </c>
    </row>
    <row r="21" spans="2:13" x14ac:dyDescent="0.25">
      <c r="B21" t="s">
        <v>11</v>
      </c>
      <c r="C21" s="27">
        <f>IFERROR('Data Sheet'!B27,0)</f>
        <v>4889.08</v>
      </c>
      <c r="D21" s="27">
        <f>IFERROR('Data Sheet'!C27,0)</f>
        <v>4238.01</v>
      </c>
      <c r="E21" s="27">
        <f>IFERROR('Data Sheet'!D27,0)</f>
        <v>4681.79</v>
      </c>
      <c r="F21" s="27">
        <f>IFERROR('Data Sheet'!E27,0)</f>
        <v>5758.6</v>
      </c>
      <c r="G21" s="27">
        <f>IFERROR('Data Sheet'!F27,0)</f>
        <v>7243.33</v>
      </c>
      <c r="H21" s="27">
        <f>IFERROR('Data Sheet'!G27,0)</f>
        <v>8097.17</v>
      </c>
      <c r="I21" s="27">
        <f>IFERROR('Data Sheet'!H27,0)</f>
        <v>9311.86</v>
      </c>
      <c r="J21" s="27">
        <f>IFERROR('Data Sheet'!I27,0)</f>
        <v>10225.48</v>
      </c>
      <c r="K21" s="27">
        <f>IFERROR('Data Sheet'!J27,0)</f>
        <v>7594</v>
      </c>
      <c r="L21" s="27">
        <f>IFERROR('Data Sheet'!K27,0)</f>
        <v>5083</v>
      </c>
      <c r="M21" s="27">
        <f>IFERROR(SUM('Data Sheet'!H46:K46),0)</f>
        <v>6317</v>
      </c>
    </row>
    <row r="22" spans="2:13" x14ac:dyDescent="0.25">
      <c r="B22" s="25" t="s">
        <v>93</v>
      </c>
      <c r="C22" s="26">
        <f>C21/C6</f>
        <v>1.7905727101993223E-2</v>
      </c>
      <c r="D22" s="26">
        <f t="shared" ref="D22:M22" si="7">D21/D6</f>
        <v>1.5714229512714312E-2</v>
      </c>
      <c r="E22" s="26">
        <f t="shared" si="7"/>
        <v>1.605824830060304E-2</v>
      </c>
      <c r="F22" s="26">
        <f t="shared" si="7"/>
        <v>1.9072102124141878E-2</v>
      </c>
      <c r="G22" s="26">
        <f t="shared" si="7"/>
        <v>2.7744996829752802E-2</v>
      </c>
      <c r="H22" s="26">
        <f t="shared" si="7"/>
        <v>3.2415292955516477E-2</v>
      </c>
      <c r="I22" s="26">
        <f t="shared" si="7"/>
        <v>3.3441332168710897E-2</v>
      </c>
      <c r="J22" s="26">
        <f t="shared" si="7"/>
        <v>2.9556231914277829E-2</v>
      </c>
      <c r="K22" s="26">
        <f t="shared" si="7"/>
        <v>1.7497050799970507E-2</v>
      </c>
      <c r="L22" s="26">
        <f t="shared" si="7"/>
        <v>1.1560286107415368E-2</v>
      </c>
      <c r="M22" s="26">
        <f t="shared" si="7"/>
        <v>1.4304509192520985E-2</v>
      </c>
    </row>
    <row r="24" spans="2:13" x14ac:dyDescent="0.25">
      <c r="B24" s="2" t="s">
        <v>10</v>
      </c>
      <c r="C24" s="27">
        <f>IFERROR('Data Sheet'!B26,0)</f>
        <v>16710.78</v>
      </c>
      <c r="D24" s="27">
        <f>IFERROR('Data Sheet'!C26,0)</f>
        <v>17904.990000000002</v>
      </c>
      <c r="E24" s="27">
        <f>IFERROR('Data Sheet'!D26,0)</f>
        <v>21553.59</v>
      </c>
      <c r="F24" s="27">
        <f>IFERROR('Data Sheet'!E26,0)</f>
        <v>23590.63</v>
      </c>
      <c r="G24" s="27">
        <f>IFERROR('Data Sheet'!F26,0)</f>
        <v>21425.43</v>
      </c>
      <c r="H24" s="27">
        <f>IFERROR('Data Sheet'!G26,0)</f>
        <v>23546.71</v>
      </c>
      <c r="I24" s="27">
        <f>IFERROR('Data Sheet'!H26,0)</f>
        <v>24835.69</v>
      </c>
      <c r="J24" s="27">
        <f>IFERROR('Data Sheet'!I26,0)</f>
        <v>24860.36</v>
      </c>
      <c r="K24" s="27">
        <f>IFERROR('Data Sheet'!J26,0)</f>
        <v>27239</v>
      </c>
      <c r="L24" s="27">
        <f>IFERROR('Data Sheet'!K26,0)</f>
        <v>23256</v>
      </c>
      <c r="M24" s="27">
        <f>IFERROR(SUM('Data Sheet'!H45:K45),0)</f>
        <v>23273</v>
      </c>
    </row>
    <row r="25" spans="2:13" x14ac:dyDescent="0.25">
      <c r="B25" s="25" t="s">
        <v>94</v>
      </c>
      <c r="C25" s="26">
        <f>C24/C6</f>
        <v>6.1201425695927715E-2</v>
      </c>
      <c r="D25" s="26">
        <f t="shared" ref="D25:M25" si="8">D24/D6</f>
        <v>6.63903865924938E-2</v>
      </c>
      <c r="E25" s="26">
        <f t="shared" si="8"/>
        <v>7.3927472182518786E-2</v>
      </c>
      <c r="F25" s="26">
        <f t="shared" si="8"/>
        <v>7.8130605447998658E-2</v>
      </c>
      <c r="G25" s="26">
        <f t="shared" si="8"/>
        <v>8.206839774331566E-2</v>
      </c>
      <c r="H25" s="26">
        <f t="shared" si="8"/>
        <v>9.4264230933596482E-2</v>
      </c>
      <c r="I25" s="26">
        <f t="shared" si="8"/>
        <v>8.9191478279219347E-2</v>
      </c>
      <c r="J25" s="26">
        <f t="shared" si="8"/>
        <v>7.1857611147098821E-2</v>
      </c>
      <c r="K25" s="26">
        <f t="shared" si="8"/>
        <v>6.2760359065103591E-2</v>
      </c>
      <c r="L25" s="26">
        <f t="shared" si="8"/>
        <v>5.2891208678743216E-2</v>
      </c>
      <c r="M25" s="26">
        <f t="shared" si="8"/>
        <v>5.2700465796666283E-2</v>
      </c>
    </row>
    <row r="27" spans="2:13" x14ac:dyDescent="0.25">
      <c r="B27" s="2" t="s">
        <v>96</v>
      </c>
      <c r="C27" s="27">
        <f>IFERROR(C18-SUM(C21,C24),0)</f>
        <v>16795.38999999997</v>
      </c>
      <c r="D27" s="27">
        <f t="shared" ref="D27:M27" si="9">IFERROR(D18-SUM(D21,D24),0)</f>
        <v>7445.690000000046</v>
      </c>
      <c r="E27" s="27">
        <f t="shared" si="9"/>
        <v>5222.299999999992</v>
      </c>
      <c r="F27" s="27">
        <f t="shared" si="9"/>
        <v>-4684.8999999999796</v>
      </c>
      <c r="G27" s="27">
        <f t="shared" si="9"/>
        <v>-10681.690000000039</v>
      </c>
      <c r="H27" s="27">
        <f t="shared" si="9"/>
        <v>643.549999999992</v>
      </c>
      <c r="I27" s="27">
        <f t="shared" si="9"/>
        <v>-9427.4599999999882</v>
      </c>
      <c r="J27" s="27">
        <f t="shared" si="9"/>
        <v>-3270.0400000000373</v>
      </c>
      <c r="K27" s="27">
        <f t="shared" si="9"/>
        <v>22991</v>
      </c>
      <c r="L27" s="27">
        <f t="shared" si="9"/>
        <v>26877</v>
      </c>
      <c r="M27" s="27">
        <f t="shared" si="9"/>
        <v>412019</v>
      </c>
    </row>
    <row r="28" spans="2:13" x14ac:dyDescent="0.25">
      <c r="B28" s="25" t="s">
        <v>97</v>
      </c>
      <c r="C28" s="26">
        <f>C27/C6</f>
        <v>6.1511300676516931E-2</v>
      </c>
      <c r="D28" s="26">
        <f t="shared" ref="D28:M28" si="10">D27/D6</f>
        <v>2.7608071132565179E-2</v>
      </c>
      <c r="E28" s="26">
        <f t="shared" si="10"/>
        <v>1.7912163958707913E-2</v>
      </c>
      <c r="F28" s="26">
        <f t="shared" si="10"/>
        <v>-1.5516078776333117E-2</v>
      </c>
      <c r="G28" s="26">
        <f t="shared" si="10"/>
        <v>-4.0915360088026265E-2</v>
      </c>
      <c r="H28" s="26">
        <f t="shared" si="10"/>
        <v>2.5763151547420113E-3</v>
      </c>
      <c r="I28" s="26">
        <f t="shared" si="10"/>
        <v>-3.3856482095653805E-2</v>
      </c>
      <c r="J28" s="26">
        <f t="shared" si="10"/>
        <v>-9.4518849588445895E-3</v>
      </c>
      <c r="K28" s="26">
        <f t="shared" si="10"/>
        <v>5.2972701467227018E-2</v>
      </c>
      <c r="L28" s="26">
        <f t="shared" si="10"/>
        <v>6.1126462661617711E-2</v>
      </c>
      <c r="M28" s="26">
        <f t="shared" si="10"/>
        <v>0.93299502501081277</v>
      </c>
    </row>
    <row r="29" spans="2:13" x14ac:dyDescent="0.25">
      <c r="C29" s="27"/>
    </row>
    <row r="30" spans="2:13" x14ac:dyDescent="0.25">
      <c r="B30" s="2" t="s">
        <v>98</v>
      </c>
      <c r="C30" s="27">
        <f>IFERROR('Data Sheet'!B29,0)</f>
        <v>3025.05</v>
      </c>
      <c r="D30" s="27">
        <f>IFERROR('Data Sheet'!C29,0)</f>
        <v>3251.23</v>
      </c>
      <c r="E30" s="27">
        <f>IFERROR('Data Sheet'!D29,0)</f>
        <v>4341.93</v>
      </c>
      <c r="F30" s="27">
        <f>IFERROR('Data Sheet'!E29,0)</f>
        <v>-2437.4499999999998</v>
      </c>
      <c r="G30" s="27">
        <f>IFERROR('Data Sheet'!F29,0)</f>
        <v>395.25</v>
      </c>
      <c r="H30" s="27">
        <f>IFERROR('Data Sheet'!G29,0)</f>
        <v>2541.86</v>
      </c>
      <c r="I30" s="27">
        <f>IFERROR('Data Sheet'!H29,0)</f>
        <v>4231.29</v>
      </c>
      <c r="J30" s="27">
        <f>IFERROR('Data Sheet'!I29,0)</f>
        <v>704.06</v>
      </c>
      <c r="K30" s="34">
        <f>IFERROR('Data Sheet'!J29,0)</f>
        <v>-4024</v>
      </c>
      <c r="L30" s="27">
        <f>IFERROR('Data Sheet'!K29,0)</f>
        <v>10502</v>
      </c>
      <c r="M30" s="27">
        <f>IFERROR(SUM('Data Sheet'!H48:K48),0)</f>
        <v>10563</v>
      </c>
    </row>
    <row r="31" spans="2:13" x14ac:dyDescent="0.25">
      <c r="B31" s="25" t="s">
        <v>99</v>
      </c>
      <c r="C31" s="26">
        <f>C30/C27</f>
        <v>0.18011192356950362</v>
      </c>
      <c r="D31" s="26">
        <f t="shared" ref="D31:M31" si="11">D30/D27</f>
        <v>0.43665932908836924</v>
      </c>
      <c r="E31" s="26">
        <f t="shared" si="11"/>
        <v>0.8314210213890445</v>
      </c>
      <c r="F31" s="26">
        <f t="shared" si="11"/>
        <v>0.52027791414971725</v>
      </c>
      <c r="G31" s="26">
        <f t="shared" si="11"/>
        <v>-3.7002571690434617E-2</v>
      </c>
      <c r="H31" s="26">
        <f t="shared" si="11"/>
        <v>3.9497474943672315</v>
      </c>
      <c r="I31" s="26">
        <f t="shared" si="11"/>
        <v>-0.4488260888935095</v>
      </c>
      <c r="J31" s="26">
        <f t="shared" si="11"/>
        <v>-0.21530623478611635</v>
      </c>
      <c r="K31" s="26">
        <f t="shared" si="11"/>
        <v>-0.17502500978643817</v>
      </c>
      <c r="L31" s="26">
        <f t="shared" si="11"/>
        <v>0.39074301447334153</v>
      </c>
      <c r="M31" s="26">
        <f t="shared" si="11"/>
        <v>2.5637167218016645E-2</v>
      </c>
    </row>
    <row r="33" spans="1:13" x14ac:dyDescent="0.25">
      <c r="B33" s="2" t="s">
        <v>100</v>
      </c>
      <c r="C33" s="27">
        <f>C27-C30</f>
        <v>13770.339999999971</v>
      </c>
      <c r="D33" s="27">
        <f t="shared" ref="D33:M33" si="12">D27-D30</f>
        <v>4194.4600000000464</v>
      </c>
      <c r="E33" s="27">
        <f t="shared" si="12"/>
        <v>880.36999999999171</v>
      </c>
      <c r="F33" s="27">
        <f t="shared" si="12"/>
        <v>-2247.4499999999798</v>
      </c>
      <c r="G33" s="27">
        <f t="shared" si="12"/>
        <v>-11076.940000000039</v>
      </c>
      <c r="H33" s="27">
        <f t="shared" si="12"/>
        <v>-1898.3100000000081</v>
      </c>
      <c r="I33" s="27">
        <f t="shared" si="12"/>
        <v>-13658.749999999989</v>
      </c>
      <c r="J33" s="27">
        <f t="shared" si="12"/>
        <v>-3974.1000000000372</v>
      </c>
      <c r="K33" s="34">
        <f t="shared" si="12"/>
        <v>27015</v>
      </c>
      <c r="L33" s="27">
        <f t="shared" si="12"/>
        <v>16375</v>
      </c>
      <c r="M33" s="27">
        <f t="shared" si="12"/>
        <v>401456</v>
      </c>
    </row>
    <row r="34" spans="1:13" x14ac:dyDescent="0.25">
      <c r="B34" s="25" t="s">
        <v>101</v>
      </c>
      <c r="C34" s="26">
        <f>C33/C6</f>
        <v>5.0432381990407359E-2</v>
      </c>
      <c r="D34" s="26">
        <f t="shared" ref="D34:M34" si="13">D33/D6</f>
        <v>1.5552749314395296E-2</v>
      </c>
      <c r="E34" s="26">
        <f t="shared" si="13"/>
        <v>3.01961430487095E-3</v>
      </c>
      <c r="F34" s="26">
        <f t="shared" si="13"/>
        <v>-7.4434056747998256E-3</v>
      </c>
      <c r="G34" s="26">
        <f t="shared" si="13"/>
        <v>-4.2429333632923408E-2</v>
      </c>
      <c r="H34" s="26">
        <f t="shared" si="13"/>
        <v>-7.5994791724005731E-3</v>
      </c>
      <c r="I34" s="26">
        <f t="shared" si="13"/>
        <v>-4.9052154538339235E-2</v>
      </c>
      <c r="J34" s="26">
        <f t="shared" si="13"/>
        <v>-1.1486934720964945E-2</v>
      </c>
      <c r="K34" s="26">
        <f t="shared" si="13"/>
        <v>6.224424905994249E-2</v>
      </c>
      <c r="L34" s="26">
        <f t="shared" si="13"/>
        <v>3.724172437712505E-2</v>
      </c>
      <c r="M34" s="26">
        <f t="shared" si="13"/>
        <v>0.90907567554103286</v>
      </c>
    </row>
    <row r="36" spans="1:13" x14ac:dyDescent="0.25">
      <c r="B36" s="2" t="s">
        <v>65</v>
      </c>
      <c r="C36">
        <f>IFERROR('Data Sheet'!B93,0)</f>
        <v>288.72000000000003</v>
      </c>
      <c r="D36">
        <f>IFERROR('Data Sheet'!C93,0)</f>
        <v>288.73</v>
      </c>
      <c r="E36">
        <f>IFERROR('Data Sheet'!D93,0)</f>
        <v>288.73</v>
      </c>
      <c r="F36">
        <f>IFERROR('Data Sheet'!E93,0)</f>
        <v>288.73</v>
      </c>
      <c r="G36">
        <f>IFERROR('Data Sheet'!F93,0)</f>
        <v>308.89999999999998</v>
      </c>
      <c r="H36">
        <f>IFERROR('Data Sheet'!G93,0)</f>
        <v>332.03</v>
      </c>
      <c r="I36">
        <f>IFERROR('Data Sheet'!H93,0)</f>
        <v>332.07</v>
      </c>
      <c r="J36">
        <f>IFERROR('Data Sheet'!I93,0)</f>
        <v>332.13</v>
      </c>
      <c r="K36">
        <f>IFERROR('Data Sheet'!J93,0)</f>
        <v>332.37</v>
      </c>
      <c r="L36">
        <f>IFERROR('Data Sheet'!K93,0)</f>
        <v>368.13</v>
      </c>
      <c r="M36">
        <f>IFERROR('Data Sheet'!L93,0)</f>
        <v>0</v>
      </c>
    </row>
    <row r="38" spans="1:13" x14ac:dyDescent="0.25">
      <c r="B38" s="2" t="s">
        <v>102</v>
      </c>
      <c r="C38" s="27">
        <f>IFERROR(C33/C36,0)</f>
        <v>47.694444444444336</v>
      </c>
      <c r="D38" s="27">
        <f t="shared" ref="D38:M38" si="14">IFERROR(D33/D36,0)</f>
        <v>14.527274616423808</v>
      </c>
      <c r="E38" s="27">
        <f t="shared" si="14"/>
        <v>3.049111626779315</v>
      </c>
      <c r="F38" s="27">
        <f t="shared" si="14"/>
        <v>-7.7839157690575265</v>
      </c>
      <c r="G38" s="27">
        <f t="shared" si="14"/>
        <v>-35.859307219164904</v>
      </c>
      <c r="H38" s="27">
        <f t="shared" si="14"/>
        <v>-5.7172845827184542</v>
      </c>
      <c r="I38" s="27">
        <f t="shared" si="14"/>
        <v>-41.132140813683833</v>
      </c>
      <c r="J38" s="27">
        <f t="shared" si="14"/>
        <v>-11.965495438533218</v>
      </c>
      <c r="K38" s="34">
        <f t="shared" si="14"/>
        <v>81.279898907843673</v>
      </c>
      <c r="L38" s="27">
        <f t="shared" si="14"/>
        <v>44.481569010947219</v>
      </c>
      <c r="M38" s="27">
        <f t="shared" si="14"/>
        <v>0</v>
      </c>
    </row>
    <row r="39" spans="1:13" x14ac:dyDescent="0.25">
      <c r="B39" s="25" t="s">
        <v>104</v>
      </c>
      <c r="C39" s="27"/>
      <c r="D39" s="26">
        <f>IFERROR(D38/C38-1,0)</f>
        <v>-0.69540950134463697</v>
      </c>
      <c r="E39" s="26">
        <f t="shared" ref="E39:M39" si="15">IFERROR(E38/D38-1,0)</f>
        <v>-0.79011124197155724</v>
      </c>
      <c r="F39" s="26">
        <f t="shared" si="15"/>
        <v>-3.5528470983790919</v>
      </c>
      <c r="G39" s="26">
        <f t="shared" si="15"/>
        <v>3.6068467700681115</v>
      </c>
      <c r="H39" s="26">
        <f t="shared" si="15"/>
        <v>-0.84056344011958861</v>
      </c>
      <c r="I39" s="26">
        <f t="shared" si="15"/>
        <v>6.194349033807641</v>
      </c>
      <c r="J39" s="26">
        <f t="shared" si="15"/>
        <v>-0.70909621522659627</v>
      </c>
      <c r="K39" s="26">
        <f t="shared" si="15"/>
        <v>-7.7928569548481077</v>
      </c>
      <c r="L39" s="26">
        <f t="shared" si="15"/>
        <v>-0.45273592107464278</v>
      </c>
      <c r="M39" s="26">
        <f t="shared" si="15"/>
        <v>-1</v>
      </c>
    </row>
    <row r="41" spans="1:13" x14ac:dyDescent="0.25">
      <c r="B41" s="2" t="s">
        <v>103</v>
      </c>
      <c r="C41" s="27">
        <f>IFERROR('Data Sheet'!B31,0)</f>
        <v>67.92</v>
      </c>
      <c r="D41" s="27">
        <f>IFERROR('Data Sheet'!C31,0)</f>
        <v>0</v>
      </c>
      <c r="E41" s="27">
        <f>IFERROR('Data Sheet'!D31,0)</f>
        <v>0</v>
      </c>
      <c r="F41" s="27">
        <f>IFERROR('Data Sheet'!E31,0)</f>
        <v>0</v>
      </c>
      <c r="G41" s="27">
        <f>IFERROR('Data Sheet'!F31,0)</f>
        <v>0</v>
      </c>
      <c r="H41" s="27">
        <f>IFERROR('Data Sheet'!G31,0)</f>
        <v>0</v>
      </c>
      <c r="I41" s="27">
        <f>IFERROR('Data Sheet'!H31,0)</f>
        <v>0</v>
      </c>
      <c r="J41" s="27">
        <f>IFERROR('Data Sheet'!I31,0)</f>
        <v>766.02</v>
      </c>
      <c r="K41" s="34">
        <f>IFERROR('Data Sheet'!J31,0)</f>
        <v>2301</v>
      </c>
      <c r="L41" s="27">
        <f>IFERROR('Data Sheet'!K31,0)</f>
        <v>2208</v>
      </c>
      <c r="M41" s="27">
        <f>IFERROR('Data Sheet'!L31,0)</f>
        <v>0</v>
      </c>
    </row>
    <row r="42" spans="1:13" x14ac:dyDescent="0.25">
      <c r="B42" s="25" t="s">
        <v>105</v>
      </c>
      <c r="C42" s="26">
        <f>IFERROR(C41/C38,0)</f>
        <v>1.4240652300524204</v>
      </c>
      <c r="D42" s="26">
        <f t="shared" ref="D42:M42" si="16">IFERROR(D41/D38,0)</f>
        <v>0</v>
      </c>
      <c r="E42" s="26">
        <f t="shared" si="16"/>
        <v>0</v>
      </c>
      <c r="F42" s="26">
        <f t="shared" si="16"/>
        <v>0</v>
      </c>
      <c r="G42" s="26">
        <f t="shared" si="16"/>
        <v>0</v>
      </c>
      <c r="H42" s="26">
        <f t="shared" si="16"/>
        <v>0</v>
      </c>
      <c r="I42" s="26">
        <f t="shared" si="16"/>
        <v>0</v>
      </c>
      <c r="J42" s="26">
        <f t="shared" si="16"/>
        <v>-64.019079187740019</v>
      </c>
      <c r="K42" s="26">
        <f t="shared" si="16"/>
        <v>28.309582454192114</v>
      </c>
      <c r="L42" s="26">
        <f t="shared" si="16"/>
        <v>49.638536793893131</v>
      </c>
      <c r="M42" s="26">
        <f t="shared" si="16"/>
        <v>0</v>
      </c>
    </row>
    <row r="44" spans="1:13" x14ac:dyDescent="0.25">
      <c r="B44" s="2" t="s">
        <v>106</v>
      </c>
      <c r="C44" s="5">
        <f>IFERROR(IF(C38&gt;C41,1-C42,0),0)</f>
        <v>0</v>
      </c>
      <c r="D44" s="5">
        <f>IFERROR(IF(D38&gt;D41,1-D42,0),0)</f>
        <v>1</v>
      </c>
      <c r="E44" s="5">
        <f t="shared" ref="E44:M44" si="17">IFERROR(IF(E38&gt;E41,1-E42,0),0)</f>
        <v>1</v>
      </c>
      <c r="F44" s="5">
        <f t="shared" si="17"/>
        <v>0</v>
      </c>
      <c r="G44" s="5">
        <f t="shared" si="17"/>
        <v>0</v>
      </c>
      <c r="H44" s="5">
        <f t="shared" si="17"/>
        <v>0</v>
      </c>
      <c r="I44" s="5">
        <f t="shared" si="17"/>
        <v>0</v>
      </c>
      <c r="J44" s="5">
        <f t="shared" si="17"/>
        <v>0</v>
      </c>
      <c r="K44" s="5">
        <f t="shared" si="17"/>
        <v>0</v>
      </c>
      <c r="L44" s="5">
        <f t="shared" si="17"/>
        <v>0</v>
      </c>
      <c r="M44" s="5">
        <f t="shared" si="17"/>
        <v>0</v>
      </c>
    </row>
    <row r="46" spans="1:13" x14ac:dyDescent="0.25">
      <c r="A46" s="2" t="s">
        <v>84</v>
      </c>
      <c r="B46" s="28" t="s">
        <v>107</v>
      </c>
      <c r="C46" s="33">
        <f>'Data Sheet'!B56</f>
        <v>42460</v>
      </c>
      <c r="D46" s="33">
        <f>'Data Sheet'!C56</f>
        <v>42825</v>
      </c>
      <c r="E46" s="33">
        <f>'Data Sheet'!D56</f>
        <v>43190</v>
      </c>
      <c r="F46" s="33">
        <f>'Data Sheet'!E56</f>
        <v>43555</v>
      </c>
      <c r="G46" s="33">
        <f>'Data Sheet'!F56</f>
        <v>43921</v>
      </c>
      <c r="H46" s="33">
        <f>'Data Sheet'!G56</f>
        <v>44286</v>
      </c>
      <c r="I46" s="33">
        <f>'Data Sheet'!H56</f>
        <v>44651</v>
      </c>
      <c r="J46" s="33">
        <f>'Data Sheet'!I56</f>
        <v>45016</v>
      </c>
      <c r="K46" s="33">
        <f>'Data Sheet'!J56</f>
        <v>45382</v>
      </c>
      <c r="L46" s="33">
        <f>'Data Sheet'!K56</f>
        <v>45747</v>
      </c>
      <c r="M46" s="29"/>
    </row>
    <row r="47" spans="1:13" x14ac:dyDescent="0.25">
      <c r="B47" t="s">
        <v>24</v>
      </c>
      <c r="C47" s="27">
        <f>IFERROR('Data Sheet'!B57,0)</f>
        <v>679.18</v>
      </c>
      <c r="D47" s="27">
        <f>IFERROR('Data Sheet'!C57,0)</f>
        <v>679.22</v>
      </c>
      <c r="E47" s="27">
        <f>IFERROR('Data Sheet'!D57,0)</f>
        <v>679.22</v>
      </c>
      <c r="F47" s="27">
        <f>IFERROR('Data Sheet'!E57,0)</f>
        <v>679.22</v>
      </c>
      <c r="G47" s="27">
        <f>IFERROR('Data Sheet'!F57,0)</f>
        <v>719.54</v>
      </c>
      <c r="H47" s="27">
        <f>IFERROR('Data Sheet'!G57,0)</f>
        <v>765.81</v>
      </c>
      <c r="I47" s="27">
        <f>IFERROR('Data Sheet'!H57,0)</f>
        <v>765.88</v>
      </c>
      <c r="J47" s="27">
        <f>IFERROR('Data Sheet'!I57,0)</f>
        <v>766.02</v>
      </c>
      <c r="K47" s="34">
        <f>IFERROR('Data Sheet'!J57,0)</f>
        <v>767</v>
      </c>
      <c r="L47" s="27">
        <f>IFERROR('Data Sheet'!K57,0)</f>
        <v>736</v>
      </c>
    </row>
    <row r="48" spans="1:13" x14ac:dyDescent="0.25">
      <c r="B48" t="s">
        <v>25</v>
      </c>
      <c r="C48" s="27">
        <f>IFERROR('Data Sheet'!B58,0)</f>
        <v>78273.23</v>
      </c>
      <c r="D48" s="27">
        <f>IFERROR('Data Sheet'!C58,0)</f>
        <v>57382.67</v>
      </c>
      <c r="E48" s="27">
        <f>IFERROR('Data Sheet'!D58,0)</f>
        <v>94748.69</v>
      </c>
      <c r="F48" s="27">
        <f>IFERROR('Data Sheet'!E58,0)</f>
        <v>59500.34</v>
      </c>
      <c r="G48" s="27">
        <f>IFERROR('Data Sheet'!F58,0)</f>
        <v>62358.99</v>
      </c>
      <c r="H48" s="27">
        <f>IFERROR('Data Sheet'!G58,0)</f>
        <v>54480.91</v>
      </c>
      <c r="I48" s="27">
        <f>IFERROR('Data Sheet'!H58,0)</f>
        <v>43795.360000000001</v>
      </c>
      <c r="J48" s="27">
        <f>IFERROR('Data Sheet'!I58,0)</f>
        <v>44555.77</v>
      </c>
      <c r="K48" s="34">
        <f>IFERROR('Data Sheet'!J58,0)</f>
        <v>84151</v>
      </c>
      <c r="L48" s="27">
        <f>IFERROR('Data Sheet'!K58,0)</f>
        <v>115408</v>
      </c>
    </row>
    <row r="49" spans="2:12" x14ac:dyDescent="0.25">
      <c r="B49" t="s">
        <v>62</v>
      </c>
      <c r="C49" s="27">
        <f>IFERROR('Data Sheet'!B59,0)</f>
        <v>69359.960000000006</v>
      </c>
      <c r="D49" s="27">
        <f>IFERROR('Data Sheet'!C59,0)</f>
        <v>78603.98</v>
      </c>
      <c r="E49" s="27">
        <f>IFERROR('Data Sheet'!D59,0)</f>
        <v>88950.47</v>
      </c>
      <c r="F49" s="27">
        <f>IFERROR('Data Sheet'!E59,0)</f>
        <v>106175.34</v>
      </c>
      <c r="G49" s="27">
        <f>IFERROR('Data Sheet'!F59,0)</f>
        <v>124787.64</v>
      </c>
      <c r="H49" s="27">
        <f>IFERROR('Data Sheet'!G59,0)</f>
        <v>142130.57</v>
      </c>
      <c r="I49" s="27">
        <f>IFERROR('Data Sheet'!H59,0)</f>
        <v>146449.03</v>
      </c>
      <c r="J49" s="27">
        <f>IFERROR('Data Sheet'!I59,0)</f>
        <v>134113.44</v>
      </c>
      <c r="K49" s="34">
        <f>IFERROR('Data Sheet'!J59,0)</f>
        <v>107264</v>
      </c>
      <c r="L49" s="27">
        <f>IFERROR('Data Sheet'!K59,0)</f>
        <v>71540</v>
      </c>
    </row>
    <row r="50" spans="2:12" x14ac:dyDescent="0.25">
      <c r="B50" t="s">
        <v>63</v>
      </c>
      <c r="C50" s="27">
        <f>IFERROR('Data Sheet'!B60,0)</f>
        <v>114871.75</v>
      </c>
      <c r="D50" s="27">
        <f>IFERROR('Data Sheet'!C60,0)</f>
        <v>135914.49</v>
      </c>
      <c r="E50" s="27">
        <f>IFERROR('Data Sheet'!D60,0)</f>
        <v>142813.43</v>
      </c>
      <c r="F50" s="27">
        <f>IFERROR('Data Sheet'!E60,0)</f>
        <v>139348.59</v>
      </c>
      <c r="G50" s="27">
        <f>IFERROR('Data Sheet'!F60,0)</f>
        <v>132313.22</v>
      </c>
      <c r="H50" s="27">
        <f>IFERROR('Data Sheet'!G60,0)</f>
        <v>144192.62</v>
      </c>
      <c r="I50" s="27">
        <f>IFERROR('Data Sheet'!H60,0)</f>
        <v>138051.22</v>
      </c>
      <c r="J50" s="27">
        <f>IFERROR('Data Sheet'!I60,0)</f>
        <v>155239.20000000001</v>
      </c>
      <c r="K50" s="34">
        <f>IFERROR('Data Sheet'!J60,0)</f>
        <v>177339</v>
      </c>
      <c r="L50" s="27">
        <f>IFERROR('Data Sheet'!K60,0)</f>
        <v>189289</v>
      </c>
    </row>
    <row r="51" spans="2:12" x14ac:dyDescent="0.25">
      <c r="B51" s="2" t="s">
        <v>108</v>
      </c>
      <c r="C51" s="35">
        <f>SUM(C47:C50)</f>
        <v>263184.12</v>
      </c>
      <c r="D51" s="35">
        <f t="shared" ref="D51:L51" si="18">SUM(D47:D50)</f>
        <v>272580.36</v>
      </c>
      <c r="E51" s="35">
        <f t="shared" si="18"/>
        <v>327191.81</v>
      </c>
      <c r="F51" s="35">
        <f t="shared" si="18"/>
        <v>305703.49</v>
      </c>
      <c r="G51" s="35">
        <f t="shared" si="18"/>
        <v>320179.39</v>
      </c>
      <c r="H51" s="35">
        <f t="shared" si="18"/>
        <v>341569.91000000003</v>
      </c>
      <c r="I51" s="35">
        <f t="shared" si="18"/>
        <v>329061.49</v>
      </c>
      <c r="J51" s="35">
        <f t="shared" si="18"/>
        <v>334674.43</v>
      </c>
      <c r="K51" s="35">
        <f t="shared" si="18"/>
        <v>369521</v>
      </c>
      <c r="L51" s="35">
        <f t="shared" si="18"/>
        <v>376973</v>
      </c>
    </row>
    <row r="52" spans="2:12" x14ac:dyDescent="0.25">
      <c r="B52" s="2"/>
    </row>
    <row r="53" spans="2:12" x14ac:dyDescent="0.25">
      <c r="B53" t="s">
        <v>109</v>
      </c>
      <c r="C53" s="27">
        <f>IFERROR('Data Sheet'!B62,0)</f>
        <v>107231.76</v>
      </c>
      <c r="D53" s="27">
        <f>IFERROR('Data Sheet'!C62,0)</f>
        <v>95944.08</v>
      </c>
      <c r="E53" s="27">
        <f>IFERROR('Data Sheet'!D62,0)</f>
        <v>121413.86</v>
      </c>
      <c r="F53" s="27">
        <f>IFERROR('Data Sheet'!E62,0)</f>
        <v>111234.47</v>
      </c>
      <c r="G53" s="27">
        <f>IFERROR('Data Sheet'!F62,0)</f>
        <v>127107.14</v>
      </c>
      <c r="H53" s="27">
        <f>IFERROR('Data Sheet'!G62,0)</f>
        <v>138707.60999999999</v>
      </c>
      <c r="I53" s="27">
        <f>IFERROR('Data Sheet'!H62,0)</f>
        <v>138855.45000000001</v>
      </c>
      <c r="J53" s="27">
        <f>IFERROR('Data Sheet'!I62,0)</f>
        <v>132079.76</v>
      </c>
      <c r="K53" s="34">
        <f>IFERROR('Data Sheet'!J62,0)</f>
        <v>121285</v>
      </c>
      <c r="L53" s="27">
        <f>IFERROR('Data Sheet'!K62,0)</f>
        <v>115697</v>
      </c>
    </row>
    <row r="54" spans="2:12" x14ac:dyDescent="0.25">
      <c r="B54" t="s">
        <v>28</v>
      </c>
      <c r="C54" s="27">
        <f>IFERROR('Data Sheet'!B63,0)</f>
        <v>25918.94</v>
      </c>
      <c r="D54" s="27">
        <f>IFERROR('Data Sheet'!C63,0)</f>
        <v>33698.839999999997</v>
      </c>
      <c r="E54" s="27">
        <f>IFERROR('Data Sheet'!D63,0)</f>
        <v>40033.5</v>
      </c>
      <c r="F54" s="27">
        <f>IFERROR('Data Sheet'!E63,0)</f>
        <v>31883.84</v>
      </c>
      <c r="G54" s="27">
        <f>IFERROR('Data Sheet'!F63,0)</f>
        <v>35622.29</v>
      </c>
      <c r="H54" s="27">
        <f>IFERROR('Data Sheet'!G63,0)</f>
        <v>20963.93</v>
      </c>
      <c r="I54" s="27">
        <f>IFERROR('Data Sheet'!H63,0)</f>
        <v>10251.09</v>
      </c>
      <c r="J54" s="27">
        <f>IFERROR('Data Sheet'!I63,0)</f>
        <v>14274.5</v>
      </c>
      <c r="K54" s="34">
        <f>IFERROR('Data Sheet'!J63,0)</f>
        <v>35698</v>
      </c>
      <c r="L54" s="27">
        <f>IFERROR('Data Sheet'!K63,0)</f>
        <v>65806</v>
      </c>
    </row>
    <row r="55" spans="2:12" x14ac:dyDescent="0.25">
      <c r="B55" t="s">
        <v>29</v>
      </c>
      <c r="C55" s="27">
        <f>IFERROR('Data Sheet'!B64,0)</f>
        <v>23767.02</v>
      </c>
      <c r="D55" s="27">
        <f>IFERROR('Data Sheet'!C64,0)</f>
        <v>20337.919999999998</v>
      </c>
      <c r="E55" s="27">
        <f>IFERROR('Data Sheet'!D64,0)</f>
        <v>20812.75</v>
      </c>
      <c r="F55" s="27">
        <f>IFERROR('Data Sheet'!E64,0)</f>
        <v>15770.72</v>
      </c>
      <c r="G55" s="27">
        <f>IFERROR('Data Sheet'!F64,0)</f>
        <v>16308.48</v>
      </c>
      <c r="H55" s="27">
        <f>IFERROR('Data Sheet'!G64,0)</f>
        <v>24620.28</v>
      </c>
      <c r="I55" s="27">
        <f>IFERROR('Data Sheet'!H64,0)</f>
        <v>29379.53</v>
      </c>
      <c r="J55" s="27">
        <f>IFERROR('Data Sheet'!I64,0)</f>
        <v>26379.16</v>
      </c>
      <c r="K55" s="34">
        <f>IFERROR('Data Sheet'!J64,0)</f>
        <v>22971</v>
      </c>
      <c r="L55" s="27">
        <f>IFERROR('Data Sheet'!K64,0)</f>
        <v>35656</v>
      </c>
    </row>
    <row r="56" spans="2:12" x14ac:dyDescent="0.25">
      <c r="B56" t="s">
        <v>64</v>
      </c>
      <c r="C56" s="27">
        <f>IFERROR('Data Sheet'!B65-SUM('Data Sheet'!B67:B69),0)</f>
        <v>29579.359999999986</v>
      </c>
      <c r="D56" s="27">
        <f>IFERROR('Data Sheet'!C65-SUM('Data Sheet'!C67:C69),0)</f>
        <v>37360.780000000013</v>
      </c>
      <c r="E56" s="27">
        <f>IFERROR('Data Sheet'!D65-SUM('Data Sheet'!D67:D69),0)</f>
        <v>48286.860000000015</v>
      </c>
      <c r="F56" s="27">
        <f>IFERROR('Data Sheet'!E65-SUM('Data Sheet'!E67:E69),0)</f>
        <v>56155.739999999991</v>
      </c>
      <c r="G56" s="27">
        <f>IFERROR('Data Sheet'!F65-SUM('Data Sheet'!F67:F69),0)</f>
        <v>58784.94</v>
      </c>
      <c r="H56" s="27">
        <f>IFERROR('Data Sheet'!G65-SUM('Data Sheet'!G67:G69),0)</f>
        <v>61717.959999999992</v>
      </c>
      <c r="I56" s="27">
        <f>IFERROR('Data Sheet'!H65-SUM('Data Sheet'!H67:H69),0)</f>
        <v>62223.770000000019</v>
      </c>
      <c r="J56" s="27">
        <f>IFERROR('Data Sheet'!I65-SUM('Data Sheet'!I67:I69),0)</f>
        <v>68432.090000000011</v>
      </c>
      <c r="K56" s="34">
        <f>IFERROR('Data Sheet'!J65-SUM('Data Sheet'!J67:J69),0)</f>
        <v>79020</v>
      </c>
      <c r="L56" s="27">
        <f>IFERROR('Data Sheet'!K65-SUM('Data Sheet'!K67:K69),0)</f>
        <v>58463</v>
      </c>
    </row>
    <row r="57" spans="2:12" x14ac:dyDescent="0.25">
      <c r="B57" s="2" t="s">
        <v>110</v>
      </c>
      <c r="C57" s="35">
        <f>SUM(C53:C56)</f>
        <v>186497.07999999996</v>
      </c>
      <c r="D57" s="35">
        <f t="shared" ref="D57:L57" si="19">SUM(D53:D56)</f>
        <v>187341.62</v>
      </c>
      <c r="E57" s="35">
        <f t="shared" si="19"/>
        <v>230546.97</v>
      </c>
      <c r="F57" s="35">
        <f t="shared" si="19"/>
        <v>215044.77</v>
      </c>
      <c r="G57" s="35">
        <f t="shared" si="19"/>
        <v>237822.85</v>
      </c>
      <c r="H57" s="35">
        <f t="shared" si="19"/>
        <v>246009.77999999997</v>
      </c>
      <c r="I57" s="35">
        <f t="shared" si="19"/>
        <v>240709.84000000003</v>
      </c>
      <c r="J57" s="35">
        <f t="shared" si="19"/>
        <v>241165.51</v>
      </c>
      <c r="K57" s="35">
        <f t="shared" si="19"/>
        <v>258974</v>
      </c>
      <c r="L57" s="35">
        <f t="shared" si="19"/>
        <v>275622</v>
      </c>
    </row>
    <row r="58" spans="2:12" x14ac:dyDescent="0.25">
      <c r="B58" s="2"/>
    </row>
    <row r="59" spans="2:12" x14ac:dyDescent="0.25">
      <c r="B59" t="s">
        <v>69</v>
      </c>
      <c r="C59" s="27">
        <f>IFERROR('Data Sheet'!B67,0)</f>
        <v>13570.91</v>
      </c>
      <c r="D59" s="27">
        <f>IFERROR('Data Sheet'!C67,0)</f>
        <v>14075.55</v>
      </c>
      <c r="E59" s="27">
        <f>IFERROR('Data Sheet'!D67,0)</f>
        <v>19893.3</v>
      </c>
      <c r="F59" s="27">
        <f>IFERROR('Data Sheet'!E67,0)</f>
        <v>18996.169999999998</v>
      </c>
      <c r="G59" s="27">
        <f>IFERROR('Data Sheet'!F67,0)</f>
        <v>11172.69</v>
      </c>
      <c r="H59" s="27">
        <f>IFERROR('Data Sheet'!G67,0)</f>
        <v>12679.08</v>
      </c>
      <c r="I59" s="27">
        <f>IFERROR('Data Sheet'!H67,0)</f>
        <v>12442.12</v>
      </c>
      <c r="J59" s="27">
        <f>IFERROR('Data Sheet'!I67,0)</f>
        <v>15737.97</v>
      </c>
      <c r="K59" s="34">
        <f>IFERROR('Data Sheet'!J67,0)</f>
        <v>16952</v>
      </c>
      <c r="L59" s="27">
        <f>IFERROR('Data Sheet'!K67,0)</f>
        <v>13248</v>
      </c>
    </row>
    <row r="60" spans="2:12" x14ac:dyDescent="0.25">
      <c r="B60" t="s">
        <v>45</v>
      </c>
      <c r="C60" s="27">
        <f>IFERROR('Data Sheet'!B68,0)</f>
        <v>32655.73</v>
      </c>
      <c r="D60" s="27">
        <f>IFERROR('Data Sheet'!C68,0)</f>
        <v>35085.31</v>
      </c>
      <c r="E60" s="27">
        <f>IFERROR('Data Sheet'!D68,0)</f>
        <v>42137.63</v>
      </c>
      <c r="F60" s="27">
        <f>IFERROR('Data Sheet'!E68,0)</f>
        <v>39013.730000000003</v>
      </c>
      <c r="G60" s="27">
        <f>IFERROR('Data Sheet'!F68,0)</f>
        <v>37456.879999999997</v>
      </c>
      <c r="H60" s="27">
        <f>IFERROR('Data Sheet'!G68,0)</f>
        <v>36088.589999999997</v>
      </c>
      <c r="I60" s="27">
        <f>IFERROR('Data Sheet'!H68,0)</f>
        <v>35240.339999999997</v>
      </c>
      <c r="J60" s="27">
        <f>IFERROR('Data Sheet'!I68,0)</f>
        <v>40755.39</v>
      </c>
      <c r="K60" s="34">
        <f>IFERROR('Data Sheet'!J68,0)</f>
        <v>47788</v>
      </c>
      <c r="L60" s="27">
        <f>IFERROR('Data Sheet'!K68,0)</f>
        <v>47269</v>
      </c>
    </row>
    <row r="61" spans="2:12" x14ac:dyDescent="0.25">
      <c r="B61" t="s">
        <v>78</v>
      </c>
      <c r="C61" s="27">
        <f>IFERROR('Data Sheet'!B69,0)</f>
        <v>30460.400000000001</v>
      </c>
      <c r="D61" s="27">
        <f>IFERROR('Data Sheet'!C69,0)</f>
        <v>36077.879999999997</v>
      </c>
      <c r="E61" s="27">
        <f>IFERROR('Data Sheet'!D69,0)</f>
        <v>34613.910000000003</v>
      </c>
      <c r="F61" s="27">
        <f>IFERROR('Data Sheet'!E69,0)</f>
        <v>32648.82</v>
      </c>
      <c r="G61" s="27">
        <f>IFERROR('Data Sheet'!F69,0)</f>
        <v>33726.97</v>
      </c>
      <c r="H61" s="27">
        <f>IFERROR('Data Sheet'!G69,0)</f>
        <v>46792.46</v>
      </c>
      <c r="I61" s="27">
        <f>IFERROR('Data Sheet'!H69,0)</f>
        <v>40669.19</v>
      </c>
      <c r="J61" s="27">
        <f>IFERROR('Data Sheet'!I69,0)</f>
        <v>37015.56</v>
      </c>
      <c r="K61" s="34">
        <f>IFERROR('Data Sheet'!J69,0)</f>
        <v>45807</v>
      </c>
      <c r="L61" s="27">
        <f>IFERROR('Data Sheet'!K69,0)</f>
        <v>40834</v>
      </c>
    </row>
    <row r="62" spans="2:12" x14ac:dyDescent="0.25">
      <c r="B62" s="2" t="s">
        <v>111</v>
      </c>
      <c r="C62" s="35">
        <f>SUM(C59:C61)</f>
        <v>76687.040000000008</v>
      </c>
      <c r="D62" s="35">
        <f t="shared" ref="D62:K62" si="20">SUM(D59:D61)</f>
        <v>85238.739999999991</v>
      </c>
      <c r="E62" s="35">
        <f t="shared" si="20"/>
        <v>96644.84</v>
      </c>
      <c r="F62" s="35">
        <f t="shared" si="20"/>
        <v>90658.72</v>
      </c>
      <c r="G62" s="35">
        <f t="shared" si="20"/>
        <v>82356.540000000008</v>
      </c>
      <c r="H62" s="35">
        <f t="shared" si="20"/>
        <v>95560.13</v>
      </c>
      <c r="I62" s="35">
        <f t="shared" si="20"/>
        <v>88351.65</v>
      </c>
      <c r="J62" s="35">
        <f t="shared" si="20"/>
        <v>93508.92</v>
      </c>
      <c r="K62" s="35">
        <f t="shared" si="20"/>
        <v>110547</v>
      </c>
      <c r="L62" s="35">
        <f>SUM(L59:L61)</f>
        <v>101351</v>
      </c>
    </row>
    <row r="64" spans="2:12" x14ac:dyDescent="0.25">
      <c r="B64" s="2" t="s">
        <v>112</v>
      </c>
      <c r="C64" s="35">
        <f>SUM(C57,C62)</f>
        <v>263184.12</v>
      </c>
      <c r="D64" s="35">
        <f t="shared" ref="D64:L64" si="21">SUM(D57,D62)</f>
        <v>272580.36</v>
      </c>
      <c r="E64" s="35">
        <f t="shared" si="21"/>
        <v>327191.81</v>
      </c>
      <c r="F64" s="35">
        <f t="shared" si="21"/>
        <v>305703.49</v>
      </c>
      <c r="G64" s="35">
        <f t="shared" si="21"/>
        <v>320179.39</v>
      </c>
      <c r="H64" s="35">
        <f t="shared" si="21"/>
        <v>341569.91</v>
      </c>
      <c r="I64" s="35">
        <f t="shared" si="21"/>
        <v>329061.49</v>
      </c>
      <c r="J64" s="35">
        <f t="shared" si="21"/>
        <v>334674.43</v>
      </c>
      <c r="K64" s="35">
        <f t="shared" si="21"/>
        <v>369521</v>
      </c>
      <c r="L64" s="35">
        <f t="shared" si="21"/>
        <v>376973</v>
      </c>
    </row>
    <row r="66" spans="1:13" x14ac:dyDescent="0.25">
      <c r="B66" s="25" t="s">
        <v>113</v>
      </c>
      <c r="C66" s="26" t="b">
        <f>C64=C51</f>
        <v>1</v>
      </c>
      <c r="D66" s="26" t="b">
        <f t="shared" ref="D66:L66" si="22">D64=D51</f>
        <v>1</v>
      </c>
      <c r="E66" s="26" t="b">
        <f t="shared" si="22"/>
        <v>1</v>
      </c>
      <c r="F66" s="26" t="b">
        <f t="shared" si="22"/>
        <v>1</v>
      </c>
      <c r="G66" s="26" t="b">
        <f t="shared" si="22"/>
        <v>1</v>
      </c>
      <c r="H66" s="26" t="b">
        <f t="shared" si="22"/>
        <v>1</v>
      </c>
      <c r="I66" s="26" t="b">
        <f t="shared" si="22"/>
        <v>1</v>
      </c>
      <c r="J66" s="26" t="b">
        <f t="shared" si="22"/>
        <v>1</v>
      </c>
      <c r="K66" s="26" t="b">
        <f t="shared" si="22"/>
        <v>1</v>
      </c>
      <c r="L66" s="26" t="b">
        <f t="shared" si="22"/>
        <v>1</v>
      </c>
    </row>
    <row r="68" spans="1:13" x14ac:dyDescent="0.25">
      <c r="A68" t="s">
        <v>84</v>
      </c>
      <c r="B68" s="28" t="s">
        <v>148</v>
      </c>
      <c r="C68" s="33">
        <f>C46</f>
        <v>42460</v>
      </c>
      <c r="D68" s="33">
        <f t="shared" ref="D68:L68" si="23">D46</f>
        <v>42825</v>
      </c>
      <c r="E68" s="33">
        <f t="shared" si="23"/>
        <v>43190</v>
      </c>
      <c r="F68" s="33">
        <f t="shared" si="23"/>
        <v>43555</v>
      </c>
      <c r="G68" s="33">
        <f t="shared" si="23"/>
        <v>43921</v>
      </c>
      <c r="H68" s="33">
        <f t="shared" si="23"/>
        <v>44286</v>
      </c>
      <c r="I68" s="33">
        <f t="shared" si="23"/>
        <v>44651</v>
      </c>
      <c r="J68" s="33">
        <f t="shared" si="23"/>
        <v>45016</v>
      </c>
      <c r="K68" s="33">
        <f t="shared" si="23"/>
        <v>45382</v>
      </c>
      <c r="L68" s="33">
        <f t="shared" si="23"/>
        <v>45747</v>
      </c>
      <c r="M68" s="29"/>
    </row>
    <row r="69" spans="1:13" x14ac:dyDescent="0.25">
      <c r="B69" s="2" t="s">
        <v>143</v>
      </c>
    </row>
    <row r="70" spans="1:13" x14ac:dyDescent="0.25">
      <c r="B70" s="2" t="s">
        <v>115</v>
      </c>
      <c r="C70" s="52">
        <f>IFERROR('Cash flow Statement'!E4,0)</f>
        <v>38626</v>
      </c>
      <c r="D70" s="52">
        <f>IFERROR('Cash flow Statement'!F4,0)</f>
        <v>28840</v>
      </c>
      <c r="E70" s="52">
        <f>IFERROR('Cash flow Statement'!G4,0)</f>
        <v>33312</v>
      </c>
      <c r="F70" s="52">
        <f>IFERROR('Cash flow Statement'!H4,0)</f>
        <v>28771</v>
      </c>
      <c r="G70" s="52">
        <f>IFERROR('Cash flow Statement'!I4,0)</f>
        <v>23352</v>
      </c>
      <c r="H70" s="52">
        <f>IFERROR('Cash flow Statement'!J4,0)</f>
        <v>31198</v>
      </c>
      <c r="I70" s="52">
        <f>IFERROR('Cash flow Statement'!K4,0)</f>
        <v>26943</v>
      </c>
      <c r="J70" s="52">
        <f>IFERROR('Cash flow Statement'!L4,0)</f>
        <v>41694</v>
      </c>
      <c r="K70" s="52">
        <f>IFERROR('Cash flow Statement'!M4,0)</f>
        <v>65106</v>
      </c>
      <c r="L70" s="52">
        <f>IFERROR('Cash flow Statement'!N4,0)</f>
        <v>58937</v>
      </c>
    </row>
    <row r="71" spans="1:13" x14ac:dyDescent="0.25">
      <c r="B71" t="s">
        <v>69</v>
      </c>
      <c r="C71" s="51">
        <f>IFERROR('Cash flow Statement'!E5,0)</f>
        <v>-2223</v>
      </c>
      <c r="D71" s="51">
        <f>IFERROR('Cash flow Statement'!F5,0)</f>
        <v>-4152</v>
      </c>
      <c r="E71" s="51">
        <f>IFERROR('Cash flow Statement'!G5,0)</f>
        <v>-10688</v>
      </c>
      <c r="F71" s="51">
        <f>IFERROR('Cash flow Statement'!H5,0)</f>
        <v>-9109</v>
      </c>
      <c r="G71" s="51">
        <f>IFERROR('Cash flow Statement'!I5,0)</f>
        <v>9950</v>
      </c>
      <c r="H71" s="51">
        <f>IFERROR('Cash flow Statement'!J5,0)</f>
        <v>-5505</v>
      </c>
      <c r="I71" s="51">
        <f>IFERROR('Cash flow Statement'!K5,0)</f>
        <v>185</v>
      </c>
      <c r="J71" s="51">
        <f>IFERROR('Cash flow Statement'!L5,0)</f>
        <v>-2213</v>
      </c>
      <c r="K71" s="51">
        <f>IFERROR('Cash flow Statement'!M5,0)</f>
        <v>-1876</v>
      </c>
      <c r="L71" s="51">
        <f>IFERROR('Cash flow Statement'!N5,0)</f>
        <v>3573</v>
      </c>
    </row>
    <row r="72" spans="1:13" x14ac:dyDescent="0.25">
      <c r="B72" t="s">
        <v>45</v>
      </c>
      <c r="C72" s="51">
        <f>IFERROR('Cash flow Statement'!E6,0)</f>
        <v>-5743</v>
      </c>
      <c r="D72" s="51">
        <f>IFERROR('Cash flow Statement'!F6,0)</f>
        <v>-6621</v>
      </c>
      <c r="E72" s="51">
        <f>IFERROR('Cash flow Statement'!G6,0)</f>
        <v>-3560</v>
      </c>
      <c r="F72" s="51">
        <f>IFERROR('Cash flow Statement'!H6,0)</f>
        <v>2069</v>
      </c>
      <c r="G72" s="51">
        <f>IFERROR('Cash flow Statement'!I6,0)</f>
        <v>2326</v>
      </c>
      <c r="H72" s="51">
        <f>IFERROR('Cash flow Statement'!J6,0)</f>
        <v>3814</v>
      </c>
      <c r="I72" s="51">
        <f>IFERROR('Cash flow Statement'!K6,0)</f>
        <v>472</v>
      </c>
      <c r="J72" s="51">
        <f>IFERROR('Cash flow Statement'!L6,0)</f>
        <v>-5665</v>
      </c>
      <c r="K72" s="51">
        <f>IFERROR('Cash flow Statement'!M6,0)</f>
        <v>-7265</v>
      </c>
      <c r="L72" s="51">
        <f>IFERROR('Cash flow Statement'!N6,0)</f>
        <v>2127</v>
      </c>
    </row>
    <row r="73" spans="1:13" x14ac:dyDescent="0.25">
      <c r="B73" t="s">
        <v>116</v>
      </c>
      <c r="C73" s="51">
        <f>IFERROR('Cash flow Statement'!E7,0)</f>
        <v>3947</v>
      </c>
      <c r="D73" s="51">
        <f>IFERROR('Cash flow Statement'!F7,0)</f>
        <v>9301</v>
      </c>
      <c r="E73" s="51">
        <f>IFERROR('Cash flow Statement'!G7,0)</f>
        <v>7320</v>
      </c>
      <c r="F73" s="51">
        <f>IFERROR('Cash flow Statement'!H7,0)</f>
        <v>-4692</v>
      </c>
      <c r="G73" s="51">
        <f>IFERROR('Cash flow Statement'!I7,0)</f>
        <v>-8085</v>
      </c>
      <c r="H73" s="51">
        <f>IFERROR('Cash flow Statement'!J7,0)</f>
        <v>5748</v>
      </c>
      <c r="I73" s="51">
        <f>IFERROR('Cash flow Statement'!K7,0)</f>
        <v>-7012</v>
      </c>
      <c r="J73" s="51">
        <f>IFERROR('Cash flow Statement'!L7,0)</f>
        <v>6945</v>
      </c>
      <c r="K73" s="51">
        <f>IFERROR('Cash flow Statement'!M7,0)</f>
        <v>13706</v>
      </c>
      <c r="L73" s="51">
        <f>IFERROR('Cash flow Statement'!N7,0)</f>
        <v>1303</v>
      </c>
    </row>
    <row r="74" spans="1:13" x14ac:dyDescent="0.25">
      <c r="B74" t="s">
        <v>117</v>
      </c>
      <c r="C74" s="51">
        <f>IFERROR('Cash flow Statement'!E8,0)</f>
        <v>-520</v>
      </c>
      <c r="D74" s="51">
        <f>IFERROR('Cash flow Statement'!F8,0)</f>
        <v>0</v>
      </c>
      <c r="E74" s="51">
        <f>IFERROR('Cash flow Statement'!G8,0)</f>
        <v>0</v>
      </c>
      <c r="F74" s="51">
        <f>IFERROR('Cash flow Statement'!H8,0)</f>
        <v>0</v>
      </c>
      <c r="G74" s="51">
        <f>IFERROR('Cash flow Statement'!I8,0)</f>
        <v>0</v>
      </c>
      <c r="H74" s="51">
        <f>IFERROR('Cash flow Statement'!J8,0)</f>
        <v>0</v>
      </c>
      <c r="I74" s="51">
        <f>IFERROR('Cash flow Statement'!K8,0)</f>
        <v>0</v>
      </c>
      <c r="J74" s="51">
        <f>IFERROR('Cash flow Statement'!L8,0)</f>
        <v>0</v>
      </c>
      <c r="K74" s="51">
        <f>IFERROR('Cash flow Statement'!M8,0)</f>
        <v>0</v>
      </c>
      <c r="L74" s="51">
        <f>IFERROR('Cash flow Statement'!N8,0)</f>
        <v>0</v>
      </c>
    </row>
    <row r="75" spans="1:13" x14ac:dyDescent="0.25">
      <c r="B75" t="s">
        <v>118</v>
      </c>
      <c r="C75" s="51">
        <f>IFERROR('Cash flow Statement'!E9,0)</f>
        <v>5852</v>
      </c>
      <c r="D75" s="51">
        <f>IFERROR('Cash flow Statement'!F9,0)</f>
        <v>4727</v>
      </c>
      <c r="E75" s="51">
        <f>IFERROR('Cash flow Statement'!G9,0)</f>
        <v>494</v>
      </c>
      <c r="F75" s="51">
        <f>IFERROR('Cash flow Statement'!H9,0)</f>
        <v>4512</v>
      </c>
      <c r="G75" s="51">
        <f>IFERROR('Cash flow Statement'!I9,0)</f>
        <v>875</v>
      </c>
      <c r="H75" s="51">
        <f>IFERROR('Cash flow Statement'!J9,0)</f>
        <v>-4150</v>
      </c>
      <c r="I75" s="51">
        <f>IFERROR('Cash flow Statement'!K9,0)</f>
        <v>-4396</v>
      </c>
      <c r="J75" s="51">
        <f>IFERROR('Cash flow Statement'!L9,0)</f>
        <v>-2194</v>
      </c>
      <c r="K75" s="51">
        <f>IFERROR('Cash flow Statement'!M9,0)</f>
        <v>2760</v>
      </c>
      <c r="L75" s="51">
        <f>IFERROR('Cash flow Statement'!N9,0)</f>
        <v>1153</v>
      </c>
    </row>
    <row r="76" spans="1:13" x14ac:dyDescent="0.25">
      <c r="B76" s="2" t="s">
        <v>119</v>
      </c>
      <c r="C76" s="52">
        <f>IFERROR('Cash flow Statement'!E10,0)</f>
        <v>1313</v>
      </c>
      <c r="D76" s="52">
        <f>IFERROR('Cash flow Statement'!F10,0)</f>
        <v>3254</v>
      </c>
      <c r="E76" s="52">
        <f>IFERROR('Cash flow Statement'!G10,0)</f>
        <v>-6434</v>
      </c>
      <c r="F76" s="52">
        <f>IFERROR('Cash flow Statement'!H10,0)</f>
        <v>-7221</v>
      </c>
      <c r="G76" s="52">
        <f>IFERROR('Cash flow Statement'!I10,0)</f>
        <v>5065</v>
      </c>
      <c r="H76" s="52">
        <f>IFERROR('Cash flow Statement'!J10,0)</f>
        <v>-93</v>
      </c>
      <c r="I76" s="52">
        <f>IFERROR('Cash flow Statement'!K10,0)</f>
        <v>-10750</v>
      </c>
      <c r="J76" s="52">
        <f>IFERROR('Cash flow Statement'!L10,0)</f>
        <v>-3127</v>
      </c>
      <c r="K76" s="52">
        <f>IFERROR('Cash flow Statement'!M10,0)</f>
        <v>7325</v>
      </c>
      <c r="L76" s="52">
        <f>IFERROR('Cash flow Statement'!N10,0)</f>
        <v>8156</v>
      </c>
    </row>
    <row r="77" spans="1:13" x14ac:dyDescent="0.25">
      <c r="B77" t="s">
        <v>120</v>
      </c>
      <c r="C77" s="51">
        <f>IFERROR('Cash flow Statement'!E11,0)</f>
        <v>-2040</v>
      </c>
      <c r="D77" s="51">
        <f>IFERROR('Cash flow Statement'!F11,0)</f>
        <v>-1895</v>
      </c>
      <c r="E77" s="51">
        <f>IFERROR('Cash flow Statement'!G11,0)</f>
        <v>-3021</v>
      </c>
      <c r="F77" s="51">
        <f>IFERROR('Cash flow Statement'!H11,0)</f>
        <v>-2659</v>
      </c>
      <c r="G77" s="51">
        <f>IFERROR('Cash flow Statement'!I11,0)</f>
        <v>-1785</v>
      </c>
      <c r="H77" s="51">
        <f>IFERROR('Cash flow Statement'!J11,0)</f>
        <v>-2105</v>
      </c>
      <c r="I77" s="51">
        <f>IFERROR('Cash flow Statement'!K11,0)</f>
        <v>-1910</v>
      </c>
      <c r="J77" s="51">
        <f>IFERROR('Cash flow Statement'!L11,0)</f>
        <v>-3179</v>
      </c>
      <c r="K77" s="51">
        <f>IFERROR('Cash flow Statement'!M11,0)</f>
        <v>-4516</v>
      </c>
      <c r="L77" s="51">
        <f>IFERROR('Cash flow Statement'!N11,0)</f>
        <v>-3991</v>
      </c>
    </row>
    <row r="78" spans="1:13" x14ac:dyDescent="0.25">
      <c r="B78" s="2" t="s">
        <v>142</v>
      </c>
      <c r="C78" s="52">
        <f>C70+C76+C77</f>
        <v>37899</v>
      </c>
      <c r="D78" s="52">
        <f t="shared" ref="D78:L78" si="24">D70+D76+D77</f>
        <v>30199</v>
      </c>
      <c r="E78" s="52">
        <f t="shared" si="24"/>
        <v>23857</v>
      </c>
      <c r="F78" s="52">
        <f t="shared" si="24"/>
        <v>18891</v>
      </c>
      <c r="G78" s="52">
        <f t="shared" si="24"/>
        <v>26632</v>
      </c>
      <c r="H78" s="52">
        <f t="shared" si="24"/>
        <v>29000</v>
      </c>
      <c r="I78" s="52">
        <f t="shared" si="24"/>
        <v>14283</v>
      </c>
      <c r="J78" s="52">
        <f t="shared" si="24"/>
        <v>35388</v>
      </c>
      <c r="K78" s="52">
        <f t="shared" si="24"/>
        <v>67915</v>
      </c>
      <c r="L78" s="52">
        <f t="shared" si="24"/>
        <v>63102</v>
      </c>
    </row>
    <row r="80" spans="1:13" x14ac:dyDescent="0.25">
      <c r="B80" s="2" t="s">
        <v>144</v>
      </c>
    </row>
    <row r="81" spans="2:12" x14ac:dyDescent="0.25">
      <c r="B81" t="s">
        <v>122</v>
      </c>
      <c r="C81" s="51">
        <f>IFERROR('Cash flow Statement'!E13,0)</f>
        <v>-31503</v>
      </c>
      <c r="D81" s="51">
        <f>IFERROR('Cash flow Statement'!F13,0)</f>
        <v>-16072</v>
      </c>
      <c r="E81" s="51">
        <f>IFERROR('Cash flow Statement'!G13,0)</f>
        <v>-35079</v>
      </c>
      <c r="F81" s="51">
        <f>IFERROR('Cash flow Statement'!H13,0)</f>
        <v>-35304</v>
      </c>
      <c r="G81" s="51">
        <f>IFERROR('Cash flow Statement'!I13,0)</f>
        <v>-29702</v>
      </c>
      <c r="H81" s="51">
        <f>IFERROR('Cash flow Statement'!J13,0)</f>
        <v>-20205</v>
      </c>
      <c r="I81" s="51">
        <f>IFERROR('Cash flow Statement'!K13,0)</f>
        <v>-15168</v>
      </c>
      <c r="J81" s="51">
        <f>IFERROR('Cash flow Statement'!L13,0)</f>
        <v>-19230</v>
      </c>
      <c r="K81" s="51">
        <f>IFERROR('Cash flow Statement'!M13,0)</f>
        <v>-31414</v>
      </c>
      <c r="L81" s="51">
        <f>IFERROR('Cash flow Statement'!N13,0)</f>
        <v>-38042</v>
      </c>
    </row>
    <row r="82" spans="2:12" x14ac:dyDescent="0.25">
      <c r="B82" t="s">
        <v>123</v>
      </c>
      <c r="C82" s="51">
        <f>IFERROR('Cash flow Statement'!E14,0)</f>
        <v>59</v>
      </c>
      <c r="D82" s="51">
        <f>IFERROR('Cash flow Statement'!F14,0)</f>
        <v>53</v>
      </c>
      <c r="E82" s="51">
        <f>IFERROR('Cash flow Statement'!G14,0)</f>
        <v>30</v>
      </c>
      <c r="F82" s="51">
        <f>IFERROR('Cash flow Statement'!H14,0)</f>
        <v>67</v>
      </c>
      <c r="G82" s="51">
        <f>IFERROR('Cash flow Statement'!I14,0)</f>
        <v>171</v>
      </c>
      <c r="H82" s="51">
        <f>IFERROR('Cash flow Statement'!J14,0)</f>
        <v>351</v>
      </c>
      <c r="I82" s="51">
        <f>IFERROR('Cash flow Statement'!K14,0)</f>
        <v>230</v>
      </c>
      <c r="J82" s="51">
        <f>IFERROR('Cash flow Statement'!L14,0)</f>
        <v>285</v>
      </c>
      <c r="K82" s="51">
        <f>IFERROR('Cash flow Statement'!M14,0)</f>
        <v>231</v>
      </c>
      <c r="L82" s="51">
        <f>IFERROR('Cash flow Statement'!N14,0)</f>
        <v>974</v>
      </c>
    </row>
    <row r="83" spans="2:12" x14ac:dyDescent="0.25">
      <c r="B83" t="s">
        <v>124</v>
      </c>
      <c r="C83" s="51">
        <f>IFERROR('Cash flow Statement'!E15,0)</f>
        <v>-4728</v>
      </c>
      <c r="D83" s="51">
        <f>IFERROR('Cash flow Statement'!F15,0)</f>
        <v>-6</v>
      </c>
      <c r="E83" s="51">
        <f>IFERROR('Cash flow Statement'!G15,0)</f>
        <v>-329</v>
      </c>
      <c r="F83" s="51">
        <f>IFERROR('Cash flow Statement'!H15,0)</f>
        <v>-130</v>
      </c>
      <c r="G83" s="51">
        <f>IFERROR('Cash flow Statement'!I15,0)</f>
        <v>-1439</v>
      </c>
      <c r="H83" s="51">
        <f>IFERROR('Cash flow Statement'!J15,0)</f>
        <v>-7530</v>
      </c>
      <c r="I83" s="51">
        <f>IFERROR('Cash flow Statement'!K15,0)</f>
        <v>-3008</v>
      </c>
      <c r="J83" s="51">
        <f>IFERROR('Cash flow Statement'!L15,0)</f>
        <v>-50</v>
      </c>
      <c r="K83" s="51">
        <f>IFERROR('Cash flow Statement'!M15,0)</f>
        <v>-74</v>
      </c>
      <c r="L83" s="51">
        <f>IFERROR('Cash flow Statement'!N15,0)</f>
        <v>-12677</v>
      </c>
    </row>
    <row r="84" spans="2:12" x14ac:dyDescent="0.25">
      <c r="B84" t="s">
        <v>125</v>
      </c>
      <c r="C84" s="51">
        <f>IFERROR('Cash flow Statement'!E16,0)</f>
        <v>89</v>
      </c>
      <c r="D84" s="51">
        <f>IFERROR('Cash flow Statement'!F16,0)</f>
        <v>1965</v>
      </c>
      <c r="E84" s="51">
        <f>IFERROR('Cash flow Statement'!G16,0)</f>
        <v>2381</v>
      </c>
      <c r="F84" s="51">
        <f>IFERROR('Cash flow Statement'!H16,0)</f>
        <v>5644</v>
      </c>
      <c r="G84" s="51">
        <f>IFERROR('Cash flow Statement'!I16,0)</f>
        <v>21</v>
      </c>
      <c r="H84" s="51">
        <f>IFERROR('Cash flow Statement'!J16,0)</f>
        <v>226</v>
      </c>
      <c r="I84" s="51">
        <f>IFERROR('Cash flow Statement'!K16,0)</f>
        <v>104</v>
      </c>
      <c r="J84" s="51">
        <f>IFERROR('Cash flow Statement'!L16,0)</f>
        <v>6895</v>
      </c>
      <c r="K84" s="51">
        <f>IFERROR('Cash flow Statement'!M16,0)</f>
        <v>10821</v>
      </c>
      <c r="L84" s="51">
        <f>IFERROR('Cash flow Statement'!N16,0)</f>
        <v>111</v>
      </c>
    </row>
    <row r="85" spans="2:12" x14ac:dyDescent="0.25">
      <c r="B85" t="s">
        <v>126</v>
      </c>
      <c r="C85" s="51">
        <f>IFERROR('Cash flow Statement'!E17,0)</f>
        <v>731</v>
      </c>
      <c r="D85" s="51">
        <f>IFERROR('Cash flow Statement'!F17,0)</f>
        <v>638</v>
      </c>
      <c r="E85" s="51">
        <f>IFERROR('Cash flow Statement'!G17,0)</f>
        <v>690</v>
      </c>
      <c r="F85" s="51">
        <f>IFERROR('Cash flow Statement'!H17,0)</f>
        <v>761</v>
      </c>
      <c r="G85" s="51">
        <f>IFERROR('Cash flow Statement'!I17,0)</f>
        <v>1104</v>
      </c>
      <c r="H85" s="51">
        <f>IFERROR('Cash flow Statement'!J17,0)</f>
        <v>428</v>
      </c>
      <c r="I85" s="51">
        <f>IFERROR('Cash flow Statement'!K17,0)</f>
        <v>653</v>
      </c>
      <c r="J85" s="51">
        <f>IFERROR('Cash flow Statement'!L17,0)</f>
        <v>973</v>
      </c>
      <c r="K85" s="51">
        <f>IFERROR('Cash flow Statement'!M17,0)</f>
        <v>2493</v>
      </c>
      <c r="L85" s="51">
        <f>IFERROR('Cash flow Statement'!N17,0)</f>
        <v>2420</v>
      </c>
    </row>
    <row r="86" spans="2:12" x14ac:dyDescent="0.25">
      <c r="B86" t="s">
        <v>127</v>
      </c>
      <c r="C86" s="51">
        <f>IFERROR('Cash flow Statement'!E18,0)</f>
        <v>58</v>
      </c>
      <c r="D86" s="51">
        <f>IFERROR('Cash flow Statement'!F18,0)</f>
        <v>620</v>
      </c>
      <c r="E86" s="51">
        <f>IFERROR('Cash flow Statement'!G18,0)</f>
        <v>1797</v>
      </c>
      <c r="F86" s="51">
        <f>IFERROR('Cash flow Statement'!H18,0)</f>
        <v>232</v>
      </c>
      <c r="G86" s="51">
        <f>IFERROR('Cash flow Statement'!I18,0)</f>
        <v>21</v>
      </c>
      <c r="H86" s="51">
        <f>IFERROR('Cash flow Statement'!J18,0)</f>
        <v>18</v>
      </c>
      <c r="I86" s="51">
        <f>IFERROR('Cash flow Statement'!K18,0)</f>
        <v>32</v>
      </c>
      <c r="J86" s="51">
        <f>IFERROR('Cash flow Statement'!L18,0)</f>
        <v>46</v>
      </c>
      <c r="K86" s="51">
        <f>IFERROR('Cash flow Statement'!M18,0)</f>
        <v>47</v>
      </c>
      <c r="L86" s="51">
        <f>IFERROR('Cash flow Statement'!N18,0)</f>
        <v>64</v>
      </c>
    </row>
    <row r="87" spans="2:12" x14ac:dyDescent="0.25">
      <c r="B87" t="s">
        <v>128</v>
      </c>
      <c r="C87" s="51">
        <f>IFERROR('Cash flow Statement'!E19,0)</f>
        <v>0</v>
      </c>
      <c r="D87" s="51">
        <f>IFERROR('Cash flow Statement'!F19,0)</f>
        <v>-107</v>
      </c>
      <c r="E87" s="51">
        <f>IFERROR('Cash flow Statement'!G19,0)</f>
        <v>-4</v>
      </c>
      <c r="F87" s="51">
        <f>IFERROR('Cash flow Statement'!H19,0)</f>
        <v>-9</v>
      </c>
      <c r="G87" s="51">
        <f>IFERROR('Cash flow Statement'!I19,0)</f>
        <v>-606</v>
      </c>
      <c r="H87" s="51">
        <f>IFERROR('Cash flow Statement'!J19,0)</f>
        <v>-10</v>
      </c>
      <c r="I87" s="51">
        <f>IFERROR('Cash flow Statement'!K19,0)</f>
        <v>0</v>
      </c>
      <c r="J87" s="51">
        <f>IFERROR('Cash flow Statement'!L19,0)</f>
        <v>0</v>
      </c>
      <c r="K87" s="51">
        <f>IFERROR('Cash flow Statement'!M19,0)</f>
        <v>-150</v>
      </c>
      <c r="L87" s="51">
        <f>IFERROR('Cash flow Statement'!N19,0)</f>
        <v>0</v>
      </c>
    </row>
    <row r="88" spans="2:12" x14ac:dyDescent="0.25">
      <c r="B88" t="s">
        <v>129</v>
      </c>
      <c r="C88" s="51">
        <f>IFERROR('Cash flow Statement'!E20,0)</f>
        <v>0</v>
      </c>
      <c r="D88" s="51">
        <f>IFERROR('Cash flow Statement'!F20,0)</f>
        <v>0</v>
      </c>
      <c r="E88" s="51">
        <f>IFERROR('Cash flow Statement'!G20,0)</f>
        <v>14</v>
      </c>
      <c r="F88" s="51">
        <f>IFERROR('Cash flow Statement'!H20,0)</f>
        <v>533</v>
      </c>
      <c r="G88" s="51">
        <f>IFERROR('Cash flow Statement'!I20,0)</f>
        <v>0</v>
      </c>
      <c r="H88" s="51">
        <f>IFERROR('Cash flow Statement'!J20,0)</f>
        <v>0</v>
      </c>
      <c r="I88" s="51">
        <f>IFERROR('Cash flow Statement'!K20,0)</f>
        <v>0</v>
      </c>
      <c r="J88" s="51">
        <f>IFERROR('Cash flow Statement'!L20,0)</f>
        <v>19</v>
      </c>
      <c r="K88" s="51">
        <f>IFERROR('Cash flow Statement'!M20,0)</f>
        <v>107</v>
      </c>
      <c r="L88" s="51">
        <f>IFERROR('Cash flow Statement'!N20,0)</f>
        <v>765</v>
      </c>
    </row>
    <row r="89" spans="2:12" x14ac:dyDescent="0.25">
      <c r="B89" t="s">
        <v>130</v>
      </c>
      <c r="C89" s="51">
        <f>IFERROR('Cash flow Statement'!E21,0)</f>
        <v>-111</v>
      </c>
      <c r="D89" s="51">
        <f>IFERROR('Cash flow Statement'!F21,0)</f>
        <v>0</v>
      </c>
      <c r="E89" s="51">
        <f>IFERROR('Cash flow Statement'!G21,0)</f>
        <v>0</v>
      </c>
      <c r="F89" s="51">
        <f>IFERROR('Cash flow Statement'!H21,0)</f>
        <v>-8</v>
      </c>
      <c r="G89" s="51">
        <f>IFERROR('Cash flow Statement'!I21,0)</f>
        <v>-27</v>
      </c>
      <c r="H89" s="51">
        <f>IFERROR('Cash flow Statement'!J21,0)</f>
        <v>0</v>
      </c>
      <c r="I89" s="51">
        <f>IFERROR('Cash flow Statement'!K21,0)</f>
        <v>-98</v>
      </c>
      <c r="J89" s="51">
        <f>IFERROR('Cash flow Statement'!L21,0)</f>
        <v>0</v>
      </c>
      <c r="K89" s="51">
        <f>IFERROR('Cash flow Statement'!M21,0)</f>
        <v>0</v>
      </c>
      <c r="L89" s="51">
        <f>IFERROR('Cash flow Statement'!N21,0)</f>
        <v>-688</v>
      </c>
    </row>
    <row r="90" spans="2:12" x14ac:dyDescent="0.25">
      <c r="B90" t="s">
        <v>131</v>
      </c>
      <c r="C90" s="51">
        <f>IFERROR('Cash flow Statement'!E22,0)</f>
        <v>0</v>
      </c>
      <c r="D90" s="51">
        <f>IFERROR('Cash flow Statement'!F22,0)</f>
        <v>0</v>
      </c>
      <c r="E90" s="51">
        <f>IFERROR('Cash flow Statement'!G22,0)</f>
        <v>0</v>
      </c>
      <c r="F90" s="51">
        <f>IFERROR('Cash flow Statement'!H22,0)</f>
        <v>0</v>
      </c>
      <c r="G90" s="51">
        <f>IFERROR('Cash flow Statement'!I22,0)</f>
        <v>0</v>
      </c>
      <c r="H90" s="51">
        <f>IFERROR('Cash flow Statement'!J22,0)</f>
        <v>0</v>
      </c>
      <c r="I90" s="51">
        <f>IFERROR('Cash flow Statement'!K22,0)</f>
        <v>0</v>
      </c>
      <c r="J90" s="51">
        <f>IFERROR('Cash flow Statement'!L22,0)</f>
        <v>0</v>
      </c>
      <c r="K90" s="51">
        <f>IFERROR('Cash flow Statement'!M22,0)</f>
        <v>-25</v>
      </c>
      <c r="L90" s="51">
        <f>IFERROR('Cash flow Statement'!N22,0)</f>
        <v>-20</v>
      </c>
    </row>
    <row r="91" spans="2:12" x14ac:dyDescent="0.25">
      <c r="B91" t="s">
        <v>132</v>
      </c>
      <c r="C91" s="51">
        <f>IFERROR('Cash flow Statement'!E23,0)</f>
        <v>-1289</v>
      </c>
      <c r="D91" s="51">
        <f>IFERROR('Cash flow Statement'!F23,0)</f>
        <v>-26663</v>
      </c>
      <c r="E91" s="51">
        <f>IFERROR('Cash flow Statement'!G23,0)</f>
        <v>5360</v>
      </c>
      <c r="F91" s="51">
        <f>IFERROR('Cash flow Statement'!H23,0)</f>
        <v>7335</v>
      </c>
      <c r="G91" s="51">
        <f>IFERROR('Cash flow Statement'!I23,0)</f>
        <v>-2659</v>
      </c>
      <c r="H91" s="51">
        <f>IFERROR('Cash flow Statement'!J23,0)</f>
        <v>1051</v>
      </c>
      <c r="I91" s="51">
        <f>IFERROR('Cash flow Statement'!K23,0)</f>
        <v>12813</v>
      </c>
      <c r="J91" s="51">
        <f>IFERROR('Cash flow Statement'!L23,0)</f>
        <v>-4357</v>
      </c>
      <c r="K91" s="51">
        <f>IFERROR('Cash flow Statement'!M23,0)</f>
        <v>-4817</v>
      </c>
      <c r="L91" s="51">
        <f>IFERROR('Cash flow Statement'!N23,0)</f>
        <v>-2889</v>
      </c>
    </row>
    <row r="92" spans="2:12" x14ac:dyDescent="0.25">
      <c r="B92" s="2" t="s">
        <v>145</v>
      </c>
      <c r="C92" s="52">
        <f>SUM(C81:C91)</f>
        <v>-36694</v>
      </c>
      <c r="D92" s="52">
        <f t="shared" ref="D92:L92" si="25">SUM(D81:D91)</f>
        <v>-39572</v>
      </c>
      <c r="E92" s="52">
        <f t="shared" si="25"/>
        <v>-25140</v>
      </c>
      <c r="F92" s="52">
        <f t="shared" si="25"/>
        <v>-20879</v>
      </c>
      <c r="G92" s="52">
        <f t="shared" si="25"/>
        <v>-33116</v>
      </c>
      <c r="H92" s="52">
        <f t="shared" si="25"/>
        <v>-25671</v>
      </c>
      <c r="I92" s="52">
        <f t="shared" si="25"/>
        <v>-4442</v>
      </c>
      <c r="J92" s="52">
        <f t="shared" si="25"/>
        <v>-15419</v>
      </c>
      <c r="K92" s="52">
        <f t="shared" si="25"/>
        <v>-22781</v>
      </c>
      <c r="L92" s="52">
        <f t="shared" si="25"/>
        <v>-49982</v>
      </c>
    </row>
    <row r="94" spans="2:12" x14ac:dyDescent="0.25">
      <c r="B94" s="2" t="s">
        <v>146</v>
      </c>
    </row>
    <row r="95" spans="2:12" x14ac:dyDescent="0.25">
      <c r="B95" t="s">
        <v>134</v>
      </c>
      <c r="C95" s="51">
        <f>IFERROR('Cash flow Statement'!E25,0)</f>
        <v>7433</v>
      </c>
      <c r="D95" s="51">
        <f>IFERROR('Cash flow Statement'!F25,0)</f>
        <v>5</v>
      </c>
      <c r="E95" s="51">
        <f>IFERROR('Cash flow Statement'!G25,0)</f>
        <v>0</v>
      </c>
      <c r="F95" s="51">
        <f>IFERROR('Cash flow Statement'!H25,0)</f>
        <v>0</v>
      </c>
      <c r="G95" s="51">
        <f>IFERROR('Cash flow Statement'!I25,0)</f>
        <v>3889</v>
      </c>
      <c r="H95" s="51">
        <f>IFERROR('Cash flow Statement'!J25,0)</f>
        <v>2603</v>
      </c>
      <c r="I95" s="51">
        <f>IFERROR('Cash flow Statement'!K25,0)</f>
        <v>19</v>
      </c>
      <c r="J95" s="51">
        <f>IFERROR('Cash flow Statement'!L25,0)</f>
        <v>20</v>
      </c>
      <c r="K95" s="51">
        <f>IFERROR('Cash flow Statement'!M25,0)</f>
        <v>82</v>
      </c>
      <c r="L95" s="51">
        <f>IFERROR('Cash flow Statement'!N25,0)</f>
        <v>1108</v>
      </c>
    </row>
    <row r="96" spans="2:12" x14ac:dyDescent="0.25">
      <c r="B96" t="s">
        <v>135</v>
      </c>
      <c r="C96" s="51">
        <f>IFERROR('Cash flow Statement'!E26,0)</f>
        <v>0</v>
      </c>
      <c r="D96" s="51">
        <f>IFERROR('Cash flow Statement'!F26,0)</f>
        <v>0</v>
      </c>
      <c r="E96" s="51">
        <f>IFERROR('Cash flow Statement'!G26,0)</f>
        <v>0</v>
      </c>
      <c r="F96" s="51">
        <f>IFERROR('Cash flow Statement'!H26,0)</f>
        <v>0</v>
      </c>
      <c r="G96" s="51">
        <f>IFERROR('Cash flow Statement'!I26,0)</f>
        <v>0</v>
      </c>
      <c r="H96" s="51">
        <f>IFERROR('Cash flow Statement'!J26,0)</f>
        <v>0</v>
      </c>
      <c r="I96" s="51">
        <f>IFERROR('Cash flow Statement'!K26,0)</f>
        <v>0</v>
      </c>
      <c r="J96" s="51">
        <f>IFERROR('Cash flow Statement'!L26,0)</f>
        <v>0</v>
      </c>
      <c r="K96" s="51">
        <f>IFERROR('Cash flow Statement'!M26,0)</f>
        <v>0</v>
      </c>
      <c r="L96" s="51">
        <f>IFERROR('Cash flow Statement'!N26,0)</f>
        <v>0</v>
      </c>
    </row>
    <row r="97" spans="2:12" x14ac:dyDescent="0.25">
      <c r="B97" t="s">
        <v>136</v>
      </c>
      <c r="C97" s="51">
        <f>IFERROR('Cash flow Statement'!E27,0)</f>
        <v>19519</v>
      </c>
      <c r="D97" s="51">
        <f>IFERROR('Cash flow Statement'!F27,0)</f>
        <v>33390</v>
      </c>
      <c r="E97" s="51">
        <f>IFERROR('Cash flow Statement'!G27,0)</f>
        <v>37482</v>
      </c>
      <c r="F97" s="51">
        <f>IFERROR('Cash flow Statement'!H27,0)</f>
        <v>51128</v>
      </c>
      <c r="G97" s="51">
        <f>IFERROR('Cash flow Statement'!I27,0)</f>
        <v>38297</v>
      </c>
      <c r="H97" s="51">
        <f>IFERROR('Cash flow Statement'!J27,0)</f>
        <v>46641</v>
      </c>
      <c r="I97" s="51">
        <f>IFERROR('Cash flow Statement'!K27,0)</f>
        <v>46578</v>
      </c>
      <c r="J97" s="51">
        <f>IFERROR('Cash flow Statement'!L27,0)</f>
        <v>43934</v>
      </c>
      <c r="K97" s="51">
        <f>IFERROR('Cash flow Statement'!M27,0)</f>
        <v>18829</v>
      </c>
      <c r="L97" s="51">
        <f>IFERROR('Cash flow Statement'!N27,0)</f>
        <v>13384</v>
      </c>
    </row>
    <row r="98" spans="2:12" x14ac:dyDescent="0.25">
      <c r="B98" t="s">
        <v>137</v>
      </c>
      <c r="C98" s="51">
        <f>IFERROR('Cash flow Statement'!E28,0)</f>
        <v>-24924</v>
      </c>
      <c r="D98" s="51">
        <f>IFERROR('Cash flow Statement'!F28,0)</f>
        <v>-21732</v>
      </c>
      <c r="E98" s="51">
        <f>IFERROR('Cash flow Statement'!G28,0)</f>
        <v>-29964</v>
      </c>
      <c r="F98" s="51">
        <f>IFERROR('Cash flow Statement'!H28,0)</f>
        <v>-35198</v>
      </c>
      <c r="G98" s="51">
        <f>IFERROR('Cash flow Statement'!I28,0)</f>
        <v>-29847</v>
      </c>
      <c r="H98" s="51">
        <f>IFERROR('Cash flow Statement'!J28,0)</f>
        <v>-29709</v>
      </c>
      <c r="I98" s="51">
        <f>IFERROR('Cash flow Statement'!K28,0)</f>
        <v>-42816</v>
      </c>
      <c r="J98" s="51">
        <f>IFERROR('Cash flow Statement'!L28,0)</f>
        <v>-62557</v>
      </c>
      <c r="K98" s="51">
        <f>IFERROR('Cash flow Statement'!M28,0)</f>
        <v>-47414</v>
      </c>
      <c r="L98" s="51">
        <f>IFERROR('Cash flow Statement'!N28,0)</f>
        <v>-21443</v>
      </c>
    </row>
    <row r="99" spans="2:12" x14ac:dyDescent="0.25">
      <c r="B99" t="s">
        <v>138</v>
      </c>
      <c r="C99" s="51">
        <f>IFERROR('Cash flow Statement'!E29,0)</f>
        <v>-5716</v>
      </c>
      <c r="D99" s="51">
        <f>IFERROR('Cash flow Statement'!F29,0)</f>
        <v>-5336</v>
      </c>
      <c r="E99" s="51">
        <f>IFERROR('Cash flow Statement'!G29,0)</f>
        <v>-5411</v>
      </c>
      <c r="F99" s="51">
        <f>IFERROR('Cash flow Statement'!H29,0)</f>
        <v>-7005</v>
      </c>
      <c r="G99" s="51">
        <f>IFERROR('Cash flow Statement'!I29,0)</f>
        <v>-7518</v>
      </c>
      <c r="H99" s="51">
        <f>IFERROR('Cash flow Statement'!J29,0)</f>
        <v>-8123</v>
      </c>
      <c r="I99" s="51">
        <f>IFERROR('Cash flow Statement'!K29,0)</f>
        <v>-9251</v>
      </c>
      <c r="J99" s="51">
        <f>IFERROR('Cash flow Statement'!L29,0)</f>
        <v>-9336</v>
      </c>
      <c r="K99" s="51">
        <f>IFERROR('Cash flow Statement'!M29,0)</f>
        <v>-9332</v>
      </c>
      <c r="L99" s="51">
        <f>IFERROR('Cash flow Statement'!N29,0)</f>
        <v>-5814</v>
      </c>
    </row>
    <row r="100" spans="2:12" x14ac:dyDescent="0.25">
      <c r="B100" t="s">
        <v>139</v>
      </c>
      <c r="C100" s="51">
        <f>IFERROR('Cash flow Statement'!E30,0)</f>
        <v>-108</v>
      </c>
      <c r="D100" s="51">
        <f>IFERROR('Cash flow Statement'!F30,0)</f>
        <v>-121</v>
      </c>
      <c r="E100" s="51">
        <f>IFERROR('Cash flow Statement'!G30,0)</f>
        <v>-96</v>
      </c>
      <c r="F100" s="51">
        <f>IFERROR('Cash flow Statement'!H30,0)</f>
        <v>-95</v>
      </c>
      <c r="G100" s="51">
        <f>IFERROR('Cash flow Statement'!I30,0)</f>
        <v>-57</v>
      </c>
      <c r="H100" s="51">
        <f>IFERROR('Cash flow Statement'!J30,0)</f>
        <v>-30</v>
      </c>
      <c r="I100" s="51">
        <f>IFERROR('Cash flow Statement'!K30,0)</f>
        <v>-100</v>
      </c>
      <c r="J100" s="51">
        <f>IFERROR('Cash flow Statement'!L30,0)</f>
        <v>-141</v>
      </c>
      <c r="K100" s="51">
        <f>IFERROR('Cash flow Statement'!M30,0)</f>
        <v>-1059</v>
      </c>
      <c r="L100" s="51">
        <f>IFERROR('Cash flow Statement'!N30,0)</f>
        <v>-2492</v>
      </c>
    </row>
    <row r="101" spans="2:12" x14ac:dyDescent="0.25">
      <c r="B101" t="s">
        <v>140</v>
      </c>
      <c r="C101" s="51">
        <f>IFERROR('Cash flow Statement'!E31,0)</f>
        <v>0</v>
      </c>
      <c r="D101" s="51">
        <f>IFERROR('Cash flow Statement'!F31,0)</f>
        <v>0</v>
      </c>
      <c r="E101" s="51">
        <f>IFERROR('Cash flow Statement'!G31,0)</f>
        <v>0</v>
      </c>
      <c r="F101" s="51">
        <f>IFERROR('Cash flow Statement'!H31,0)</f>
        <v>0</v>
      </c>
      <c r="G101" s="51">
        <f>IFERROR('Cash flow Statement'!I31,0)</f>
        <v>-1346</v>
      </c>
      <c r="H101" s="51">
        <f>IFERROR('Cash flow Statement'!J31,0)</f>
        <v>-1477</v>
      </c>
      <c r="I101" s="51">
        <f>IFERROR('Cash flow Statement'!K31,0)</f>
        <v>-1559</v>
      </c>
      <c r="J101" s="51">
        <f>IFERROR('Cash flow Statement'!L31,0)</f>
        <v>-1517</v>
      </c>
      <c r="K101" s="51">
        <f>IFERROR('Cash flow Statement'!M31,0)</f>
        <v>-1924</v>
      </c>
      <c r="L101" s="51">
        <f>IFERROR('Cash flow Statement'!N31,0)</f>
        <v>-2393</v>
      </c>
    </row>
    <row r="102" spans="2:12" x14ac:dyDescent="0.25">
      <c r="B102" t="s">
        <v>141</v>
      </c>
      <c r="C102" s="51">
        <f>IFERROR('Cash flow Statement'!E32,0)</f>
        <v>0</v>
      </c>
      <c r="D102" s="51">
        <f>IFERROR('Cash flow Statement'!F32,0)</f>
        <v>0</v>
      </c>
      <c r="E102" s="51">
        <f>IFERROR('Cash flow Statement'!G32,0)</f>
        <v>0</v>
      </c>
      <c r="F102" s="51">
        <f>IFERROR('Cash flow Statement'!H32,0)</f>
        <v>0</v>
      </c>
      <c r="G102" s="51">
        <f>IFERROR('Cash flow Statement'!I32,0)</f>
        <v>-29</v>
      </c>
      <c r="H102" s="51">
        <f>IFERROR('Cash flow Statement'!J32,0)</f>
        <v>0</v>
      </c>
      <c r="I102" s="51">
        <f>IFERROR('Cash flow Statement'!K32,0)</f>
        <v>3750</v>
      </c>
      <c r="J102" s="51">
        <f>IFERROR('Cash flow Statement'!L32,0)</f>
        <v>3355</v>
      </c>
      <c r="K102" s="51">
        <f>IFERROR('Cash flow Statement'!M32,0)</f>
        <v>3812</v>
      </c>
      <c r="L102" s="51">
        <f>IFERROR('Cash flow Statement'!N32,0)</f>
        <v>-1136</v>
      </c>
    </row>
    <row r="103" spans="2:12" x14ac:dyDescent="0.25">
      <c r="B103" s="2" t="s">
        <v>147</v>
      </c>
      <c r="C103" s="52">
        <f>SUM(C95:C102)</f>
        <v>-3796</v>
      </c>
      <c r="D103" s="52">
        <f t="shared" ref="D103:L103" si="26">SUM(D95:D102)</f>
        <v>6206</v>
      </c>
      <c r="E103" s="52">
        <f t="shared" si="26"/>
        <v>2011</v>
      </c>
      <c r="F103" s="52">
        <f t="shared" si="26"/>
        <v>8830</v>
      </c>
      <c r="G103" s="52">
        <f t="shared" si="26"/>
        <v>3389</v>
      </c>
      <c r="H103" s="52">
        <f t="shared" si="26"/>
        <v>9905</v>
      </c>
      <c r="I103" s="52">
        <f t="shared" si="26"/>
        <v>-3379</v>
      </c>
      <c r="J103" s="52">
        <f t="shared" si="26"/>
        <v>-26242</v>
      </c>
      <c r="K103" s="52">
        <f t="shared" si="26"/>
        <v>-37006</v>
      </c>
      <c r="L103" s="52">
        <f t="shared" si="26"/>
        <v>-18786</v>
      </c>
    </row>
    <row r="105" spans="2:12" x14ac:dyDescent="0.25">
      <c r="B105" s="2" t="s">
        <v>35</v>
      </c>
      <c r="C105" s="52">
        <f>IFERROR(C78+C92+C103,0)</f>
        <v>-2591</v>
      </c>
      <c r="D105" s="52">
        <f t="shared" ref="D105:L105" si="27">IFERROR(D78+D92+D103,0)</f>
        <v>-3167</v>
      </c>
      <c r="E105" s="52">
        <f t="shared" si="27"/>
        <v>728</v>
      </c>
      <c r="F105" s="52">
        <f t="shared" si="27"/>
        <v>6842</v>
      </c>
      <c r="G105" s="52">
        <f t="shared" si="27"/>
        <v>-3095</v>
      </c>
      <c r="H105" s="52">
        <f t="shared" si="27"/>
        <v>13234</v>
      </c>
      <c r="I105" s="52">
        <f t="shared" si="27"/>
        <v>6462</v>
      </c>
      <c r="J105" s="52">
        <f t="shared" si="27"/>
        <v>-6273</v>
      </c>
      <c r="K105" s="52">
        <f t="shared" si="27"/>
        <v>8128</v>
      </c>
      <c r="L105" s="52">
        <f t="shared" si="27"/>
        <v>-5666</v>
      </c>
    </row>
  </sheetData>
  <mergeCells count="1">
    <mergeCell ref="B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8264-EE3F-4770-B106-C0B7DD07B1B3}">
  <sheetPr>
    <tabColor rgb="FF0070C0"/>
  </sheetPr>
  <dimension ref="B1:N74"/>
  <sheetViews>
    <sheetView showGridLines="0" workbookViewId="0">
      <pane ySplit="2" topLeftCell="A3" activePane="bottomLeft" state="frozen"/>
      <selection pane="bottomLeft" activeCell="D52" sqref="D52"/>
    </sheetView>
  </sheetViews>
  <sheetFormatPr defaultColWidth="9.28515625" defaultRowHeight="15" x14ac:dyDescent="0.25"/>
  <cols>
    <col min="1" max="1" width="2.28515625" customWidth="1"/>
    <col min="2" max="2" width="33.28515625" bestFit="1" customWidth="1"/>
    <col min="3" max="14" width="12.28515625" bestFit="1" customWidth="1"/>
  </cols>
  <sheetData>
    <row r="1" spans="2:13" x14ac:dyDescent="0.25">
      <c r="B1" s="76" t="str">
        <f>"Historical Financial Statement - "&amp;'Data Sheet'!B1</f>
        <v>Historical Financial Statement - TATA MOTORS LTD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</row>
    <row r="2" spans="2:13" x14ac:dyDescent="0.25">
      <c r="B2" s="21" t="s">
        <v>81</v>
      </c>
      <c r="C2" s="22">
        <f>'Data Sheet'!B16</f>
        <v>42460</v>
      </c>
      <c r="D2" s="22">
        <f>'Data Sheet'!C16</f>
        <v>42825</v>
      </c>
      <c r="E2" s="22">
        <f>'Data Sheet'!D16</f>
        <v>43190</v>
      </c>
      <c r="F2" s="22">
        <f>'Data Sheet'!E16</f>
        <v>43555</v>
      </c>
      <c r="G2" s="22">
        <f>'Data Sheet'!F16</f>
        <v>43921</v>
      </c>
      <c r="H2" s="22">
        <f>'Data Sheet'!G16</f>
        <v>44286</v>
      </c>
      <c r="I2" s="22">
        <f>'Data Sheet'!H16</f>
        <v>44651</v>
      </c>
      <c r="J2" s="22">
        <f>'Data Sheet'!I16</f>
        <v>45016</v>
      </c>
      <c r="K2" s="22">
        <f>'Data Sheet'!J16</f>
        <v>45382</v>
      </c>
      <c r="L2" s="22">
        <f>'Data Sheet'!K16</f>
        <v>45747</v>
      </c>
      <c r="M2" s="23" t="s">
        <v>82</v>
      </c>
    </row>
    <row r="3" spans="2:13" x14ac:dyDescent="0.25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</row>
    <row r="4" spans="2:13" x14ac:dyDescent="0.25">
      <c r="B4" s="28" t="s">
        <v>83</v>
      </c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x14ac:dyDescent="0.25">
      <c r="B5" s="2" t="s">
        <v>6</v>
      </c>
      <c r="C5" s="24">
        <f>IFERROR('Data Sheet'!B17,0)</f>
        <v>273045.59999999998</v>
      </c>
      <c r="D5" s="24">
        <f>IFERROR('Data Sheet'!C17,0)</f>
        <v>269692.51</v>
      </c>
      <c r="E5" s="24">
        <f>IFERROR('Data Sheet'!D17,0)</f>
        <v>291550.48</v>
      </c>
      <c r="F5" s="24">
        <f>IFERROR('Data Sheet'!E17,0)</f>
        <v>301938.40000000002</v>
      </c>
      <c r="G5" s="24">
        <f>IFERROR('Data Sheet'!F17,0)</f>
        <v>261067.97</v>
      </c>
      <c r="H5" s="24">
        <f>IFERROR('Data Sheet'!G17,0)</f>
        <v>249794.75</v>
      </c>
      <c r="I5" s="24">
        <f>IFERROR('Data Sheet'!H17,0)</f>
        <v>278453.62</v>
      </c>
      <c r="J5" s="24">
        <f>IFERROR('Data Sheet'!I17,0)</f>
        <v>345966.97</v>
      </c>
      <c r="K5" s="24">
        <f>IFERROR('Data Sheet'!J17,0)</f>
        <v>434016</v>
      </c>
      <c r="L5" s="24">
        <f>IFERROR('Data Sheet'!K17,0)</f>
        <v>439695</v>
      </c>
      <c r="M5" s="24">
        <f>IFERROR(SUM('Data Sheet'!H42:K42),0)</f>
        <v>441609</v>
      </c>
    </row>
    <row r="6" spans="2:13" x14ac:dyDescent="0.25">
      <c r="B6" s="25" t="s">
        <v>22</v>
      </c>
      <c r="C6" s="25" t="s">
        <v>85</v>
      </c>
      <c r="D6" s="26">
        <f>D5/C5-1</f>
        <v>-1.2280329732469508E-2</v>
      </c>
      <c r="E6" s="26">
        <f t="shared" ref="E6:M6" si="0">E5/D5-1</f>
        <v>8.104774581985974E-2</v>
      </c>
      <c r="F6" s="26">
        <f t="shared" si="0"/>
        <v>3.5629919045237157E-2</v>
      </c>
      <c r="G6" s="26">
        <f t="shared" si="0"/>
        <v>-0.135360159555724</v>
      </c>
      <c r="H6" s="26">
        <f t="shared" si="0"/>
        <v>-4.3181168490336042E-2</v>
      </c>
      <c r="I6" s="26">
        <f t="shared" si="0"/>
        <v>0.11472967306158344</v>
      </c>
      <c r="J6" s="26">
        <f t="shared" si="0"/>
        <v>0.24245815155859707</v>
      </c>
      <c r="K6" s="26">
        <f t="shared" si="0"/>
        <v>0.25450126062612277</v>
      </c>
      <c r="L6" s="26">
        <f t="shared" si="0"/>
        <v>1.3084771068347711E-2</v>
      </c>
      <c r="M6" s="26">
        <f t="shared" si="0"/>
        <v>4.3530174325385751E-3</v>
      </c>
    </row>
    <row r="7" spans="2:13" x14ac:dyDescent="0.25"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2:13" x14ac:dyDescent="0.25">
      <c r="B8" s="2" t="s">
        <v>86</v>
      </c>
      <c r="C8" s="24">
        <f>IFERROR(SUM('Data Sheet'!B18,'Data Sheet'!B20:B22)-1*'Data Sheet'!B19,0)</f>
        <v>205509.07</v>
      </c>
      <c r="D8" s="24">
        <f>IFERROR(SUM('Data Sheet'!C18,'Data Sheet'!C20:C22)-1*'Data Sheet'!C19,0)</f>
        <v>205454.23999999996</v>
      </c>
      <c r="E8" s="24">
        <f>IFERROR(SUM('Data Sheet'!D18,'Data Sheet'!D20:D22)-1*'Data Sheet'!D19,0)</f>
        <v>228429.83</v>
      </c>
      <c r="F8" s="24">
        <f>IFERROR(SUM('Data Sheet'!E18,'Data Sheet'!E20:E22)-1*'Data Sheet'!E19,0)</f>
        <v>242845.53</v>
      </c>
      <c r="G8" s="24">
        <f>IFERROR(SUM('Data Sheet'!F18,'Data Sheet'!F20:F22)-1*'Data Sheet'!F19,0)</f>
        <v>210376.07000000004</v>
      </c>
      <c r="H8" s="24">
        <f>IFERROR(SUM('Data Sheet'!G18,'Data Sheet'!G20:G22)-1*'Data Sheet'!G19,0)</f>
        <v>195326.04</v>
      </c>
      <c r="I8" s="24">
        <f>IFERROR(SUM('Data Sheet'!H18,'Data Sheet'!H20:H22)-1*'Data Sheet'!H19,0)</f>
        <v>223300.00999999998</v>
      </c>
      <c r="J8" s="24">
        <f>IFERROR(SUM('Data Sheet'!I18,'Data Sheet'!I20:I22)-1*'Data Sheet'!I19,0)</f>
        <v>274403.64</v>
      </c>
      <c r="K8" s="24">
        <f>IFERROR(SUM('Data Sheet'!J18,'Data Sheet'!J20:J22)-1*'Data Sheet'!J19,0)</f>
        <v>334380</v>
      </c>
      <c r="L8" s="24">
        <f>IFERROR(SUM('Data Sheet'!K18,'Data Sheet'!K20:K22)-1*'Data Sheet'!K19,0)</f>
        <v>340809</v>
      </c>
      <c r="M8" s="24">
        <f>IFERROR(SUM('Data Sheet'!L18,'Data Sheet'!L20:L22)-1*'Data Sheet'!L19,0)</f>
        <v>0</v>
      </c>
    </row>
    <row r="9" spans="2:13" x14ac:dyDescent="0.25">
      <c r="B9" s="25" t="s">
        <v>92</v>
      </c>
      <c r="C9" s="26">
        <f>C8/C5</f>
        <v>0.75265475803309057</v>
      </c>
      <c r="D9" s="26">
        <f t="shared" ref="D9:M9" si="1">D8/D5</f>
        <v>0.76180921746770036</v>
      </c>
      <c r="E9" s="26">
        <f t="shared" si="1"/>
        <v>0.78350009919380004</v>
      </c>
      <c r="F9" s="26">
        <f t="shared" si="1"/>
        <v>0.80428832503583503</v>
      </c>
      <c r="G9" s="26">
        <f t="shared" si="1"/>
        <v>0.80582872728508226</v>
      </c>
      <c r="H9" s="26">
        <f t="shared" si="1"/>
        <v>0.7819461377791167</v>
      </c>
      <c r="I9" s="26">
        <f t="shared" si="1"/>
        <v>0.80192891728252624</v>
      </c>
      <c r="J9" s="26">
        <f t="shared" si="1"/>
        <v>0.79314982005363122</v>
      </c>
      <c r="K9" s="26">
        <f t="shared" si="1"/>
        <v>0.7704324264543243</v>
      </c>
      <c r="L9" s="26">
        <f t="shared" si="1"/>
        <v>0.77510319653396109</v>
      </c>
      <c r="M9" s="26">
        <f t="shared" si="1"/>
        <v>0</v>
      </c>
    </row>
    <row r="11" spans="2:13" x14ac:dyDescent="0.25">
      <c r="B11" s="54" t="s">
        <v>87</v>
      </c>
      <c r="C11" s="55">
        <f>C5-C8</f>
        <v>67536.52999999997</v>
      </c>
      <c r="D11" s="55">
        <f t="shared" ref="D11:M11" si="2">D5-D8</f>
        <v>64238.270000000048</v>
      </c>
      <c r="E11" s="55">
        <f t="shared" si="2"/>
        <v>63120.649999999994</v>
      </c>
      <c r="F11" s="55">
        <f t="shared" si="2"/>
        <v>59092.870000000024</v>
      </c>
      <c r="G11" s="55">
        <f t="shared" si="2"/>
        <v>50691.899999999965</v>
      </c>
      <c r="H11" s="55">
        <f t="shared" si="2"/>
        <v>54468.709999999992</v>
      </c>
      <c r="I11" s="55">
        <f t="shared" si="2"/>
        <v>55153.610000000015</v>
      </c>
      <c r="J11" s="55">
        <f t="shared" si="2"/>
        <v>71563.329999999958</v>
      </c>
      <c r="K11" s="55">
        <f t="shared" si="2"/>
        <v>99636</v>
      </c>
      <c r="L11" s="55">
        <f t="shared" si="2"/>
        <v>98886</v>
      </c>
      <c r="M11" s="55">
        <f t="shared" si="2"/>
        <v>441609</v>
      </c>
    </row>
    <row r="12" spans="2:13" x14ac:dyDescent="0.25">
      <c r="B12" s="25" t="s">
        <v>95</v>
      </c>
      <c r="C12" s="26">
        <f>C11/C5</f>
        <v>0.24734524196690946</v>
      </c>
      <c r="D12" s="26">
        <f t="shared" ref="D12:M12" si="3">D11/D5</f>
        <v>0.23819078253229964</v>
      </c>
      <c r="E12" s="26">
        <f t="shared" si="3"/>
        <v>0.21649990080619999</v>
      </c>
      <c r="F12" s="26">
        <f t="shared" si="3"/>
        <v>0.19571167496416494</v>
      </c>
      <c r="G12" s="26">
        <f t="shared" si="3"/>
        <v>0.19417127271491774</v>
      </c>
      <c r="H12" s="26">
        <f t="shared" si="3"/>
        <v>0.2180538622208833</v>
      </c>
      <c r="I12" s="26">
        <f t="shared" si="3"/>
        <v>0.19807108271747378</v>
      </c>
      <c r="J12" s="26">
        <f t="shared" si="3"/>
        <v>0.20685017994636876</v>
      </c>
      <c r="K12" s="26">
        <f t="shared" si="3"/>
        <v>0.22956757354567572</v>
      </c>
      <c r="L12" s="26">
        <f t="shared" si="3"/>
        <v>0.22489680346603896</v>
      </c>
      <c r="M12" s="26">
        <f t="shared" si="3"/>
        <v>1</v>
      </c>
    </row>
    <row r="14" spans="2:13" x14ac:dyDescent="0.25">
      <c r="B14" s="2" t="s">
        <v>88</v>
      </c>
      <c r="C14" s="24">
        <f>IFERROR(SUM('Data Sheet'!B23:B24),0)</f>
        <v>29141.280000000002</v>
      </c>
      <c r="D14" s="24">
        <f>IFERROR(SUM('Data Sheet'!C23:C24),0)</f>
        <v>34649.58</v>
      </c>
      <c r="E14" s="24">
        <f>IFERROR(SUM('Data Sheet'!D23:D24),0)</f>
        <v>31662.97</v>
      </c>
      <c r="F14" s="24">
        <f>IFERROR(SUM('Data Sheet'!E23:E24),0)</f>
        <v>34428.54</v>
      </c>
      <c r="G14" s="24">
        <f>IFERROR(SUM('Data Sheet'!F23:F24),0)</f>
        <v>32704.83</v>
      </c>
      <c r="H14" s="24">
        <f>IFERROR(SUM('Data Sheet'!G23:G24),0)</f>
        <v>22181.280000000002</v>
      </c>
      <c r="I14" s="24">
        <f>IFERROR(SUM('Data Sheet'!H23:H24),0)</f>
        <v>30433.52</v>
      </c>
      <c r="J14" s="24">
        <f>IFERROR(SUM('Data Sheet'!I23:I24),0)</f>
        <v>39747.53</v>
      </c>
      <c r="K14" s="24">
        <f>IFERROR(SUM('Data Sheet'!J23:J24),0)</f>
        <v>41812</v>
      </c>
      <c r="L14" s="24">
        <f>IFERROR(SUM('Data Sheet'!K23:K24),0)</f>
        <v>43670</v>
      </c>
      <c r="M14" s="24"/>
    </row>
    <row r="15" spans="2:13" x14ac:dyDescent="0.25">
      <c r="B15" s="25" t="s">
        <v>89</v>
      </c>
      <c r="C15" s="26">
        <f>C14/C5</f>
        <v>0.10672678849247161</v>
      </c>
      <c r="D15" s="26">
        <f t="shared" ref="D15:M15" si="4">D14/D5</f>
        <v>0.12847809529452636</v>
      </c>
      <c r="E15" s="26">
        <f t="shared" si="4"/>
        <v>0.10860201636437025</v>
      </c>
      <c r="F15" s="26">
        <f t="shared" si="4"/>
        <v>0.11402504616835751</v>
      </c>
      <c r="G15" s="26">
        <f t="shared" si="4"/>
        <v>0.12527323822987554</v>
      </c>
      <c r="H15" s="26">
        <f t="shared" si="4"/>
        <v>8.8798023177028354E-2</v>
      </c>
      <c r="I15" s="26">
        <f t="shared" si="4"/>
        <v>0.10929475436519734</v>
      </c>
      <c r="J15" s="26">
        <f t="shared" si="4"/>
        <v>0.11488822184383672</v>
      </c>
      <c r="K15" s="26">
        <f t="shared" si="4"/>
        <v>9.6337462213374622E-2</v>
      </c>
      <c r="L15" s="26">
        <f t="shared" si="4"/>
        <v>9.9318846018262658E-2</v>
      </c>
      <c r="M15" s="26">
        <f t="shared" si="4"/>
        <v>0</v>
      </c>
    </row>
    <row r="17" spans="2:13" x14ac:dyDescent="0.25">
      <c r="B17" s="54" t="s">
        <v>90</v>
      </c>
      <c r="C17" s="55">
        <f>C11-C14</f>
        <v>38395.249999999971</v>
      </c>
      <c r="D17" s="55">
        <f t="shared" ref="D17:M17" si="5">D11-D14</f>
        <v>29588.690000000046</v>
      </c>
      <c r="E17" s="55">
        <f t="shared" si="5"/>
        <v>31457.679999999993</v>
      </c>
      <c r="F17" s="55">
        <f t="shared" si="5"/>
        <v>24664.330000000024</v>
      </c>
      <c r="G17" s="55">
        <f t="shared" si="5"/>
        <v>17987.069999999963</v>
      </c>
      <c r="H17" s="55">
        <f t="shared" si="5"/>
        <v>32287.429999999989</v>
      </c>
      <c r="I17" s="55">
        <f t="shared" si="5"/>
        <v>24720.090000000015</v>
      </c>
      <c r="J17" s="55">
        <f t="shared" si="5"/>
        <v>31815.799999999959</v>
      </c>
      <c r="K17" s="55">
        <f t="shared" si="5"/>
        <v>57824</v>
      </c>
      <c r="L17" s="55">
        <f t="shared" si="5"/>
        <v>55216</v>
      </c>
      <c r="M17" s="55">
        <f t="shared" si="5"/>
        <v>441609</v>
      </c>
    </row>
    <row r="18" spans="2:13" x14ac:dyDescent="0.25">
      <c r="B18" s="25" t="s">
        <v>91</v>
      </c>
      <c r="C18" s="26">
        <f>C17/C5</f>
        <v>0.14061845347443788</v>
      </c>
      <c r="D18" s="26">
        <f t="shared" ref="D18:M18" si="6">D17/D5</f>
        <v>0.10971268723777329</v>
      </c>
      <c r="E18" s="26">
        <f t="shared" si="6"/>
        <v>0.10789788444182975</v>
      </c>
      <c r="F18" s="26">
        <f t="shared" si="6"/>
        <v>8.1686628795807431E-2</v>
      </c>
      <c r="G18" s="26">
        <f t="shared" si="6"/>
        <v>6.8898034485042198E-2</v>
      </c>
      <c r="H18" s="26">
        <f t="shared" si="6"/>
        <v>0.12925583904385496</v>
      </c>
      <c r="I18" s="26">
        <f t="shared" si="6"/>
        <v>8.877632835227646E-2</v>
      </c>
      <c r="J18" s="26">
        <f t="shared" si="6"/>
        <v>9.1961958102532049E-2</v>
      </c>
      <c r="K18" s="26">
        <f t="shared" si="6"/>
        <v>0.13323011133230112</v>
      </c>
      <c r="L18" s="26">
        <f t="shared" si="6"/>
        <v>0.12557795744777631</v>
      </c>
      <c r="M18" s="26">
        <f t="shared" si="6"/>
        <v>1</v>
      </c>
    </row>
    <row r="20" spans="2:13" x14ac:dyDescent="0.25">
      <c r="B20" t="s">
        <v>11</v>
      </c>
      <c r="C20" s="27">
        <f>IFERROR('Data Sheet'!B27,0)</f>
        <v>4889.08</v>
      </c>
      <c r="D20" s="27">
        <f>IFERROR('Data Sheet'!C27,0)</f>
        <v>4238.01</v>
      </c>
      <c r="E20" s="27">
        <f>IFERROR('Data Sheet'!D27,0)</f>
        <v>4681.79</v>
      </c>
      <c r="F20" s="27">
        <f>IFERROR('Data Sheet'!E27,0)</f>
        <v>5758.6</v>
      </c>
      <c r="G20" s="27">
        <f>IFERROR('Data Sheet'!F27,0)</f>
        <v>7243.33</v>
      </c>
      <c r="H20" s="27">
        <f>IFERROR('Data Sheet'!G27,0)</f>
        <v>8097.17</v>
      </c>
      <c r="I20" s="27">
        <f>IFERROR('Data Sheet'!H27,0)</f>
        <v>9311.86</v>
      </c>
      <c r="J20" s="27">
        <f>IFERROR('Data Sheet'!I27,0)</f>
        <v>10225.48</v>
      </c>
      <c r="K20" s="27">
        <f>IFERROR('Data Sheet'!J27,0)</f>
        <v>7594</v>
      </c>
      <c r="L20" s="27">
        <f>IFERROR('Data Sheet'!K27,0)</f>
        <v>5083</v>
      </c>
      <c r="M20" s="27">
        <f>IFERROR(SUM('Data Sheet'!H46:K46),0)</f>
        <v>6317</v>
      </c>
    </row>
    <row r="21" spans="2:13" x14ac:dyDescent="0.25">
      <c r="B21" s="25" t="s">
        <v>93</v>
      </c>
      <c r="C21" s="26">
        <f>C20/C5</f>
        <v>1.7905727101993223E-2</v>
      </c>
      <c r="D21" s="26">
        <f t="shared" ref="D21:M21" si="7">D20/D5</f>
        <v>1.5714229512714312E-2</v>
      </c>
      <c r="E21" s="26">
        <f t="shared" si="7"/>
        <v>1.605824830060304E-2</v>
      </c>
      <c r="F21" s="26">
        <f t="shared" si="7"/>
        <v>1.9072102124141878E-2</v>
      </c>
      <c r="G21" s="26">
        <f t="shared" si="7"/>
        <v>2.7744996829752802E-2</v>
      </c>
      <c r="H21" s="26">
        <f t="shared" si="7"/>
        <v>3.2415292955516477E-2</v>
      </c>
      <c r="I21" s="26">
        <f t="shared" si="7"/>
        <v>3.3441332168710897E-2</v>
      </c>
      <c r="J21" s="26">
        <f t="shared" si="7"/>
        <v>2.9556231914277829E-2</v>
      </c>
      <c r="K21" s="26">
        <f t="shared" si="7"/>
        <v>1.7497050799970507E-2</v>
      </c>
      <c r="L21" s="26">
        <f t="shared" si="7"/>
        <v>1.1560286107415368E-2</v>
      </c>
      <c r="M21" s="26">
        <f t="shared" si="7"/>
        <v>1.4304509192520985E-2</v>
      </c>
    </row>
    <row r="23" spans="2:13" x14ac:dyDescent="0.25">
      <c r="B23" s="2" t="s">
        <v>10</v>
      </c>
      <c r="C23" s="27">
        <f>IFERROR('Data Sheet'!B26,0)</f>
        <v>16710.78</v>
      </c>
      <c r="D23" s="27">
        <f>IFERROR('Data Sheet'!C26,0)</f>
        <v>17904.990000000002</v>
      </c>
      <c r="E23" s="27">
        <f>IFERROR('Data Sheet'!D26,0)</f>
        <v>21553.59</v>
      </c>
      <c r="F23" s="27">
        <f>IFERROR('Data Sheet'!E26,0)</f>
        <v>23590.63</v>
      </c>
      <c r="G23" s="27">
        <f>IFERROR('Data Sheet'!F26,0)</f>
        <v>21425.43</v>
      </c>
      <c r="H23" s="27">
        <f>IFERROR('Data Sheet'!G26,0)</f>
        <v>23546.71</v>
      </c>
      <c r="I23" s="27">
        <f>IFERROR('Data Sheet'!H26,0)</f>
        <v>24835.69</v>
      </c>
      <c r="J23" s="27">
        <f>IFERROR('Data Sheet'!I26,0)</f>
        <v>24860.36</v>
      </c>
      <c r="K23" s="27">
        <f>IFERROR('Data Sheet'!J26,0)</f>
        <v>27239</v>
      </c>
      <c r="L23" s="27">
        <f>IFERROR('Data Sheet'!K26,0)</f>
        <v>23256</v>
      </c>
      <c r="M23" s="27">
        <f>IFERROR(SUM('Data Sheet'!H45:K45),0)</f>
        <v>23273</v>
      </c>
    </row>
    <row r="24" spans="2:13" x14ac:dyDescent="0.25">
      <c r="B24" s="25" t="s">
        <v>94</v>
      </c>
      <c r="C24" s="26">
        <f>C23/C5</f>
        <v>6.1201425695927715E-2</v>
      </c>
      <c r="D24" s="26">
        <f t="shared" ref="D24:M24" si="8">D23/D5</f>
        <v>6.63903865924938E-2</v>
      </c>
      <c r="E24" s="26">
        <f t="shared" si="8"/>
        <v>7.3927472182518786E-2</v>
      </c>
      <c r="F24" s="26">
        <f t="shared" si="8"/>
        <v>7.8130605447998658E-2</v>
      </c>
      <c r="G24" s="26">
        <f t="shared" si="8"/>
        <v>8.206839774331566E-2</v>
      </c>
      <c r="H24" s="26">
        <f t="shared" si="8"/>
        <v>9.4264230933596482E-2</v>
      </c>
      <c r="I24" s="26">
        <f t="shared" si="8"/>
        <v>8.9191478279219347E-2</v>
      </c>
      <c r="J24" s="26">
        <f t="shared" si="8"/>
        <v>7.1857611147098821E-2</v>
      </c>
      <c r="K24" s="26">
        <f t="shared" si="8"/>
        <v>6.2760359065103591E-2</v>
      </c>
      <c r="L24" s="26">
        <f t="shared" si="8"/>
        <v>5.2891208678743216E-2</v>
      </c>
      <c r="M24" s="26">
        <f t="shared" si="8"/>
        <v>5.2700465796666283E-2</v>
      </c>
    </row>
    <row r="26" spans="2:13" x14ac:dyDescent="0.25">
      <c r="B26" s="54" t="s">
        <v>96</v>
      </c>
      <c r="C26" s="55">
        <f>IFERROR(C17-SUM(C20,C23),0)</f>
        <v>16795.38999999997</v>
      </c>
      <c r="D26" s="55">
        <f t="shared" ref="D26:M26" si="9">IFERROR(D17-SUM(D20,D23),0)</f>
        <v>7445.690000000046</v>
      </c>
      <c r="E26" s="55">
        <f t="shared" si="9"/>
        <v>5222.299999999992</v>
      </c>
      <c r="F26" s="55">
        <f t="shared" si="9"/>
        <v>-4684.8999999999796</v>
      </c>
      <c r="G26" s="55">
        <f t="shared" si="9"/>
        <v>-10681.690000000039</v>
      </c>
      <c r="H26" s="55">
        <f t="shared" si="9"/>
        <v>643.549999999992</v>
      </c>
      <c r="I26" s="55">
        <f t="shared" si="9"/>
        <v>-9427.4599999999882</v>
      </c>
      <c r="J26" s="55">
        <f t="shared" si="9"/>
        <v>-3270.0400000000373</v>
      </c>
      <c r="K26" s="55">
        <f t="shared" si="9"/>
        <v>22991</v>
      </c>
      <c r="L26" s="55">
        <f t="shared" si="9"/>
        <v>26877</v>
      </c>
      <c r="M26" s="55">
        <f t="shared" si="9"/>
        <v>412019</v>
      </c>
    </row>
    <row r="27" spans="2:13" x14ac:dyDescent="0.25">
      <c r="B27" s="25" t="s">
        <v>97</v>
      </c>
      <c r="C27" s="26">
        <f>C26/C5</f>
        <v>6.1511300676516931E-2</v>
      </c>
      <c r="D27" s="26">
        <f t="shared" ref="D27:M27" si="10">D26/D5</f>
        <v>2.7608071132565179E-2</v>
      </c>
      <c r="E27" s="26">
        <f t="shared" si="10"/>
        <v>1.7912163958707913E-2</v>
      </c>
      <c r="F27" s="26">
        <f t="shared" si="10"/>
        <v>-1.5516078776333117E-2</v>
      </c>
      <c r="G27" s="26">
        <f t="shared" si="10"/>
        <v>-4.0915360088026265E-2</v>
      </c>
      <c r="H27" s="26">
        <f t="shared" si="10"/>
        <v>2.5763151547420113E-3</v>
      </c>
      <c r="I27" s="26">
        <f t="shared" si="10"/>
        <v>-3.3856482095653805E-2</v>
      </c>
      <c r="J27" s="26">
        <f t="shared" si="10"/>
        <v>-9.4518849588445895E-3</v>
      </c>
      <c r="K27" s="26">
        <f t="shared" si="10"/>
        <v>5.2972701467227018E-2</v>
      </c>
      <c r="L27" s="26">
        <f t="shared" si="10"/>
        <v>6.1126462661617711E-2</v>
      </c>
      <c r="M27" s="26">
        <f t="shared" si="10"/>
        <v>0.93299502501081277</v>
      </c>
    </row>
    <row r="28" spans="2:13" x14ac:dyDescent="0.25">
      <c r="C28" s="27"/>
    </row>
    <row r="29" spans="2:13" x14ac:dyDescent="0.25">
      <c r="B29" s="2" t="s">
        <v>98</v>
      </c>
      <c r="C29" s="27">
        <f>IFERROR('Data Sheet'!B29,0)</f>
        <v>3025.05</v>
      </c>
      <c r="D29" s="27">
        <f>IFERROR('Data Sheet'!C29,0)</f>
        <v>3251.23</v>
      </c>
      <c r="E29" s="27">
        <f>IFERROR('Data Sheet'!D29,0)</f>
        <v>4341.93</v>
      </c>
      <c r="F29" s="27">
        <f>IFERROR('Data Sheet'!E29,0)</f>
        <v>-2437.4499999999998</v>
      </c>
      <c r="G29" s="27">
        <f>IFERROR('Data Sheet'!F29,0)</f>
        <v>395.25</v>
      </c>
      <c r="H29" s="27">
        <f>IFERROR('Data Sheet'!G29,0)</f>
        <v>2541.86</v>
      </c>
      <c r="I29" s="27">
        <f>IFERROR('Data Sheet'!H29,0)</f>
        <v>4231.29</v>
      </c>
      <c r="J29" s="27">
        <f>IFERROR('Data Sheet'!I29,0)</f>
        <v>704.06</v>
      </c>
      <c r="K29" s="34">
        <f>IFERROR('Data Sheet'!J29,0)</f>
        <v>-4024</v>
      </c>
      <c r="L29" s="27">
        <f>IFERROR('Data Sheet'!K29,0)</f>
        <v>10502</v>
      </c>
      <c r="M29" s="27">
        <f>IFERROR(SUM('Data Sheet'!H48:K48),0)</f>
        <v>10563</v>
      </c>
    </row>
    <row r="30" spans="2:13" x14ac:dyDescent="0.25">
      <c r="B30" s="25" t="s">
        <v>99</v>
      </c>
      <c r="C30" s="26">
        <f>C29/C26</f>
        <v>0.18011192356950362</v>
      </c>
      <c r="D30" s="26">
        <f t="shared" ref="D30:M30" si="11">D29/D26</f>
        <v>0.43665932908836924</v>
      </c>
      <c r="E30" s="26">
        <f t="shared" si="11"/>
        <v>0.8314210213890445</v>
      </c>
      <c r="F30" s="26">
        <f t="shared" si="11"/>
        <v>0.52027791414971725</v>
      </c>
      <c r="G30" s="26">
        <f t="shared" si="11"/>
        <v>-3.7002571690434617E-2</v>
      </c>
      <c r="H30" s="26">
        <f t="shared" si="11"/>
        <v>3.9497474943672315</v>
      </c>
      <c r="I30" s="26">
        <f t="shared" si="11"/>
        <v>-0.4488260888935095</v>
      </c>
      <c r="J30" s="26">
        <f t="shared" si="11"/>
        <v>-0.21530623478611635</v>
      </c>
      <c r="K30" s="26">
        <f t="shared" si="11"/>
        <v>-0.17502500978643817</v>
      </c>
      <c r="L30" s="26">
        <f t="shared" si="11"/>
        <v>0.39074301447334153</v>
      </c>
      <c r="M30" s="26">
        <f t="shared" si="11"/>
        <v>2.5637167218016645E-2</v>
      </c>
    </row>
    <row r="32" spans="2:13" x14ac:dyDescent="0.25">
      <c r="B32" s="54" t="s">
        <v>100</v>
      </c>
      <c r="C32" s="55">
        <f>C26-C29</f>
        <v>13770.339999999971</v>
      </c>
      <c r="D32" s="55">
        <f t="shared" ref="D32:M32" si="12">D26-D29</f>
        <v>4194.4600000000464</v>
      </c>
      <c r="E32" s="55">
        <f t="shared" si="12"/>
        <v>880.36999999999171</v>
      </c>
      <c r="F32" s="55">
        <f t="shared" si="12"/>
        <v>-2247.4499999999798</v>
      </c>
      <c r="G32" s="55">
        <f t="shared" si="12"/>
        <v>-11076.940000000039</v>
      </c>
      <c r="H32" s="55">
        <f t="shared" si="12"/>
        <v>-1898.3100000000081</v>
      </c>
      <c r="I32" s="55">
        <f t="shared" si="12"/>
        <v>-13658.749999999989</v>
      </c>
      <c r="J32" s="55">
        <f t="shared" si="12"/>
        <v>-3974.1000000000372</v>
      </c>
      <c r="K32" s="56">
        <f t="shared" si="12"/>
        <v>27015</v>
      </c>
      <c r="L32" s="55">
        <f t="shared" si="12"/>
        <v>16375</v>
      </c>
      <c r="M32" s="55">
        <f t="shared" si="12"/>
        <v>401456</v>
      </c>
    </row>
    <row r="33" spans="2:13" x14ac:dyDescent="0.25">
      <c r="B33" s="25" t="s">
        <v>101</v>
      </c>
      <c r="C33" s="26">
        <f>C32/C5</f>
        <v>5.0432381990407359E-2</v>
      </c>
      <c r="D33" s="26">
        <f t="shared" ref="D33:M33" si="13">D32/D5</f>
        <v>1.5552749314395296E-2</v>
      </c>
      <c r="E33" s="26">
        <f t="shared" si="13"/>
        <v>3.01961430487095E-3</v>
      </c>
      <c r="F33" s="26">
        <f t="shared" si="13"/>
        <v>-7.4434056747998256E-3</v>
      </c>
      <c r="G33" s="26">
        <f t="shared" si="13"/>
        <v>-4.2429333632923408E-2</v>
      </c>
      <c r="H33" s="26">
        <f t="shared" si="13"/>
        <v>-7.5994791724005731E-3</v>
      </c>
      <c r="I33" s="26">
        <f t="shared" si="13"/>
        <v>-4.9052154538339235E-2</v>
      </c>
      <c r="J33" s="26">
        <f t="shared" si="13"/>
        <v>-1.1486934720964945E-2</v>
      </c>
      <c r="K33" s="26">
        <f t="shared" si="13"/>
        <v>6.224424905994249E-2</v>
      </c>
      <c r="L33" s="26">
        <f t="shared" si="13"/>
        <v>3.724172437712505E-2</v>
      </c>
      <c r="M33" s="26">
        <f t="shared" si="13"/>
        <v>0.90907567554103286</v>
      </c>
    </row>
    <row r="35" spans="2:13" x14ac:dyDescent="0.25">
      <c r="B35" s="2" t="s">
        <v>65</v>
      </c>
      <c r="C35">
        <f>IFERROR('Data Sheet'!B93,0)</f>
        <v>288.72000000000003</v>
      </c>
      <c r="D35">
        <f>IFERROR('Data Sheet'!C93,0)</f>
        <v>288.73</v>
      </c>
      <c r="E35">
        <f>IFERROR('Data Sheet'!D93,0)</f>
        <v>288.73</v>
      </c>
      <c r="F35">
        <f>IFERROR('Data Sheet'!E93,0)</f>
        <v>288.73</v>
      </c>
      <c r="G35">
        <f>IFERROR('Data Sheet'!F93,0)</f>
        <v>308.89999999999998</v>
      </c>
      <c r="H35">
        <f>IFERROR('Data Sheet'!G93,0)</f>
        <v>332.03</v>
      </c>
      <c r="I35">
        <f>IFERROR('Data Sheet'!H93,0)</f>
        <v>332.07</v>
      </c>
      <c r="J35">
        <f>IFERROR('Data Sheet'!I93,0)</f>
        <v>332.13</v>
      </c>
      <c r="K35">
        <f>IFERROR('Data Sheet'!J93,0)</f>
        <v>332.37</v>
      </c>
      <c r="L35">
        <f>IFERROR('Data Sheet'!K93,0)</f>
        <v>368.13</v>
      </c>
      <c r="M35">
        <f>IFERROR('Data Sheet'!L93,0)</f>
        <v>0</v>
      </c>
    </row>
    <row r="37" spans="2:13" x14ac:dyDescent="0.25">
      <c r="B37" s="2" t="s">
        <v>102</v>
      </c>
      <c r="C37" s="27">
        <f>IFERROR(C32/C35,0)</f>
        <v>47.694444444444336</v>
      </c>
      <c r="D37" s="27">
        <f t="shared" ref="D37:M37" si="14">IFERROR(D32/D35,0)</f>
        <v>14.527274616423808</v>
      </c>
      <c r="E37" s="27">
        <f t="shared" si="14"/>
        <v>3.049111626779315</v>
      </c>
      <c r="F37" s="27">
        <f t="shared" si="14"/>
        <v>-7.7839157690575265</v>
      </c>
      <c r="G37" s="27">
        <f t="shared" si="14"/>
        <v>-35.859307219164904</v>
      </c>
      <c r="H37" s="27">
        <f t="shared" si="14"/>
        <v>-5.7172845827184542</v>
      </c>
      <c r="I37" s="27">
        <f t="shared" si="14"/>
        <v>-41.132140813683833</v>
      </c>
      <c r="J37" s="27">
        <f t="shared" si="14"/>
        <v>-11.965495438533218</v>
      </c>
      <c r="K37" s="34">
        <f t="shared" si="14"/>
        <v>81.279898907843673</v>
      </c>
      <c r="L37" s="27">
        <f t="shared" si="14"/>
        <v>44.481569010947219</v>
      </c>
      <c r="M37" s="27">
        <f t="shared" si="14"/>
        <v>0</v>
      </c>
    </row>
    <row r="38" spans="2:13" x14ac:dyDescent="0.25">
      <c r="B38" s="25" t="s">
        <v>104</v>
      </c>
      <c r="C38" s="27"/>
      <c r="D38" s="26">
        <f>IFERROR(D37/C37-1,0)</f>
        <v>-0.69540950134463697</v>
      </c>
      <c r="E38" s="26">
        <f t="shared" ref="E38:M38" si="15">IFERROR(E37/D37-1,0)</f>
        <v>-0.79011124197155724</v>
      </c>
      <c r="F38" s="26">
        <f t="shared" si="15"/>
        <v>-3.5528470983790919</v>
      </c>
      <c r="G38" s="26">
        <f t="shared" si="15"/>
        <v>3.6068467700681115</v>
      </c>
      <c r="H38" s="26">
        <f t="shared" si="15"/>
        <v>-0.84056344011958861</v>
      </c>
      <c r="I38" s="26">
        <f t="shared" si="15"/>
        <v>6.194349033807641</v>
      </c>
      <c r="J38" s="26">
        <f t="shared" si="15"/>
        <v>-0.70909621522659627</v>
      </c>
      <c r="K38" s="26">
        <f t="shared" si="15"/>
        <v>-7.7928569548481077</v>
      </c>
      <c r="L38" s="26">
        <f t="shared" si="15"/>
        <v>-0.45273592107464278</v>
      </c>
      <c r="M38" s="26">
        <f t="shared" si="15"/>
        <v>-1</v>
      </c>
    </row>
    <row r="40" spans="2:13" x14ac:dyDescent="0.25">
      <c r="B40" s="2" t="s">
        <v>103</v>
      </c>
      <c r="C40" s="27">
        <f>IFERROR('Data Sheet'!B31,0)</f>
        <v>67.92</v>
      </c>
      <c r="D40" s="27">
        <f>IFERROR('Data Sheet'!C31,0)</f>
        <v>0</v>
      </c>
      <c r="E40" s="27">
        <f>IFERROR('Data Sheet'!D31,0)</f>
        <v>0</v>
      </c>
      <c r="F40" s="27">
        <f>IFERROR('Data Sheet'!E31,0)</f>
        <v>0</v>
      </c>
      <c r="G40" s="27">
        <f>IFERROR('Data Sheet'!F31,0)</f>
        <v>0</v>
      </c>
      <c r="H40" s="27">
        <f>IFERROR('Data Sheet'!G31,0)</f>
        <v>0</v>
      </c>
      <c r="I40" s="27">
        <f>IFERROR('Data Sheet'!H31,0)</f>
        <v>0</v>
      </c>
      <c r="J40" s="27">
        <f>IFERROR('Data Sheet'!I31,0)</f>
        <v>766.02</v>
      </c>
      <c r="K40" s="34">
        <f>IFERROR('Data Sheet'!J31,0)</f>
        <v>2301</v>
      </c>
      <c r="L40" s="27">
        <f>IFERROR('Data Sheet'!K31,0)</f>
        <v>2208</v>
      </c>
      <c r="M40" s="27">
        <f>IFERROR('Data Sheet'!L31,0)</f>
        <v>0</v>
      </c>
    </row>
    <row r="41" spans="2:13" x14ac:dyDescent="0.25">
      <c r="B41" s="25" t="s">
        <v>105</v>
      </c>
      <c r="C41" s="26">
        <f>IFERROR(C40/C37,0)</f>
        <v>1.4240652300524204</v>
      </c>
      <c r="D41" s="26">
        <f t="shared" ref="D41:M41" si="16">IFERROR(D40/D37,0)</f>
        <v>0</v>
      </c>
      <c r="E41" s="26">
        <f t="shared" si="16"/>
        <v>0</v>
      </c>
      <c r="F41" s="26">
        <f t="shared" si="16"/>
        <v>0</v>
      </c>
      <c r="G41" s="26">
        <f t="shared" si="16"/>
        <v>0</v>
      </c>
      <c r="H41" s="26">
        <f t="shared" si="16"/>
        <v>0</v>
      </c>
      <c r="I41" s="26">
        <f t="shared" si="16"/>
        <v>0</v>
      </c>
      <c r="J41" s="26">
        <f t="shared" si="16"/>
        <v>-64.019079187740019</v>
      </c>
      <c r="K41" s="26">
        <f t="shared" si="16"/>
        <v>28.309582454192114</v>
      </c>
      <c r="L41" s="26">
        <f t="shared" si="16"/>
        <v>49.638536793893131</v>
      </c>
      <c r="M41" s="26">
        <f t="shared" si="16"/>
        <v>0</v>
      </c>
    </row>
    <row r="43" spans="2:13" x14ac:dyDescent="0.25">
      <c r="B43" s="2" t="s">
        <v>106</v>
      </c>
      <c r="C43" s="5">
        <f>IFERROR(IF(C37&gt;C40,1-C41,0),0)</f>
        <v>0</v>
      </c>
      <c r="D43" s="5">
        <f t="shared" ref="D43:M43" si="17">IFERROR(IF(D37&gt;D40,1-D41,0),0)</f>
        <v>1</v>
      </c>
      <c r="E43" s="5">
        <f t="shared" si="17"/>
        <v>1</v>
      </c>
      <c r="F43" s="5">
        <f t="shared" si="17"/>
        <v>0</v>
      </c>
      <c r="G43" s="5">
        <f t="shared" si="17"/>
        <v>0</v>
      </c>
      <c r="H43" s="5">
        <f t="shared" si="17"/>
        <v>0</v>
      </c>
      <c r="I43" s="5">
        <f t="shared" si="17"/>
        <v>0</v>
      </c>
      <c r="J43" s="5">
        <f t="shared" si="17"/>
        <v>0</v>
      </c>
      <c r="K43" s="5">
        <f t="shared" si="17"/>
        <v>0</v>
      </c>
      <c r="L43" s="5">
        <f t="shared" si="17"/>
        <v>0</v>
      </c>
      <c r="M43" s="5">
        <f t="shared" si="17"/>
        <v>0</v>
      </c>
    </row>
    <row r="45" spans="2:13" x14ac:dyDescent="0.25">
      <c r="B45" s="28" t="s">
        <v>107</v>
      </c>
      <c r="C45" s="33">
        <f>'Data Sheet'!B56</f>
        <v>42460</v>
      </c>
      <c r="D45" s="33">
        <f>'Data Sheet'!C56</f>
        <v>42825</v>
      </c>
      <c r="E45" s="33">
        <f>'Data Sheet'!D56</f>
        <v>43190</v>
      </c>
      <c r="F45" s="33">
        <f>'Data Sheet'!E56</f>
        <v>43555</v>
      </c>
      <c r="G45" s="33">
        <f>'Data Sheet'!F56</f>
        <v>43921</v>
      </c>
      <c r="H45" s="33">
        <f>'Data Sheet'!G56</f>
        <v>44286</v>
      </c>
      <c r="I45" s="33">
        <f>'Data Sheet'!H56</f>
        <v>44651</v>
      </c>
      <c r="J45" s="33">
        <f>'Data Sheet'!I56</f>
        <v>45016</v>
      </c>
      <c r="K45" s="33">
        <f>'Data Sheet'!J56</f>
        <v>45382</v>
      </c>
      <c r="L45" s="33">
        <f>'Data Sheet'!K56</f>
        <v>45747</v>
      </c>
      <c r="M45" s="29"/>
    </row>
    <row r="46" spans="2:13" x14ac:dyDescent="0.25">
      <c r="B46" t="s">
        <v>24</v>
      </c>
      <c r="C46" s="27">
        <f>IFERROR('Data Sheet'!B57,0)</f>
        <v>679.18</v>
      </c>
      <c r="D46" s="27">
        <f>IFERROR('Data Sheet'!C57,0)</f>
        <v>679.22</v>
      </c>
      <c r="E46" s="27">
        <f>IFERROR('Data Sheet'!D57,0)</f>
        <v>679.22</v>
      </c>
      <c r="F46" s="27">
        <f>IFERROR('Data Sheet'!E57,0)</f>
        <v>679.22</v>
      </c>
      <c r="G46" s="27">
        <f>IFERROR('Data Sheet'!F57,0)</f>
        <v>719.54</v>
      </c>
      <c r="H46" s="27">
        <f>IFERROR('Data Sheet'!G57,0)</f>
        <v>765.81</v>
      </c>
      <c r="I46" s="27">
        <f>IFERROR('Data Sheet'!H57,0)</f>
        <v>765.88</v>
      </c>
      <c r="J46" s="27">
        <f>IFERROR('Data Sheet'!I57,0)</f>
        <v>766.02</v>
      </c>
      <c r="K46" s="34">
        <f>IFERROR('Data Sheet'!J57,0)</f>
        <v>767</v>
      </c>
      <c r="L46" s="27">
        <f>IFERROR('Data Sheet'!K57,0)</f>
        <v>736</v>
      </c>
    </row>
    <row r="47" spans="2:13" x14ac:dyDescent="0.25">
      <c r="B47" t="s">
        <v>25</v>
      </c>
      <c r="C47" s="27">
        <f>IFERROR('Data Sheet'!B58,0)</f>
        <v>78273.23</v>
      </c>
      <c r="D47" s="27">
        <f>IFERROR('Data Sheet'!C58,0)</f>
        <v>57382.67</v>
      </c>
      <c r="E47" s="27">
        <f>IFERROR('Data Sheet'!D58,0)</f>
        <v>94748.69</v>
      </c>
      <c r="F47" s="27">
        <f>IFERROR('Data Sheet'!E58,0)</f>
        <v>59500.34</v>
      </c>
      <c r="G47" s="27">
        <f>IFERROR('Data Sheet'!F58,0)</f>
        <v>62358.99</v>
      </c>
      <c r="H47" s="27">
        <f>IFERROR('Data Sheet'!G58,0)</f>
        <v>54480.91</v>
      </c>
      <c r="I47" s="27">
        <f>IFERROR('Data Sheet'!H58,0)</f>
        <v>43795.360000000001</v>
      </c>
      <c r="J47" s="27">
        <f>IFERROR('Data Sheet'!I58,0)</f>
        <v>44555.77</v>
      </c>
      <c r="K47" s="34">
        <f>IFERROR('Data Sheet'!J58,0)</f>
        <v>84151</v>
      </c>
      <c r="L47" s="27">
        <f>IFERROR('Data Sheet'!K58,0)</f>
        <v>115408</v>
      </c>
    </row>
    <row r="48" spans="2:13" x14ac:dyDescent="0.25">
      <c r="B48" t="s">
        <v>62</v>
      </c>
      <c r="C48" s="27">
        <f>IFERROR('Data Sheet'!B59,0)</f>
        <v>69359.960000000006</v>
      </c>
      <c r="D48" s="27">
        <f>IFERROR('Data Sheet'!C59,0)</f>
        <v>78603.98</v>
      </c>
      <c r="E48" s="27">
        <f>IFERROR('Data Sheet'!D59,0)</f>
        <v>88950.47</v>
      </c>
      <c r="F48" s="27">
        <f>IFERROR('Data Sheet'!E59,0)</f>
        <v>106175.34</v>
      </c>
      <c r="G48" s="27">
        <f>IFERROR('Data Sheet'!F59,0)</f>
        <v>124787.64</v>
      </c>
      <c r="H48" s="27">
        <f>IFERROR('Data Sheet'!G59,0)</f>
        <v>142130.57</v>
      </c>
      <c r="I48" s="27">
        <f>IFERROR('Data Sheet'!H59,0)</f>
        <v>146449.03</v>
      </c>
      <c r="J48" s="27">
        <f>IFERROR('Data Sheet'!I59,0)</f>
        <v>134113.44</v>
      </c>
      <c r="K48" s="34">
        <f>IFERROR('Data Sheet'!J59,0)</f>
        <v>107264</v>
      </c>
      <c r="L48" s="27">
        <f>IFERROR('Data Sheet'!K59,0)</f>
        <v>71540</v>
      </c>
    </row>
    <row r="49" spans="2:14" x14ac:dyDescent="0.25">
      <c r="B49" t="s">
        <v>63</v>
      </c>
      <c r="C49" s="27">
        <f>IFERROR('Data Sheet'!B60,0)</f>
        <v>114871.75</v>
      </c>
      <c r="D49" s="27">
        <f>IFERROR('Data Sheet'!C60,0)</f>
        <v>135914.49</v>
      </c>
      <c r="E49" s="27">
        <f>IFERROR('Data Sheet'!D60,0)</f>
        <v>142813.43</v>
      </c>
      <c r="F49" s="27">
        <f>IFERROR('Data Sheet'!E60,0)</f>
        <v>139348.59</v>
      </c>
      <c r="G49" s="27">
        <f>IFERROR('Data Sheet'!F60,0)</f>
        <v>132313.22</v>
      </c>
      <c r="H49" s="27">
        <f>IFERROR('Data Sheet'!G60,0)</f>
        <v>144192.62</v>
      </c>
      <c r="I49" s="27">
        <f>IFERROR('Data Sheet'!H60,0)</f>
        <v>138051.22</v>
      </c>
      <c r="J49" s="27">
        <f>IFERROR('Data Sheet'!I60,0)</f>
        <v>155239.20000000001</v>
      </c>
      <c r="K49" s="34">
        <f>IFERROR('Data Sheet'!J60,0)</f>
        <v>177339</v>
      </c>
      <c r="L49" s="27">
        <f>IFERROR('Data Sheet'!K60,0)</f>
        <v>189289</v>
      </c>
    </row>
    <row r="50" spans="2:14" x14ac:dyDescent="0.25">
      <c r="B50" s="54" t="s">
        <v>108</v>
      </c>
      <c r="C50" s="55">
        <f>SUM(C46:C49)</f>
        <v>263184.12</v>
      </c>
      <c r="D50" s="55">
        <f t="shared" ref="D50:L50" si="18">SUM(D46:D49)</f>
        <v>272580.36</v>
      </c>
      <c r="E50" s="55">
        <f t="shared" si="18"/>
        <v>327191.81</v>
      </c>
      <c r="F50" s="55">
        <f t="shared" si="18"/>
        <v>305703.49</v>
      </c>
      <c r="G50" s="55">
        <f t="shared" si="18"/>
        <v>320179.39</v>
      </c>
      <c r="H50" s="55">
        <f t="shared" si="18"/>
        <v>341569.91000000003</v>
      </c>
      <c r="I50" s="55">
        <f t="shared" si="18"/>
        <v>329061.49</v>
      </c>
      <c r="J50" s="55">
        <f t="shared" si="18"/>
        <v>334674.43</v>
      </c>
      <c r="K50" s="55">
        <f t="shared" si="18"/>
        <v>369521</v>
      </c>
      <c r="L50" s="55">
        <f t="shared" si="18"/>
        <v>376973</v>
      </c>
    </row>
    <row r="51" spans="2:14" x14ac:dyDescent="0.25">
      <c r="B51" s="2"/>
    </row>
    <row r="52" spans="2:14" x14ac:dyDescent="0.25">
      <c r="B52" t="s">
        <v>109</v>
      </c>
      <c r="C52" s="27">
        <f>IFERROR('Data Sheet'!B62,0)</f>
        <v>107231.76</v>
      </c>
      <c r="D52" s="27">
        <f>IFERROR('Data Sheet'!C62,0)</f>
        <v>95944.08</v>
      </c>
      <c r="E52" s="27">
        <f>IFERROR('Data Sheet'!D62,0)</f>
        <v>121413.86</v>
      </c>
      <c r="F52" s="27">
        <f>IFERROR('Data Sheet'!E62,0)</f>
        <v>111234.47</v>
      </c>
      <c r="G52" s="27">
        <f>IFERROR('Data Sheet'!F62,0)</f>
        <v>127107.14</v>
      </c>
      <c r="H52" s="27">
        <f>IFERROR('Data Sheet'!G62,0)</f>
        <v>138707.60999999999</v>
      </c>
      <c r="I52" s="27">
        <f>IFERROR('Data Sheet'!H62,0)</f>
        <v>138855.45000000001</v>
      </c>
      <c r="J52" s="27">
        <f>IFERROR('Data Sheet'!I62,0)</f>
        <v>132079.76</v>
      </c>
      <c r="K52" s="34">
        <f>IFERROR('Data Sheet'!J62,0)</f>
        <v>121285</v>
      </c>
      <c r="L52" s="27">
        <f>IFERROR('Data Sheet'!K62,0)</f>
        <v>115697</v>
      </c>
    </row>
    <row r="53" spans="2:14" x14ac:dyDescent="0.25">
      <c r="B53" t="s">
        <v>28</v>
      </c>
      <c r="C53" s="27">
        <f>IFERROR('Data Sheet'!B63,0)</f>
        <v>25918.94</v>
      </c>
      <c r="D53" s="27">
        <f>IFERROR('Data Sheet'!C63,0)</f>
        <v>33698.839999999997</v>
      </c>
      <c r="E53" s="27">
        <f>IFERROR('Data Sheet'!D63,0)</f>
        <v>40033.5</v>
      </c>
      <c r="F53" s="27">
        <f>IFERROR('Data Sheet'!E63,0)</f>
        <v>31883.84</v>
      </c>
      <c r="G53" s="27">
        <f>IFERROR('Data Sheet'!F63,0)</f>
        <v>35622.29</v>
      </c>
      <c r="H53" s="27">
        <f>IFERROR('Data Sheet'!G63,0)</f>
        <v>20963.93</v>
      </c>
      <c r="I53" s="27">
        <f>IFERROR('Data Sheet'!H63,0)</f>
        <v>10251.09</v>
      </c>
      <c r="J53" s="27">
        <f>IFERROR('Data Sheet'!I63,0)</f>
        <v>14274.5</v>
      </c>
      <c r="K53" s="34">
        <f>IFERROR('Data Sheet'!J63,0)</f>
        <v>35698</v>
      </c>
      <c r="L53" s="27">
        <f>IFERROR('Data Sheet'!K63,0)</f>
        <v>65806</v>
      </c>
    </row>
    <row r="54" spans="2:14" x14ac:dyDescent="0.25">
      <c r="B54" t="s">
        <v>29</v>
      </c>
      <c r="C54" s="27">
        <f>IFERROR('Data Sheet'!B64,0)</f>
        <v>23767.02</v>
      </c>
      <c r="D54" s="27">
        <f>IFERROR('Data Sheet'!C64,0)</f>
        <v>20337.919999999998</v>
      </c>
      <c r="E54" s="27">
        <f>IFERROR('Data Sheet'!D64,0)</f>
        <v>20812.75</v>
      </c>
      <c r="F54" s="27">
        <f>IFERROR('Data Sheet'!E64,0)</f>
        <v>15770.72</v>
      </c>
      <c r="G54" s="27">
        <f>IFERROR('Data Sheet'!F64,0)</f>
        <v>16308.48</v>
      </c>
      <c r="H54" s="27">
        <f>IFERROR('Data Sheet'!G64,0)</f>
        <v>24620.28</v>
      </c>
      <c r="I54" s="27">
        <f>IFERROR('Data Sheet'!H64,0)</f>
        <v>29379.53</v>
      </c>
      <c r="J54" s="27">
        <f>IFERROR('Data Sheet'!I64,0)</f>
        <v>26379.16</v>
      </c>
      <c r="K54" s="34">
        <f>IFERROR('Data Sheet'!J64,0)</f>
        <v>22971</v>
      </c>
      <c r="L54" s="27">
        <f>IFERROR('Data Sheet'!K64,0)</f>
        <v>35656</v>
      </c>
    </row>
    <row r="55" spans="2:14" x14ac:dyDescent="0.25">
      <c r="B55" t="s">
        <v>64</v>
      </c>
      <c r="C55" s="27">
        <f>IFERROR('Data Sheet'!B65-SUM('Data Sheet'!B67:B69),0)</f>
        <v>29579.359999999986</v>
      </c>
      <c r="D55" s="27">
        <f>IFERROR('Data Sheet'!C65-SUM('Data Sheet'!C67:C69),0)</f>
        <v>37360.780000000013</v>
      </c>
      <c r="E55" s="27">
        <f>IFERROR('Data Sheet'!D65-SUM('Data Sheet'!D67:D69),0)</f>
        <v>48286.860000000015</v>
      </c>
      <c r="F55" s="27">
        <f>IFERROR('Data Sheet'!E65-SUM('Data Sheet'!E67:E69),0)</f>
        <v>56155.739999999991</v>
      </c>
      <c r="G55" s="27">
        <f>IFERROR('Data Sheet'!F65-SUM('Data Sheet'!F67:F69),0)</f>
        <v>58784.94</v>
      </c>
      <c r="H55" s="27">
        <f>IFERROR('Data Sheet'!G65-SUM('Data Sheet'!G67:G69),0)</f>
        <v>61717.959999999992</v>
      </c>
      <c r="I55" s="27">
        <f>IFERROR('Data Sheet'!H65-SUM('Data Sheet'!H67:H69),0)</f>
        <v>62223.770000000019</v>
      </c>
      <c r="J55" s="27">
        <f>IFERROR('Data Sheet'!I65-SUM('Data Sheet'!I67:I69),0)</f>
        <v>68432.090000000011</v>
      </c>
      <c r="K55" s="34">
        <f>IFERROR('Data Sheet'!J65-SUM('Data Sheet'!J67:J69),0)</f>
        <v>79020</v>
      </c>
      <c r="L55" s="27">
        <f>IFERROR('Data Sheet'!K65-SUM('Data Sheet'!K67:K69),0)</f>
        <v>58463</v>
      </c>
    </row>
    <row r="56" spans="2:14" x14ac:dyDescent="0.25">
      <c r="B56" s="54" t="s">
        <v>110</v>
      </c>
      <c r="C56" s="55">
        <f>SUM(C52:C55)</f>
        <v>186497.07999999996</v>
      </c>
      <c r="D56" s="55">
        <f t="shared" ref="D56:L56" si="19">SUM(D52:D55)</f>
        <v>187341.62</v>
      </c>
      <c r="E56" s="55">
        <f t="shared" si="19"/>
        <v>230546.97</v>
      </c>
      <c r="F56" s="55">
        <f t="shared" si="19"/>
        <v>215044.77</v>
      </c>
      <c r="G56" s="55">
        <f t="shared" si="19"/>
        <v>237822.85</v>
      </c>
      <c r="H56" s="55">
        <f t="shared" si="19"/>
        <v>246009.77999999997</v>
      </c>
      <c r="I56" s="55">
        <f t="shared" si="19"/>
        <v>240709.84000000003</v>
      </c>
      <c r="J56" s="55">
        <f t="shared" si="19"/>
        <v>241165.51</v>
      </c>
      <c r="K56" s="55">
        <f t="shared" si="19"/>
        <v>258974</v>
      </c>
      <c r="L56" s="55">
        <f t="shared" si="19"/>
        <v>275622</v>
      </c>
    </row>
    <row r="57" spans="2:14" x14ac:dyDescent="0.25">
      <c r="B57" s="2"/>
      <c r="N57" s="24"/>
    </row>
    <row r="58" spans="2:14" x14ac:dyDescent="0.25">
      <c r="B58" t="s">
        <v>69</v>
      </c>
      <c r="C58" s="27">
        <f>IFERROR('Data Sheet'!B67,0)</f>
        <v>13570.91</v>
      </c>
      <c r="D58" s="27">
        <f>IFERROR('Data Sheet'!C67,0)</f>
        <v>14075.55</v>
      </c>
      <c r="E58" s="27">
        <f>IFERROR('Data Sheet'!D67,0)</f>
        <v>19893.3</v>
      </c>
      <c r="F58" s="27">
        <f>IFERROR('Data Sheet'!E67,0)</f>
        <v>18996.169999999998</v>
      </c>
      <c r="G58" s="27">
        <f>IFERROR('Data Sheet'!F67,0)</f>
        <v>11172.69</v>
      </c>
      <c r="H58" s="27">
        <f>IFERROR('Data Sheet'!G67,0)</f>
        <v>12679.08</v>
      </c>
      <c r="I58" s="27">
        <f>IFERROR('Data Sheet'!H67,0)</f>
        <v>12442.12</v>
      </c>
      <c r="J58" s="27">
        <f>IFERROR('Data Sheet'!I67,0)</f>
        <v>15737.97</v>
      </c>
      <c r="K58" s="34">
        <f>IFERROR('Data Sheet'!J67,0)</f>
        <v>16952</v>
      </c>
      <c r="L58" s="27">
        <f>IFERROR('Data Sheet'!K67,0)</f>
        <v>13248</v>
      </c>
      <c r="N58" s="27"/>
    </row>
    <row r="59" spans="2:14" x14ac:dyDescent="0.25">
      <c r="B59" t="s">
        <v>45</v>
      </c>
      <c r="C59" s="27">
        <f>IFERROR('Data Sheet'!B68,0)</f>
        <v>32655.73</v>
      </c>
      <c r="D59" s="27">
        <f>IFERROR('Data Sheet'!C68,0)</f>
        <v>35085.31</v>
      </c>
      <c r="E59" s="27">
        <f>IFERROR('Data Sheet'!D68,0)</f>
        <v>42137.63</v>
      </c>
      <c r="F59" s="27">
        <f>IFERROR('Data Sheet'!E68,0)</f>
        <v>39013.730000000003</v>
      </c>
      <c r="G59" s="27">
        <f>IFERROR('Data Sheet'!F68,0)</f>
        <v>37456.879999999997</v>
      </c>
      <c r="H59" s="27">
        <f>IFERROR('Data Sheet'!G68,0)</f>
        <v>36088.589999999997</v>
      </c>
      <c r="I59" s="27">
        <f>IFERROR('Data Sheet'!H68,0)</f>
        <v>35240.339999999997</v>
      </c>
      <c r="J59" s="27">
        <f>IFERROR('Data Sheet'!I68,0)</f>
        <v>40755.39</v>
      </c>
      <c r="K59" s="34">
        <f>IFERROR('Data Sheet'!J68,0)</f>
        <v>47788</v>
      </c>
      <c r="L59" s="27">
        <f>IFERROR('Data Sheet'!K68,0)</f>
        <v>47269</v>
      </c>
    </row>
    <row r="60" spans="2:14" x14ac:dyDescent="0.25">
      <c r="B60" t="s">
        <v>78</v>
      </c>
      <c r="C60" s="27">
        <f>IFERROR('Data Sheet'!B69,0)</f>
        <v>30460.400000000001</v>
      </c>
      <c r="D60" s="27">
        <f>IFERROR('Data Sheet'!C69,0)</f>
        <v>36077.879999999997</v>
      </c>
      <c r="E60" s="27">
        <f>IFERROR('Data Sheet'!D69,0)</f>
        <v>34613.910000000003</v>
      </c>
      <c r="F60" s="27">
        <f>IFERROR('Data Sheet'!E69,0)</f>
        <v>32648.82</v>
      </c>
      <c r="G60" s="27">
        <f>IFERROR('Data Sheet'!F69,0)</f>
        <v>33726.97</v>
      </c>
      <c r="H60" s="27">
        <f>IFERROR('Data Sheet'!G69,0)</f>
        <v>46792.46</v>
      </c>
      <c r="I60" s="27">
        <f>IFERROR('Data Sheet'!H69,0)</f>
        <v>40669.19</v>
      </c>
      <c r="J60" s="27">
        <f>IFERROR('Data Sheet'!I69,0)</f>
        <v>37015.56</v>
      </c>
      <c r="K60" s="34">
        <f>IFERROR('Data Sheet'!J69,0)</f>
        <v>45807</v>
      </c>
      <c r="L60" s="27">
        <f>IFERROR('Data Sheet'!K69,0)</f>
        <v>40834</v>
      </c>
    </row>
    <row r="61" spans="2:14" x14ac:dyDescent="0.25">
      <c r="B61" s="54" t="s">
        <v>111</v>
      </c>
      <c r="C61" s="55">
        <f>SUM(C58:C60)</f>
        <v>76687.040000000008</v>
      </c>
      <c r="D61" s="55">
        <f t="shared" ref="D61:K61" si="20">SUM(D58:D60)</f>
        <v>85238.739999999991</v>
      </c>
      <c r="E61" s="55">
        <f t="shared" si="20"/>
        <v>96644.84</v>
      </c>
      <c r="F61" s="55">
        <f t="shared" si="20"/>
        <v>90658.72</v>
      </c>
      <c r="G61" s="55">
        <f t="shared" si="20"/>
        <v>82356.540000000008</v>
      </c>
      <c r="H61" s="55">
        <f t="shared" si="20"/>
        <v>95560.13</v>
      </c>
      <c r="I61" s="55">
        <f t="shared" si="20"/>
        <v>88351.65</v>
      </c>
      <c r="J61" s="55">
        <f t="shared" si="20"/>
        <v>93508.92</v>
      </c>
      <c r="K61" s="55">
        <f t="shared" si="20"/>
        <v>110547</v>
      </c>
      <c r="L61" s="55">
        <f>SUM(L58:L60)</f>
        <v>101351</v>
      </c>
    </row>
    <row r="63" spans="2:14" x14ac:dyDescent="0.25">
      <c r="B63" s="54" t="s">
        <v>112</v>
      </c>
      <c r="C63" s="55">
        <f>SUM(C56,C61)</f>
        <v>263184.12</v>
      </c>
      <c r="D63" s="55">
        <f t="shared" ref="D63:L63" si="21">SUM(D56,D61)</f>
        <v>272580.36</v>
      </c>
      <c r="E63" s="55">
        <f t="shared" si="21"/>
        <v>327191.81</v>
      </c>
      <c r="F63" s="55">
        <f t="shared" si="21"/>
        <v>305703.49</v>
      </c>
      <c r="G63" s="55">
        <f t="shared" si="21"/>
        <v>320179.39</v>
      </c>
      <c r="H63" s="55">
        <f t="shared" si="21"/>
        <v>341569.91</v>
      </c>
      <c r="I63" s="55">
        <f t="shared" si="21"/>
        <v>329061.49</v>
      </c>
      <c r="J63" s="55">
        <f t="shared" si="21"/>
        <v>334674.43</v>
      </c>
      <c r="K63" s="55">
        <f t="shared" si="21"/>
        <v>369521</v>
      </c>
      <c r="L63" s="55">
        <f t="shared" si="21"/>
        <v>376973</v>
      </c>
    </row>
    <row r="65" spans="2:13" x14ac:dyDescent="0.25">
      <c r="B65" s="25" t="s">
        <v>113</v>
      </c>
      <c r="C65" s="26" t="b">
        <f>C63=C50</f>
        <v>1</v>
      </c>
      <c r="D65" s="26" t="b">
        <f t="shared" ref="D65:L65" si="22">D63=D50</f>
        <v>1</v>
      </c>
      <c r="E65" s="26" t="b">
        <f t="shared" si="22"/>
        <v>1</v>
      </c>
      <c r="F65" s="26" t="b">
        <f t="shared" si="22"/>
        <v>1</v>
      </c>
      <c r="G65" s="26" t="b">
        <f t="shared" si="22"/>
        <v>1</v>
      </c>
      <c r="H65" s="26" t="b">
        <f t="shared" si="22"/>
        <v>1</v>
      </c>
      <c r="I65" s="26" t="b">
        <f t="shared" si="22"/>
        <v>1</v>
      </c>
      <c r="J65" s="26" t="b">
        <f t="shared" si="22"/>
        <v>1</v>
      </c>
      <c r="K65" s="26" t="b">
        <f t="shared" si="22"/>
        <v>1</v>
      </c>
      <c r="L65" s="26" t="b">
        <f t="shared" si="22"/>
        <v>1</v>
      </c>
    </row>
    <row r="67" spans="2:13" x14ac:dyDescent="0.25">
      <c r="B67" s="28" t="s">
        <v>148</v>
      </c>
      <c r="C67" s="33">
        <f>C45</f>
        <v>42460</v>
      </c>
      <c r="D67" s="33">
        <f t="shared" ref="D67:L67" si="23">D45</f>
        <v>42825</v>
      </c>
      <c r="E67" s="33">
        <f t="shared" si="23"/>
        <v>43190</v>
      </c>
      <c r="F67" s="33">
        <f t="shared" si="23"/>
        <v>43555</v>
      </c>
      <c r="G67" s="33">
        <f t="shared" si="23"/>
        <v>43921</v>
      </c>
      <c r="H67" s="33">
        <f t="shared" si="23"/>
        <v>44286</v>
      </c>
      <c r="I67" s="33">
        <f t="shared" si="23"/>
        <v>44651</v>
      </c>
      <c r="J67" s="33">
        <f t="shared" si="23"/>
        <v>45016</v>
      </c>
      <c r="K67" s="33">
        <f t="shared" si="23"/>
        <v>45382</v>
      </c>
      <c r="L67" s="33">
        <f t="shared" si="23"/>
        <v>45747</v>
      </c>
      <c r="M67" s="29"/>
    </row>
    <row r="68" spans="2:13" x14ac:dyDescent="0.25">
      <c r="B68" s="2" t="s">
        <v>149</v>
      </c>
      <c r="C68" s="53">
        <f>'Historical financial statements'!C78</f>
        <v>37899</v>
      </c>
      <c r="D68" s="53">
        <f>'Historical financial statements'!D78</f>
        <v>30199</v>
      </c>
      <c r="E68" s="53">
        <f>'Historical financial statements'!E78</f>
        <v>23857</v>
      </c>
      <c r="F68" s="53">
        <f>'Historical financial statements'!F78</f>
        <v>18891</v>
      </c>
      <c r="G68" s="53">
        <f>'Historical financial statements'!G78</f>
        <v>26632</v>
      </c>
      <c r="H68" s="53">
        <f>'Historical financial statements'!H78</f>
        <v>29000</v>
      </c>
      <c r="I68" s="53">
        <f>'Historical financial statements'!I78</f>
        <v>14283</v>
      </c>
      <c r="J68" s="53">
        <f>'Historical financial statements'!J78</f>
        <v>35388</v>
      </c>
      <c r="K68" s="53">
        <f>'Historical financial statements'!K78</f>
        <v>67915</v>
      </c>
      <c r="L68" s="53">
        <f>'Historical financial statements'!L78</f>
        <v>63102</v>
      </c>
    </row>
    <row r="69" spans="2:13" x14ac:dyDescent="0.25"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spans="2:13" x14ac:dyDescent="0.25">
      <c r="B70" s="2" t="s">
        <v>150</v>
      </c>
      <c r="C70" s="53">
        <f>'Historical financial statements'!C92</f>
        <v>-36694</v>
      </c>
      <c r="D70" s="53">
        <f>'Historical financial statements'!D92</f>
        <v>-39572</v>
      </c>
      <c r="E70" s="53">
        <f>'Historical financial statements'!E92</f>
        <v>-25140</v>
      </c>
      <c r="F70" s="53">
        <f>'Historical financial statements'!F92</f>
        <v>-20879</v>
      </c>
      <c r="G70" s="53">
        <f>'Historical financial statements'!G92</f>
        <v>-33116</v>
      </c>
      <c r="H70" s="53">
        <f>'Historical financial statements'!H92</f>
        <v>-25671</v>
      </c>
      <c r="I70" s="53">
        <f>'Historical financial statements'!I92</f>
        <v>-4442</v>
      </c>
      <c r="J70" s="53">
        <f>'Historical financial statements'!J92</f>
        <v>-15419</v>
      </c>
      <c r="K70" s="53">
        <f>'Historical financial statements'!K92</f>
        <v>-22781</v>
      </c>
      <c r="L70" s="53">
        <f>'Historical financial statements'!L92</f>
        <v>-49982</v>
      </c>
    </row>
    <row r="71" spans="2:13" x14ac:dyDescent="0.25"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2" spans="2:13" x14ac:dyDescent="0.25">
      <c r="B72" s="2" t="s">
        <v>151</v>
      </c>
      <c r="C72" s="53">
        <f>'Historical financial statements'!C103</f>
        <v>-3796</v>
      </c>
      <c r="D72" s="53">
        <f>'Historical financial statements'!D103</f>
        <v>6206</v>
      </c>
      <c r="E72" s="53">
        <f>'Historical financial statements'!E103</f>
        <v>2011</v>
      </c>
      <c r="F72" s="53">
        <f>'Historical financial statements'!F103</f>
        <v>8830</v>
      </c>
      <c r="G72" s="53">
        <f>'Historical financial statements'!G103</f>
        <v>3389</v>
      </c>
      <c r="H72" s="53">
        <f>'Historical financial statements'!H103</f>
        <v>9905</v>
      </c>
      <c r="I72" s="53">
        <f>'Historical financial statements'!I103</f>
        <v>-3379</v>
      </c>
      <c r="J72" s="53">
        <f>'Historical financial statements'!J103</f>
        <v>-26242</v>
      </c>
      <c r="K72" s="53">
        <f>'Historical financial statements'!K103</f>
        <v>-37006</v>
      </c>
      <c r="L72" s="53">
        <f>'Historical financial statements'!L103</f>
        <v>-18786</v>
      </c>
    </row>
    <row r="74" spans="2:13" x14ac:dyDescent="0.25">
      <c r="B74" s="2" t="s">
        <v>35</v>
      </c>
      <c r="C74" s="52">
        <f>SUM(C68:C72)</f>
        <v>-2591</v>
      </c>
      <c r="D74" s="52">
        <f t="shared" ref="D74:L74" si="24">SUM(D68:D72)</f>
        <v>-3167</v>
      </c>
      <c r="E74" s="52">
        <f t="shared" si="24"/>
        <v>728</v>
      </c>
      <c r="F74" s="52">
        <f t="shared" si="24"/>
        <v>6842</v>
      </c>
      <c r="G74" s="52">
        <f t="shared" si="24"/>
        <v>-3095</v>
      </c>
      <c r="H74" s="52">
        <f t="shared" si="24"/>
        <v>13234</v>
      </c>
      <c r="I74" s="52">
        <f t="shared" si="24"/>
        <v>6462</v>
      </c>
      <c r="J74" s="52">
        <f t="shared" si="24"/>
        <v>-6273</v>
      </c>
      <c r="K74" s="52">
        <f t="shared" si="24"/>
        <v>8128</v>
      </c>
      <c r="L74" s="52">
        <f t="shared" si="24"/>
        <v>-5666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897F-88E0-4B65-A8E7-D75615E16CD7}">
  <sheetPr>
    <tabColor rgb="FFFFFF00"/>
  </sheetPr>
  <dimension ref="B2:R42"/>
  <sheetViews>
    <sheetView showGridLines="0" zoomScale="110" zoomScaleNormal="110" workbookViewId="0">
      <pane ySplit="3" topLeftCell="A4" activePane="bottomLeft" state="frozen"/>
      <selection pane="bottomLeft" activeCell="B2" sqref="B2:O2"/>
    </sheetView>
  </sheetViews>
  <sheetFormatPr defaultRowHeight="15" x14ac:dyDescent="0.25"/>
  <cols>
    <col min="1" max="1" width="1.85546875" customWidth="1"/>
    <col min="2" max="2" width="42.5703125" customWidth="1"/>
    <col min="3" max="3" width="13.42578125" customWidth="1"/>
    <col min="4" max="4" width="12.85546875" customWidth="1"/>
    <col min="5" max="5" width="11.85546875" customWidth="1"/>
    <col min="6" max="6" width="12.28515625" customWidth="1"/>
    <col min="7" max="7" width="11.42578125" customWidth="1"/>
    <col min="8" max="8" width="10.7109375" customWidth="1"/>
    <col min="9" max="9" width="12.7109375" customWidth="1"/>
    <col min="10" max="10" width="11.85546875" customWidth="1"/>
    <col min="11" max="11" width="10.42578125" customWidth="1"/>
    <col min="12" max="12" width="11.85546875" customWidth="1"/>
    <col min="13" max="13" width="17.140625" customWidth="1"/>
    <col min="14" max="14" width="16.85546875" customWidth="1"/>
    <col min="15" max="15" width="12.7109375" customWidth="1"/>
  </cols>
  <sheetData>
    <row r="2" spans="2:15" x14ac:dyDescent="0.25">
      <c r="B2" s="76" t="str">
        <f>"Ratio Analysis - "&amp; 'Data Sheet'!B1</f>
        <v>Ratio Analysis - TATA MOTORS LTD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x14ac:dyDescent="0.25">
      <c r="B3" s="21" t="s">
        <v>81</v>
      </c>
      <c r="C3" s="22">
        <f>'2nd Financial Model'!C2</f>
        <v>42460</v>
      </c>
      <c r="D3" s="22">
        <f>'2nd Financial Model'!D2</f>
        <v>42825</v>
      </c>
      <c r="E3" s="22">
        <f>'2nd Financial Model'!E2</f>
        <v>43190</v>
      </c>
      <c r="F3" s="22">
        <f>'2nd Financial Model'!F2</f>
        <v>43555</v>
      </c>
      <c r="G3" s="22">
        <f>'2nd Financial Model'!G2</f>
        <v>43921</v>
      </c>
      <c r="H3" s="22">
        <f>'2nd Financial Model'!H2</f>
        <v>44286</v>
      </c>
      <c r="I3" s="22">
        <f>'2nd Financial Model'!I2</f>
        <v>44651</v>
      </c>
      <c r="J3" s="22">
        <f>'2nd Financial Model'!J2</f>
        <v>45016</v>
      </c>
      <c r="K3" s="22">
        <f>'2nd Financial Model'!K2</f>
        <v>45382</v>
      </c>
      <c r="L3" s="22">
        <f>'2nd Financial Model'!L2</f>
        <v>45747</v>
      </c>
      <c r="M3" s="71" t="s">
        <v>184</v>
      </c>
      <c r="N3" s="71" t="s">
        <v>182</v>
      </c>
      <c r="O3" s="71" t="s">
        <v>183</v>
      </c>
    </row>
    <row r="5" spans="2:15" x14ac:dyDescent="0.25">
      <c r="B5" s="60" t="s">
        <v>152</v>
      </c>
      <c r="C5" s="61"/>
      <c r="D5" s="61">
        <f>IFERROR('2nd Financial Model'!D5/'2nd Financial Model'!C5-1,0)</f>
        <v>-1.2280329732469508E-2</v>
      </c>
      <c r="E5" s="61">
        <f>IFERROR('2nd Financial Model'!E5/'2nd Financial Model'!D5-1,0)</f>
        <v>8.104774581985974E-2</v>
      </c>
      <c r="F5" s="61">
        <f>IFERROR('2nd Financial Model'!F5/'2nd Financial Model'!E5-1,0)</f>
        <v>3.5629919045237157E-2</v>
      </c>
      <c r="G5" s="61">
        <f>IFERROR('2nd Financial Model'!G5/'2nd Financial Model'!F5-1,0)</f>
        <v>-0.135360159555724</v>
      </c>
      <c r="H5" s="61">
        <f>IFERROR('2nd Financial Model'!H5/'2nd Financial Model'!G5-1,0)</f>
        <v>-4.3181168490336042E-2</v>
      </c>
      <c r="I5" s="61">
        <f>IFERROR('2nd Financial Model'!I5/'2nd Financial Model'!H5-1,0)</f>
        <v>0.11472967306158344</v>
      </c>
      <c r="J5" s="61">
        <f>IFERROR('2nd Financial Model'!J5/'2nd Financial Model'!I5-1,0)</f>
        <v>0.24245815155859707</v>
      </c>
      <c r="K5" s="61">
        <f>IFERROR('2nd Financial Model'!K5/'2nd Financial Model'!J5-1,0)</f>
        <v>0.25450126062612277</v>
      </c>
      <c r="L5" s="61">
        <f>IFERROR('2nd Financial Model'!L5/'2nd Financial Model'!K5-1,0)</f>
        <v>1.3084771068347711E-2</v>
      </c>
      <c r="N5" s="57">
        <f>IFERROR(AVERAGE(D5:L5),0)</f>
        <v>6.1181095933468703E-2</v>
      </c>
      <c r="O5" s="57">
        <f>IFERROR(MEDIAN(D5:L5),0)</f>
        <v>3.5629919045237157E-2</v>
      </c>
    </row>
    <row r="6" spans="2:15" x14ac:dyDescent="0.25">
      <c r="B6" t="s">
        <v>153</v>
      </c>
      <c r="C6" s="62"/>
      <c r="D6" s="62">
        <f>IFERROR('2nd Financial Model'!D17/'2nd Financial Model'!C17-1,0)</f>
        <v>-0.22936587208052905</v>
      </c>
      <c r="E6" s="62">
        <f>IFERROR('2nd Financial Model'!E17/'2nd Financial Model'!D17-1,0)</f>
        <v>6.3165689322506102E-2</v>
      </c>
      <c r="F6" s="62">
        <f>IFERROR('2nd Financial Model'!F17/'2nd Financial Model'!E17-1,0)</f>
        <v>-0.21595203460649259</v>
      </c>
      <c r="G6" s="62">
        <f>IFERROR('2nd Financial Model'!G17/'2nd Financial Model'!F17-1,0)</f>
        <v>-0.27072537547138131</v>
      </c>
      <c r="H6" s="62">
        <f>IFERROR('2nd Financial Model'!H17/'2nd Financial Model'!G17-1,0)</f>
        <v>0.79503554497758966</v>
      </c>
      <c r="I6" s="62">
        <f>IFERROR('2nd Financial Model'!I17/'2nd Financial Model'!H17-1,0)</f>
        <v>-0.234374182150762</v>
      </c>
      <c r="J6" s="62">
        <f>IFERROR('2nd Financial Model'!J17/'2nd Financial Model'!I17-1,0)</f>
        <v>0.28704223973294352</v>
      </c>
      <c r="K6" s="62">
        <f>IFERROR('2nd Financial Model'!K17/'2nd Financial Model'!J17-1,0)</f>
        <v>0.81746176428064277</v>
      </c>
      <c r="L6" s="62">
        <f>IFERROR('2nd Financial Model'!L17/'2nd Financial Model'!K17-1,0)</f>
        <v>-4.510237963475372E-2</v>
      </c>
      <c r="N6" s="57">
        <f t="shared" ref="N6:N9" si="0">IFERROR(AVERAGE(D6:L6),0)</f>
        <v>0.1074650438188626</v>
      </c>
      <c r="O6" s="57">
        <f t="shared" ref="O6:O31" si="1">IFERROR(MEDIAN(D6:L6),0)</f>
        <v>-4.510237963475372E-2</v>
      </c>
    </row>
    <row r="7" spans="2:15" x14ac:dyDescent="0.25">
      <c r="B7" t="s">
        <v>179</v>
      </c>
      <c r="C7" s="62"/>
      <c r="D7" s="62">
        <f>IFERROR('2nd Financial Model'!D26/'2nd Financial Model'!C26-1,0)</f>
        <v>-0.55668251823863213</v>
      </c>
      <c r="E7" s="62">
        <f>IFERROR('2nd Financial Model'!E26/'2nd Financial Model'!D26-1,0)</f>
        <v>-0.29861436616351744</v>
      </c>
      <c r="F7" s="62">
        <f>IFERROR('2nd Financial Model'!F26/'2nd Financial Model'!E26-1,0)</f>
        <v>-1.897095149646705</v>
      </c>
      <c r="G7" s="62">
        <f>IFERROR('2nd Financial Model'!G26/'2nd Financial Model'!F26-1,0)</f>
        <v>1.2800251873039095</v>
      </c>
      <c r="H7" s="62">
        <f>IFERROR('2nd Financial Model'!H26/'2nd Financial Model'!G26-1,0)</f>
        <v>-1.0602479570180365</v>
      </c>
      <c r="I7" s="62">
        <f>IFERROR('2nd Financial Model'!I26/'2nd Financial Model'!H26-1,0)</f>
        <v>-15.64914925025267</v>
      </c>
      <c r="J7" s="62">
        <f>IFERROR('2nd Financial Model'!J26/'2nd Financial Model'!I26-1,0)</f>
        <v>-0.65313668793078505</v>
      </c>
      <c r="K7" s="62">
        <f>IFERROR('2nd Financial Model'!K26/'2nd Financial Model'!J26-1,0)</f>
        <v>-8.0308008464727472</v>
      </c>
      <c r="L7" s="62">
        <f>IFERROR('2nd Financial Model'!L26/'2nd Financial Model'!K26-1,0)</f>
        <v>0.16902266104127706</v>
      </c>
      <c r="N7" s="57">
        <f t="shared" si="0"/>
        <v>-2.9662976585975454</v>
      </c>
      <c r="O7" s="57">
        <f t="shared" si="1"/>
        <v>-0.65313668793078505</v>
      </c>
    </row>
    <row r="8" spans="2:15" x14ac:dyDescent="0.25">
      <c r="B8" t="s">
        <v>154</v>
      </c>
      <c r="C8" s="62"/>
      <c r="D8" s="62">
        <f>IFERROR('2nd Financial Model'!D32/'2nd Financial Model'!C32-1,0)</f>
        <v>-0.69539895165986787</v>
      </c>
      <c r="E8" s="62">
        <f>IFERROR('2nd Financial Model'!E32/'2nd Financial Model'!D32-1,0)</f>
        <v>-0.79011124197155724</v>
      </c>
      <c r="F8" s="62">
        <f>IFERROR('2nd Financial Model'!F32/'2nd Financial Model'!E32-1,0)</f>
        <v>-3.5528470983790919</v>
      </c>
      <c r="G8" s="62">
        <f>IFERROR('2nd Financial Model'!G32/'2nd Financial Model'!F32-1,0)</f>
        <v>3.9286702707513577</v>
      </c>
      <c r="H8" s="62">
        <f>IFERROR('2nd Financial Model'!H32/'2nd Financial Model'!G32-1,0)</f>
        <v>-0.82862505348950144</v>
      </c>
      <c r="I8" s="62">
        <f>IFERROR('2nd Financial Model'!I32/'2nd Financial Model'!H32-1,0)</f>
        <v>6.1952157445306248</v>
      </c>
      <c r="J8" s="62">
        <f>IFERROR('2nd Financial Model'!J32/'2nd Financial Model'!I32-1,0)</f>
        <v>-0.7090436533357708</v>
      </c>
      <c r="K8" s="62">
        <f>IFERROR('2nd Financial Model'!K32/'2nd Financial Model'!J32-1,0)</f>
        <v>-7.7977655318184613</v>
      </c>
      <c r="L8" s="62">
        <f>IFERROR('2nd Financial Model'!L32/'2nd Financial Model'!K32-1,0)</f>
        <v>-0.39385526559318895</v>
      </c>
      <c r="N8" s="57">
        <f t="shared" si="0"/>
        <v>-0.51597342010727287</v>
      </c>
      <c r="O8" s="57">
        <f t="shared" si="1"/>
        <v>-0.7090436533357708</v>
      </c>
    </row>
    <row r="9" spans="2:15" x14ac:dyDescent="0.25">
      <c r="B9" s="63" t="s">
        <v>155</v>
      </c>
      <c r="C9" s="64"/>
      <c r="D9" s="64">
        <f>IFERROR('2nd Financial Model'!D40/'2nd Financial Model'!C40-1,0)</f>
        <v>-1</v>
      </c>
      <c r="E9" s="64">
        <f>IFERROR('2nd Financial Model'!E40/'2nd Financial Model'!D40-1,0)</f>
        <v>0</v>
      </c>
      <c r="F9" s="64">
        <f>IFERROR('2nd Financial Model'!F40/'2nd Financial Model'!E40-1,0)</f>
        <v>0</v>
      </c>
      <c r="G9" s="64">
        <f>IFERROR('2nd Financial Model'!G40/'2nd Financial Model'!F40-1,0)</f>
        <v>0</v>
      </c>
      <c r="H9" s="64">
        <f>IFERROR('2nd Financial Model'!H40/'2nd Financial Model'!G40-1,0)</f>
        <v>0</v>
      </c>
      <c r="I9" s="64">
        <f>IFERROR('2nd Financial Model'!I40/'2nd Financial Model'!H40-1,0)</f>
        <v>0</v>
      </c>
      <c r="J9" s="64">
        <f>IFERROR('2nd Financial Model'!J40/'2nd Financial Model'!I40-1,0)</f>
        <v>0</v>
      </c>
      <c r="K9" s="64">
        <f>IFERROR('2nd Financial Model'!K40/'2nd Financial Model'!J40-1,0)</f>
        <v>2.0038380198950421</v>
      </c>
      <c r="L9" s="64">
        <f>IFERROR('2nd Financial Model'!L40/'2nd Financial Model'!K40-1,0)</f>
        <v>-4.0417209908735319E-2</v>
      </c>
      <c r="N9" s="57">
        <f t="shared" si="0"/>
        <v>0.1070467566651452</v>
      </c>
      <c r="O9" s="57">
        <f t="shared" si="1"/>
        <v>0</v>
      </c>
    </row>
    <row r="11" spans="2:15" x14ac:dyDescent="0.25">
      <c r="B11" s="60" t="s">
        <v>95</v>
      </c>
      <c r="C11" s="61">
        <f>IFERROR('2nd Financial Model'!C12,0)</f>
        <v>0.24734524196690946</v>
      </c>
      <c r="D11" s="61">
        <f>IFERROR('2nd Financial Model'!D12,0)</f>
        <v>0.23819078253229964</v>
      </c>
      <c r="E11" s="61">
        <f>IFERROR('2nd Financial Model'!E12,0)</f>
        <v>0.21649990080619999</v>
      </c>
      <c r="F11" s="61">
        <f>IFERROR('2nd Financial Model'!F12,0)</f>
        <v>0.19571167496416494</v>
      </c>
      <c r="G11" s="61">
        <f>IFERROR('2nd Financial Model'!G12,0)</f>
        <v>0.19417127271491774</v>
      </c>
      <c r="H11" s="61">
        <f>IFERROR('2nd Financial Model'!H12,0)</f>
        <v>0.2180538622208833</v>
      </c>
      <c r="I11" s="61">
        <f>IFERROR('2nd Financial Model'!I12,0)</f>
        <v>0.19807108271747378</v>
      </c>
      <c r="J11" s="61">
        <f>IFERROR('2nd Financial Model'!J12,0)</f>
        <v>0.20685017994636876</v>
      </c>
      <c r="K11" s="61">
        <f>IFERROR('2nd Financial Model'!K12,0)</f>
        <v>0.22956757354567572</v>
      </c>
      <c r="L11" s="61">
        <f>IFERROR('2nd Financial Model'!L12,0)</f>
        <v>0.22489680346603896</v>
      </c>
      <c r="M11" s="60"/>
      <c r="N11" s="61">
        <f>IFERROR(AVERAGE(C11:L11),0)</f>
        <v>0.2169358374880932</v>
      </c>
      <c r="O11" s="61">
        <f t="shared" si="1"/>
        <v>0.21649990080619999</v>
      </c>
    </row>
    <row r="12" spans="2:15" x14ac:dyDescent="0.25">
      <c r="B12" t="s">
        <v>156</v>
      </c>
      <c r="C12" s="62">
        <f>IFERROR('2nd Financial Model'!C18,0)</f>
        <v>0.14061845347443788</v>
      </c>
      <c r="D12" s="62">
        <f>IFERROR('2nd Financial Model'!D18,0)</f>
        <v>0.10971268723777329</v>
      </c>
      <c r="E12" s="62">
        <f>IFERROR('2nd Financial Model'!E18,0)</f>
        <v>0.10789788444182975</v>
      </c>
      <c r="F12" s="62">
        <f>IFERROR('2nd Financial Model'!F18,0)</f>
        <v>8.1686628795807431E-2</v>
      </c>
      <c r="G12" s="62">
        <f>IFERROR('2nd Financial Model'!G18,0)</f>
        <v>6.8898034485042198E-2</v>
      </c>
      <c r="H12" s="62">
        <f>IFERROR('2nd Financial Model'!H18,0)</f>
        <v>0.12925583904385496</v>
      </c>
      <c r="I12" s="62">
        <f>IFERROR('2nd Financial Model'!I18,0)</f>
        <v>8.877632835227646E-2</v>
      </c>
      <c r="J12" s="62">
        <f>IFERROR('2nd Financial Model'!J18,0)</f>
        <v>9.1961958102532049E-2</v>
      </c>
      <c r="K12" s="62">
        <f>IFERROR('2nd Financial Model'!K18,0)</f>
        <v>0.13323011133230112</v>
      </c>
      <c r="L12" s="62">
        <f>IFERROR('2nd Financial Model'!L18,0)</f>
        <v>0.12557795744777631</v>
      </c>
      <c r="N12" s="62">
        <f t="shared" ref="N12:N31" si="2">IFERROR(AVERAGE(C12:L12),0)</f>
        <v>0.10776158827136313</v>
      </c>
      <c r="O12" s="62">
        <f t="shared" si="1"/>
        <v>0.10789788444182975</v>
      </c>
    </row>
    <row r="13" spans="2:15" x14ac:dyDescent="0.25">
      <c r="B13" t="s">
        <v>157</v>
      </c>
      <c r="C13" s="62">
        <f>IFERROR(('2nd Financial Model'!C17-'2nd Financial Model'!C23)/'2nd Financial Model'!C5,0)</f>
        <v>7.941702777851016E-2</v>
      </c>
      <c r="D13" s="62">
        <f>IFERROR(('2nd Financial Model'!D17-'2nd Financial Model'!D23)/'2nd Financial Model'!D5,0)</f>
        <v>4.3322300645279484E-2</v>
      </c>
      <c r="E13" s="62">
        <f>IFERROR(('2nd Financial Model'!E17-'2nd Financial Model'!E23)/'2nd Financial Model'!E5,0)</f>
        <v>3.3970412259310953E-2</v>
      </c>
      <c r="F13" s="62">
        <f>IFERROR(('2nd Financial Model'!F17-'2nd Financial Model'!F23)/'2nd Financial Model'!F5,0)</f>
        <v>3.5560233478087663E-3</v>
      </c>
      <c r="G13" s="62">
        <f>IFERROR(('2nd Financial Model'!G17-'2nd Financial Model'!G23)/'2nd Financial Model'!G5,0)</f>
        <v>-1.3170363258273456E-2</v>
      </c>
      <c r="H13" s="62">
        <f>IFERROR(('2nd Financial Model'!H17-'2nd Financial Model'!H23)/'2nd Financial Model'!H5,0)</f>
        <v>3.4991608110258483E-2</v>
      </c>
      <c r="I13" s="62">
        <f>IFERROR(('2nd Financial Model'!I17-'2nd Financial Model'!I23)/'2nd Financial Model'!I5,0)</f>
        <v>-4.1514992694289269E-4</v>
      </c>
      <c r="J13" s="62">
        <f>IFERROR(('2nd Financial Model'!J17-'2nd Financial Model'!J23)/'2nd Financial Model'!J5,0)</f>
        <v>2.0104346955433228E-2</v>
      </c>
      <c r="K13" s="62">
        <f>IFERROR(('2nd Financial Model'!K17-'2nd Financial Model'!K23)/'2nd Financial Model'!K5,0)</f>
        <v>7.0469752267197525E-2</v>
      </c>
      <c r="L13" s="62">
        <f>IFERROR(('2nd Financial Model'!L17-'2nd Financial Model'!L23)/'2nd Financial Model'!L5,0)</f>
        <v>7.2686748769033083E-2</v>
      </c>
      <c r="N13" s="62">
        <f t="shared" si="2"/>
        <v>3.4493270694761533E-2</v>
      </c>
      <c r="O13" s="62">
        <f t="shared" si="1"/>
        <v>3.3970412259310953E-2</v>
      </c>
    </row>
    <row r="14" spans="2:15" x14ac:dyDescent="0.25">
      <c r="B14" t="s">
        <v>158</v>
      </c>
      <c r="C14" s="62">
        <f>IFERROR('2nd Financial Model'!C27,0)</f>
        <v>6.1511300676516931E-2</v>
      </c>
      <c r="D14" s="62">
        <f>IFERROR('2nd Financial Model'!D27,0)</f>
        <v>2.7608071132565179E-2</v>
      </c>
      <c r="E14" s="62">
        <f>IFERROR('2nd Financial Model'!E27,0)</f>
        <v>1.7912163958707913E-2</v>
      </c>
      <c r="F14" s="62">
        <f>IFERROR('2nd Financial Model'!F27,0)</f>
        <v>-1.5516078776333117E-2</v>
      </c>
      <c r="G14" s="62">
        <f>IFERROR('2nd Financial Model'!G27,0)</f>
        <v>-4.0915360088026265E-2</v>
      </c>
      <c r="H14" s="62">
        <f>IFERROR('2nd Financial Model'!H27,0)</f>
        <v>2.5763151547420113E-3</v>
      </c>
      <c r="I14" s="62">
        <f>IFERROR('2nd Financial Model'!I27,0)</f>
        <v>-3.3856482095653805E-2</v>
      </c>
      <c r="J14" s="62">
        <f>IFERROR('2nd Financial Model'!J27,0)</f>
        <v>-9.4518849588445895E-3</v>
      </c>
      <c r="K14" s="62">
        <f>IFERROR('2nd Financial Model'!K27,0)</f>
        <v>5.2972701467227018E-2</v>
      </c>
      <c r="L14" s="62">
        <f>IFERROR('2nd Financial Model'!L27,0)</f>
        <v>6.1126462661617711E-2</v>
      </c>
      <c r="N14" s="62">
        <f t="shared" si="2"/>
        <v>1.2396720913251899E-2</v>
      </c>
      <c r="O14" s="62">
        <f t="shared" si="1"/>
        <v>2.5763151547420113E-3</v>
      </c>
    </row>
    <row r="15" spans="2:15" x14ac:dyDescent="0.25">
      <c r="B15" s="63" t="s">
        <v>159</v>
      </c>
      <c r="C15" s="64">
        <f>IFERROR('2nd Financial Model'!C33,0)</f>
        <v>5.0432381990407359E-2</v>
      </c>
      <c r="D15" s="64">
        <f>IFERROR('2nd Financial Model'!D33,0)</f>
        <v>1.5552749314395296E-2</v>
      </c>
      <c r="E15" s="64">
        <f>IFERROR('2nd Financial Model'!E33,0)</f>
        <v>3.01961430487095E-3</v>
      </c>
      <c r="F15" s="64">
        <f>IFERROR('2nd Financial Model'!F33,0)</f>
        <v>-7.4434056747998256E-3</v>
      </c>
      <c r="G15" s="64">
        <f>IFERROR('2nd Financial Model'!G33,0)</f>
        <v>-4.2429333632923408E-2</v>
      </c>
      <c r="H15" s="64">
        <f>IFERROR('2nd Financial Model'!H33,0)</f>
        <v>-7.5994791724005731E-3</v>
      </c>
      <c r="I15" s="64">
        <f>IFERROR('2nd Financial Model'!I33,0)</f>
        <v>-4.9052154538339235E-2</v>
      </c>
      <c r="J15" s="64">
        <f>IFERROR('2nd Financial Model'!J33,0)</f>
        <v>-1.1486934720964945E-2</v>
      </c>
      <c r="K15" s="64">
        <f>IFERROR('2nd Financial Model'!K33,0)</f>
        <v>6.224424905994249E-2</v>
      </c>
      <c r="L15" s="64">
        <f>IFERROR('2nd Financial Model'!L33,0)</f>
        <v>3.724172437712505E-2</v>
      </c>
      <c r="M15" s="63"/>
      <c r="N15" s="64">
        <f t="shared" si="2"/>
        <v>5.0479411307313166E-3</v>
      </c>
      <c r="O15" s="64">
        <f t="shared" si="1"/>
        <v>-7.4434056747998256E-3</v>
      </c>
    </row>
    <row r="17" spans="2:15" x14ac:dyDescent="0.25">
      <c r="B17" s="60" t="s">
        <v>160</v>
      </c>
      <c r="C17" s="61">
        <f>IFERROR('2nd Financial Model'!C15,0)</f>
        <v>0.10672678849247161</v>
      </c>
      <c r="D17" s="61">
        <f>IFERROR('2nd Financial Model'!D15,0)</f>
        <v>0.12847809529452636</v>
      </c>
      <c r="E17" s="61">
        <f>IFERROR('2nd Financial Model'!E15,0)</f>
        <v>0.10860201636437025</v>
      </c>
      <c r="F17" s="61">
        <f>IFERROR('2nd Financial Model'!F15,0)</f>
        <v>0.11402504616835751</v>
      </c>
      <c r="G17" s="61">
        <f>IFERROR('2nd Financial Model'!G15,0)</f>
        <v>0.12527323822987554</v>
      </c>
      <c r="H17" s="61">
        <f>IFERROR('2nd Financial Model'!H15,0)</f>
        <v>8.8798023177028354E-2</v>
      </c>
      <c r="I17" s="61">
        <f>IFERROR('2nd Financial Model'!I15,0)</f>
        <v>0.10929475436519734</v>
      </c>
      <c r="J17" s="61">
        <f>IFERROR('2nd Financial Model'!J15,0)</f>
        <v>0.11488822184383672</v>
      </c>
      <c r="K17" s="61">
        <f>IFERROR('2nd Financial Model'!K15,0)</f>
        <v>9.6337462213374622E-2</v>
      </c>
      <c r="L17" s="61">
        <f>IFERROR('2nd Financial Model'!L15,0)</f>
        <v>9.9318846018262658E-2</v>
      </c>
      <c r="M17" s="60"/>
      <c r="N17" s="61">
        <f t="shared" si="2"/>
        <v>0.10917424921673009</v>
      </c>
      <c r="O17" s="61">
        <f t="shared" si="1"/>
        <v>0.10929475436519734</v>
      </c>
    </row>
    <row r="18" spans="2:15" x14ac:dyDescent="0.25">
      <c r="B18" t="s">
        <v>162</v>
      </c>
      <c r="C18" s="62">
        <f>IFERROR('2nd Financial Model'!C24,0)</f>
        <v>6.1201425695927715E-2</v>
      </c>
      <c r="D18" s="62">
        <f>IFERROR('2nd Financial Model'!D24,0)</f>
        <v>6.63903865924938E-2</v>
      </c>
      <c r="E18" s="62">
        <f>IFERROR('2nd Financial Model'!E24,0)</f>
        <v>7.3927472182518786E-2</v>
      </c>
      <c r="F18" s="62">
        <f>IFERROR('2nd Financial Model'!F24,0)</f>
        <v>7.8130605447998658E-2</v>
      </c>
      <c r="G18" s="62">
        <f>IFERROR('2nd Financial Model'!G24,0)</f>
        <v>8.206839774331566E-2</v>
      </c>
      <c r="H18" s="62">
        <f>IFERROR('2nd Financial Model'!H24,0)</f>
        <v>9.4264230933596482E-2</v>
      </c>
      <c r="I18" s="62">
        <f>IFERROR('2nd Financial Model'!I24,0)</f>
        <v>8.9191478279219347E-2</v>
      </c>
      <c r="J18" s="62">
        <f>IFERROR('2nd Financial Model'!J24,0)</f>
        <v>7.1857611147098821E-2</v>
      </c>
      <c r="K18" s="62">
        <f>IFERROR('2nd Financial Model'!K24,0)</f>
        <v>6.2760359065103591E-2</v>
      </c>
      <c r="L18" s="62">
        <f>IFERROR('2nd Financial Model'!L24,0)</f>
        <v>5.2891208678743216E-2</v>
      </c>
      <c r="N18" s="62">
        <f t="shared" si="2"/>
        <v>7.3268317576601599E-2</v>
      </c>
      <c r="O18" s="62">
        <f t="shared" si="1"/>
        <v>7.3927472182518786E-2</v>
      </c>
    </row>
    <row r="19" spans="2:15" x14ac:dyDescent="0.25">
      <c r="B19" s="63" t="s">
        <v>161</v>
      </c>
      <c r="C19" s="65">
        <f>C13</f>
        <v>7.941702777851016E-2</v>
      </c>
      <c r="D19" s="65">
        <f t="shared" ref="D19:L19" si="3">D13</f>
        <v>4.3322300645279484E-2</v>
      </c>
      <c r="E19" s="65">
        <f t="shared" si="3"/>
        <v>3.3970412259310953E-2</v>
      </c>
      <c r="F19" s="65">
        <f t="shared" si="3"/>
        <v>3.5560233478087663E-3</v>
      </c>
      <c r="G19" s="65">
        <f t="shared" si="3"/>
        <v>-1.3170363258273456E-2</v>
      </c>
      <c r="H19" s="65">
        <f t="shared" si="3"/>
        <v>3.4991608110258483E-2</v>
      </c>
      <c r="I19" s="65">
        <f t="shared" si="3"/>
        <v>-4.1514992694289269E-4</v>
      </c>
      <c r="J19" s="65">
        <f t="shared" si="3"/>
        <v>2.0104346955433228E-2</v>
      </c>
      <c r="K19" s="65">
        <f t="shared" si="3"/>
        <v>7.0469752267197525E-2</v>
      </c>
      <c r="L19" s="65">
        <f t="shared" si="3"/>
        <v>7.2686748769033083E-2</v>
      </c>
      <c r="M19" s="63"/>
      <c r="N19" s="64">
        <f t="shared" si="2"/>
        <v>3.4493270694761533E-2</v>
      </c>
      <c r="O19" s="64">
        <f t="shared" si="1"/>
        <v>3.3970412259310953E-2</v>
      </c>
    </row>
    <row r="21" spans="2:15" x14ac:dyDescent="0.25">
      <c r="B21" s="60" t="s">
        <v>163</v>
      </c>
      <c r="C21" s="61">
        <f>IFERROR(('2nd Financial Model'!C17-'2nd Financial Model'!C23)/(SUM('2nd Financial Model'!C46:C48)),0)</f>
        <v>0.1462081011853561</v>
      </c>
      <c r="D21" s="61">
        <f>IFERROR(('2nd Financial Model'!D17-'2nd Financial Model'!D23)/(SUM('2nd Financial Model'!D46:D48)),0)</f>
        <v>8.5490986154773282E-2</v>
      </c>
      <c r="E21" s="61">
        <f>IFERROR(('2nd Financial Model'!E17-'2nd Financial Model'!E23)/(SUM('2nd Financial Model'!E46:E48)),0)</f>
        <v>5.3716113570365424E-2</v>
      </c>
      <c r="F21" s="61">
        <f>IFERROR(('2nd Financial Model'!F17-'2nd Financial Model'!F23)/(SUM('2nd Financial Model'!F46:F48)),0)</f>
        <v>6.4542733637543747E-3</v>
      </c>
      <c r="G21" s="61">
        <f>IFERROR(('2nd Financial Model'!G17-'2nd Financial Model'!G23)/(SUM('2nd Financial Model'!G46:G48)),0)</f>
        <v>-1.8302177555437667E-2</v>
      </c>
      <c r="H21" s="61">
        <f>IFERROR(('2nd Financial Model'!H17-'2nd Financial Model'!H23)/(SUM('2nd Financial Model'!H46:H48)),0)</f>
        <v>4.4284324706251613E-2</v>
      </c>
      <c r="I21" s="61">
        <f>IFERROR(('2nd Financial Model'!I17-'2nd Financial Model'!I23)/(SUM('2nd Financial Model'!I46:I48)),0)</f>
        <v>-6.0520306054739361E-4</v>
      </c>
      <c r="J21" s="61">
        <f>IFERROR(('2nd Financial Model'!J17-'2nd Financial Model'!J23)/(SUM('2nd Financial Model'!J46:J48)),0)</f>
        <v>3.8762956416083731E-2</v>
      </c>
      <c r="K21" s="61">
        <f>IFERROR(('2nd Financial Model'!K17-'2nd Financial Model'!K23)/(SUM('2nd Financial Model'!K46:K48)),0)</f>
        <v>0.15914601783725843</v>
      </c>
      <c r="L21" s="61">
        <f>IFERROR(('2nd Financial Model'!L17-'2nd Financial Model'!L23)/(SUM('2nd Financial Model'!L46:L48)),0)</f>
        <v>0.17028622578376421</v>
      </c>
      <c r="M21" s="60"/>
      <c r="N21" s="61">
        <f t="shared" si="2"/>
        <v>6.854416184016221E-2</v>
      </c>
      <c r="O21" s="61">
        <f t="shared" si="1"/>
        <v>4.4284324706251613E-2</v>
      </c>
    </row>
    <row r="22" spans="2:15" x14ac:dyDescent="0.25">
      <c r="B22" t="s">
        <v>164</v>
      </c>
      <c r="C22" s="62">
        <f>IFERROR('2nd Financial Model'!C43,0)</f>
        <v>0</v>
      </c>
      <c r="D22" s="62">
        <f>IFERROR('2nd Financial Model'!D43,0)</f>
        <v>1</v>
      </c>
      <c r="E22" s="62">
        <f>IFERROR('2nd Financial Model'!E43,0)</f>
        <v>1</v>
      </c>
      <c r="F22" s="62">
        <f>IFERROR('2nd Financial Model'!F43,0)</f>
        <v>0</v>
      </c>
      <c r="G22" s="62">
        <f>IFERROR('2nd Financial Model'!G43,0)</f>
        <v>0</v>
      </c>
      <c r="H22" s="62">
        <f>IFERROR('2nd Financial Model'!H43,0)</f>
        <v>0</v>
      </c>
      <c r="I22" s="62">
        <f>IFERROR('2nd Financial Model'!I43,0)</f>
        <v>0</v>
      </c>
      <c r="J22" s="62">
        <f>IFERROR('2nd Financial Model'!J43,0)</f>
        <v>0</v>
      </c>
      <c r="K22" s="62">
        <f>IFERROR('2nd Financial Model'!K43,0)</f>
        <v>0</v>
      </c>
      <c r="L22" s="62">
        <f>IFERROR('2nd Financial Model'!L43,0)</f>
        <v>0</v>
      </c>
      <c r="N22" s="62">
        <f t="shared" si="2"/>
        <v>0.2</v>
      </c>
      <c r="O22" s="62">
        <f t="shared" si="1"/>
        <v>0</v>
      </c>
    </row>
    <row r="23" spans="2:15" x14ac:dyDescent="0.25">
      <c r="B23" t="s">
        <v>165</v>
      </c>
      <c r="C23" s="62">
        <f>IFERROR('2nd Financial Model'!C32/SUM('2nd Financial Model'!C46:C47),0)</f>
        <v>0.17441316864171685</v>
      </c>
      <c r="D23" s="62">
        <f>IFERROR('2nd Financial Model'!D32/SUM('2nd Financial Model'!D46:D47),0)</f>
        <v>7.2241189530689517E-2</v>
      </c>
      <c r="E23" s="62">
        <f>IFERROR('2nd Financial Model'!E32/SUM('2nd Financial Model'!E46:E47),0)</f>
        <v>9.2254980749341738E-3</v>
      </c>
      <c r="F23" s="62">
        <f>IFERROR('2nd Financial Model'!F32/SUM('2nd Financial Model'!F46:F47),0)</f>
        <v>-3.7345736658758885E-2</v>
      </c>
      <c r="G23" s="62">
        <f>IFERROR('2nd Financial Model'!G32/SUM('2nd Financial Model'!G46:G47),0)</f>
        <v>-0.17560555073176307</v>
      </c>
      <c r="H23" s="62">
        <f>IFERROR('2nd Financial Model'!H32/SUM('2nd Financial Model'!H46:H47),0)</f>
        <v>-3.4360591904822733E-2</v>
      </c>
      <c r="I23" s="62">
        <f>IFERROR('2nd Financial Model'!I32/SUM('2nd Financial Model'!I46:I47),0)</f>
        <v>-0.30651638060341208</v>
      </c>
      <c r="J23" s="62">
        <f>IFERROR('2nd Financial Model'!J32/SUM('2nd Financial Model'!J46:J47),0)</f>
        <v>-8.7686298356707396E-2</v>
      </c>
      <c r="K23" s="62">
        <f>IFERROR('2nd Financial Model'!K32/SUM('2nd Financial Model'!K46:K47),0)</f>
        <v>0.31813043171059141</v>
      </c>
      <c r="L23" s="62">
        <f>IFERROR('2nd Financial Model'!L32/SUM('2nd Financial Model'!L46:L47),0)</f>
        <v>0.14098877255820361</v>
      </c>
      <c r="N23" s="62">
        <f t="shared" si="2"/>
        <v>7.348450226067141E-3</v>
      </c>
      <c r="O23" s="62">
        <f t="shared" si="1"/>
        <v>-3.4360591904822733E-2</v>
      </c>
    </row>
    <row r="24" spans="2:15" x14ac:dyDescent="0.25">
      <c r="B24" t="s">
        <v>166</v>
      </c>
      <c r="C24" s="62">
        <f>C22*C23</f>
        <v>0</v>
      </c>
      <c r="D24" s="62">
        <f t="shared" ref="D24:L24" si="4">D22*D23</f>
        <v>7.2241189530689517E-2</v>
      </c>
      <c r="E24" s="62">
        <f t="shared" si="4"/>
        <v>9.2254980749341738E-3</v>
      </c>
      <c r="F24" s="62">
        <f t="shared" si="4"/>
        <v>0</v>
      </c>
      <c r="G24" s="62">
        <f t="shared" si="4"/>
        <v>0</v>
      </c>
      <c r="H24" s="62">
        <f t="shared" si="4"/>
        <v>0</v>
      </c>
      <c r="I24" s="62">
        <f t="shared" si="4"/>
        <v>0</v>
      </c>
      <c r="J24" s="62">
        <f t="shared" si="4"/>
        <v>0</v>
      </c>
      <c r="K24" s="62">
        <f t="shared" si="4"/>
        <v>0</v>
      </c>
      <c r="L24" s="62">
        <f t="shared" si="4"/>
        <v>0</v>
      </c>
      <c r="N24" s="62">
        <f t="shared" si="2"/>
        <v>8.1466687605623693E-3</v>
      </c>
      <c r="O24" s="62">
        <f t="shared" si="1"/>
        <v>0</v>
      </c>
    </row>
    <row r="25" spans="2:15" x14ac:dyDescent="0.25">
      <c r="B25" s="63" t="s">
        <v>167</v>
      </c>
      <c r="C25" s="66">
        <f>IFERROR(('2nd Financial Model'!C17-'2nd Financial Model'!C23)/'2nd Financial Model'!C20,0)</f>
        <v>4.4352863933500721</v>
      </c>
      <c r="D25" s="66">
        <f>IFERROR(('2nd Financial Model'!D17-'2nd Financial Model'!D23)/'2nd Financial Model'!D20,0)</f>
        <v>2.7568835373205922</v>
      </c>
      <c r="E25" s="66">
        <f>IFERROR(('2nd Financial Model'!E17-'2nd Financial Model'!E23)/'2nd Financial Model'!E20,0)</f>
        <v>2.1154494328024094</v>
      </c>
      <c r="F25" s="66">
        <f>IFERROR(('2nd Financial Model'!F17-'2nd Financial Model'!F23)/'2nd Financial Model'!F20,0)</f>
        <v>0.18645156808947008</v>
      </c>
      <c r="G25" s="66">
        <f>IFERROR(('2nd Financial Model'!G17-'2nd Financial Model'!G23)/'2nd Financial Model'!G20,0)</f>
        <v>-0.47469326953211261</v>
      </c>
      <c r="H25" s="66">
        <f>IFERROR(('2nd Financial Model'!H17-'2nd Financial Model'!H23)/'2nd Financial Model'!H20,0)</f>
        <v>1.079478385658198</v>
      </c>
      <c r="I25" s="66">
        <f>IFERROR(('2nd Financial Model'!I17-'2nd Financial Model'!I23)/'2nd Financial Model'!I20,0)</f>
        <v>-1.2414275987824557E-2</v>
      </c>
      <c r="J25" s="66">
        <f>IFERROR(('2nd Financial Model'!J17-'2nd Financial Model'!J23)/'2nd Financial Model'!J20,0)</f>
        <v>0.68020669934320532</v>
      </c>
      <c r="K25" s="66">
        <f>IFERROR(('2nd Financial Model'!K17-'2nd Financial Model'!K23)/'2nd Financial Model'!K20,0)</f>
        <v>4.0275217276797468</v>
      </c>
      <c r="L25" s="66">
        <f>IFERROR(('2nd Financial Model'!L17-'2nd Financial Model'!L23)/'2nd Financial Model'!L20,0)</f>
        <v>6.2876254180602009</v>
      </c>
      <c r="M25" s="63"/>
      <c r="N25" s="64">
        <f t="shared" si="2"/>
        <v>2.108179561678396</v>
      </c>
      <c r="O25" s="64">
        <f t="shared" si="1"/>
        <v>1.079478385658198</v>
      </c>
    </row>
    <row r="27" spans="2:15" x14ac:dyDescent="0.25">
      <c r="B27" s="60" t="s">
        <v>168</v>
      </c>
      <c r="C27" s="67">
        <f>IFERROR('2nd Financial Model'!C5/'2nd Financial Model'!C58,0)</f>
        <v>20.119918266350599</v>
      </c>
      <c r="D27" s="67">
        <f>IFERROR('2nd Financial Model'!D5/(('2nd Financial Model'!C58+'2nd Financial Model'!D58)/2),0)</f>
        <v>19.510093516493615</v>
      </c>
      <c r="E27" s="67">
        <f>IFERROR('2nd Financial Model'!E5/(('2nd Financial Model'!D58+'2nd Financial Model'!E58)/2),0)</f>
        <v>17.165755096213147</v>
      </c>
      <c r="F27" s="67">
        <f>IFERROR('2nd Financial Model'!F5/(('2nd Financial Model'!E58+'2nd Financial Model'!F58)/2),0)</f>
        <v>15.528028538316414</v>
      </c>
      <c r="G27" s="67">
        <f>IFERROR('2nd Financial Model'!G5/(('2nd Financial Model'!F58+'2nd Financial Model'!G58)/2),0)</f>
        <v>17.307115350066262</v>
      </c>
      <c r="H27" s="67">
        <f>IFERROR('2nd Financial Model'!H5/(('2nd Financial Model'!G58+'2nd Financial Model'!H58)/2),0)</f>
        <v>20.945594394042875</v>
      </c>
      <c r="I27" s="67">
        <f>IFERROR('2nd Financial Model'!I5/(('2nd Financial Model'!H58+'2nd Financial Model'!I58)/2),0)</f>
        <v>22.168815183988023</v>
      </c>
      <c r="J27" s="67">
        <f>IFERROR('2nd Financial Model'!J5/(('2nd Financial Model'!I58+'2nd Financial Model'!J58)/2),0)</f>
        <v>24.554000359828514</v>
      </c>
      <c r="K27" s="67">
        <f>IFERROR('2nd Financial Model'!K5/(('2nd Financial Model'!J58+'2nd Financial Model'!K58)/2),0)</f>
        <v>26.553465787824216</v>
      </c>
      <c r="L27" s="67">
        <f>IFERROR('2nd Financial Model'!L5/(('2nd Financial Model'!K58+'2nd Financial Model'!L58)/2),0)</f>
        <v>29.118874172185432</v>
      </c>
      <c r="M27" s="60"/>
      <c r="N27" s="67">
        <f t="shared" si="2"/>
        <v>21.297166066530909</v>
      </c>
      <c r="O27" s="67">
        <f t="shared" si="1"/>
        <v>20.945594394042875</v>
      </c>
    </row>
    <row r="28" spans="2:15" x14ac:dyDescent="0.25">
      <c r="B28" t="s">
        <v>169</v>
      </c>
      <c r="C28" s="58">
        <f>IFERROR('2nd Financial Model'!C5/'2nd Financial Model'!C49,0)</f>
        <v>2.3769603927858673</v>
      </c>
      <c r="D28" s="58">
        <f>IFERROR('2nd Financial Model'!D8/(('2nd Financial Model'!C48+'2nd Financial Model'!D48)/2),2)</f>
        <v>2.7770852817247222</v>
      </c>
      <c r="E28" s="58">
        <f>IFERROR('2nd Financial Model'!E8/(('2nd Financial Model'!D48+'2nd Financial Model'!E48)/2),2)</f>
        <v>2.7266339986792349</v>
      </c>
      <c r="F28" s="58">
        <f>IFERROR('2nd Financial Model'!F8/(('2nd Financial Model'!E48+'2nd Financial Model'!F48)/2),2)</f>
        <v>2.4891174570908894</v>
      </c>
      <c r="G28" s="58">
        <f>IFERROR('2nd Financial Model'!G8/(('2nd Financial Model'!F48+'2nd Financial Model'!G48)/2),2)</f>
        <v>1.821729785440074</v>
      </c>
      <c r="H28" s="58">
        <f>IFERROR('2nd Financial Model'!H8/(('2nd Financial Model'!G48+'2nd Financial Model'!H48)/2),2)</f>
        <v>1.4635647376775081</v>
      </c>
      <c r="I28" s="58">
        <f>IFERROR('2nd Financial Model'!I8/(('2nd Financial Model'!H48+'2nd Financial Model'!I48)/2),2)</f>
        <v>1.5475800091205338</v>
      </c>
      <c r="J28" s="58">
        <f>IFERROR('2nd Financial Model'!J8/(('2nd Financial Model'!I48+'2nd Financial Model'!J48)/2),2)</f>
        <v>1.9560965513313313</v>
      </c>
      <c r="K28" s="58">
        <f>IFERROR('2nd Financial Model'!K8/(('2nd Financial Model'!J48+'2nd Financial Model'!K48)/2),2)</f>
        <v>2.7705986110383805</v>
      </c>
      <c r="L28" s="58">
        <f>IFERROR('2nd Financial Model'!L8/(('2nd Financial Model'!K48+'2nd Financial Model'!L48)/2),2)</f>
        <v>3.8120959262656315</v>
      </c>
      <c r="N28" s="67">
        <f t="shared" si="2"/>
        <v>2.3741462751154172</v>
      </c>
      <c r="O28" s="67">
        <f t="shared" si="1"/>
        <v>2.4891174570908894</v>
      </c>
    </row>
    <row r="29" spans="2:15" x14ac:dyDescent="0.25">
      <c r="B29" t="s">
        <v>170</v>
      </c>
      <c r="C29" s="58">
        <f>IFERROR('2nd Financial Model'!C8/'2nd Financial Model'!C59,0)</f>
        <v>6.2932009175725057</v>
      </c>
      <c r="D29" s="58">
        <f>IFERROR('2nd Financial Model'!D8/(('2nd Financial Model'!C59+'2nd Financial Model'!D59)/2),0)</f>
        <v>6.0658720326702982</v>
      </c>
      <c r="E29" s="58">
        <f>IFERROR('2nd Financial Model'!E8/(('2nd Financial Model'!D59+'2nd Financial Model'!E59)/2),0)</f>
        <v>5.9161132689327802</v>
      </c>
      <c r="F29" s="58">
        <f>IFERROR('2nd Financial Model'!F8/(('2nd Financial Model'!E59+'2nd Financial Model'!F59)/2),0)</f>
        <v>5.9850020997799662</v>
      </c>
      <c r="G29" s="58">
        <f>IFERROR('2nd Financial Model'!G8/(('2nd Financial Model'!F59+'2nd Financial Model'!G59)/2),0)</f>
        <v>5.5021418032365643</v>
      </c>
      <c r="H29" s="58">
        <f>IFERROR('2nd Financial Model'!H8/(('2nd Financial Model'!G59+'2nd Financial Model'!H59)/2),0)</f>
        <v>5.3117082534111209</v>
      </c>
      <c r="I29" s="58">
        <f>IFERROR('2nd Financial Model'!I8/(('2nd Financial Model'!H59+'2nd Financial Model'!I59)/2),0)</f>
        <v>6.2611344373173692</v>
      </c>
      <c r="J29" s="58">
        <f>IFERROR('2nd Financial Model'!J8/(('2nd Financial Model'!I59+'2nd Financial Model'!J59)/2),0)</f>
        <v>7.2215541583717933</v>
      </c>
      <c r="K29" s="58">
        <f>IFERROR('2nd Financial Model'!K8/(('2nd Financial Model'!J59+'2nd Financial Model'!K59)/2),0)</f>
        <v>7.5529071114173512</v>
      </c>
      <c r="L29" s="58">
        <f>IFERROR('2nd Financial Model'!L8/(('2nd Financial Model'!K59+'2nd Financial Model'!L59)/2),0)</f>
        <v>7.1706239414246191</v>
      </c>
      <c r="N29" s="67">
        <f t="shared" si="2"/>
        <v>6.3280258024134373</v>
      </c>
      <c r="O29" s="67">
        <f t="shared" si="1"/>
        <v>6.0658720326702982</v>
      </c>
    </row>
    <row r="30" spans="2:15" x14ac:dyDescent="0.25">
      <c r="B30" t="s">
        <v>171</v>
      </c>
      <c r="C30" s="58">
        <f>IFERROR('2nd Financial Model'!C5/'2nd Financial Model'!C52,0)</f>
        <v>2.546312771514708</v>
      </c>
      <c r="D30" s="58">
        <f>IFERROR('2nd Financial Model'!D5/'2nd Financial Model'!D52,0)</f>
        <v>2.8109343484246239</v>
      </c>
      <c r="E30" s="58">
        <f>IFERROR('2nd Financial Model'!E5/'2nd Financial Model'!E52,0)</f>
        <v>2.4012948768781421</v>
      </c>
      <c r="F30" s="58">
        <f>IFERROR('2nd Financial Model'!F5/'2nd Financial Model'!F52,0)</f>
        <v>2.7144319562092578</v>
      </c>
      <c r="G30" s="58">
        <f>IFERROR('2nd Financial Model'!G5/'2nd Financial Model'!G52,0)</f>
        <v>2.0539205744067566</v>
      </c>
      <c r="H30" s="58">
        <f>IFERROR('2nd Financial Model'!H5/'2nd Financial Model'!H52,0)</f>
        <v>1.8008727134726064</v>
      </c>
      <c r="I30" s="58">
        <f>IFERROR('2nd Financial Model'!I5/'2nd Financial Model'!I52,0)</f>
        <v>2.0053488717943728</v>
      </c>
      <c r="J30" s="58">
        <f>IFERROR('2nd Financial Model'!J5/'2nd Financial Model'!J52,0)</f>
        <v>2.6193791539294131</v>
      </c>
      <c r="K30" s="58">
        <f>IFERROR('2nd Financial Model'!K5/'2nd Financial Model'!K52,0)</f>
        <v>3.5784804386362699</v>
      </c>
      <c r="L30" s="58">
        <f>IFERROR('2nd Financial Model'!L5/'2nd Financial Model'!L52,0)</f>
        <v>3.8004010475638954</v>
      </c>
      <c r="N30" s="67">
        <f t="shared" si="2"/>
        <v>2.6331376752830042</v>
      </c>
      <c r="O30" s="67">
        <f t="shared" si="1"/>
        <v>2.6193791539294131</v>
      </c>
    </row>
    <row r="31" spans="2:15" x14ac:dyDescent="0.25">
      <c r="B31" s="63" t="s">
        <v>172</v>
      </c>
      <c r="C31" s="66">
        <f>IFERROR('2nd Financial Model'!C5/SUM('2nd Financial Model'!C46:C47),0)</f>
        <v>3.4583567493379874</v>
      </c>
      <c r="D31" s="66">
        <f>IFERROR('2nd Financial Model'!D5/SUM('2nd Financial Model'!D46:D47),0)</f>
        <v>4.6449144180459854</v>
      </c>
      <c r="E31" s="66">
        <f>IFERROR('2nd Financial Model'!E5/SUM('2nd Financial Model'!E46:E47),0)</f>
        <v>3.0551908765475422</v>
      </c>
      <c r="F31" s="66">
        <f>IFERROR('2nd Financial Model'!F5/SUM('2nd Financial Model'!F46:F47),0)</f>
        <v>5.0172915853821474</v>
      </c>
      <c r="G31" s="66">
        <f>IFERROR('2nd Financial Model'!G5/SUM('2nd Financial Model'!G46:G47),0)</f>
        <v>4.1387770133514525</v>
      </c>
      <c r="H31" s="66">
        <f>IFERROR('2nd Financial Model'!H5/SUM('2nd Financial Model'!H46:H47),0)</f>
        <v>4.5214403678625628</v>
      </c>
      <c r="I31" s="66">
        <f>IFERROR('2nd Financial Model'!I5/SUM('2nd Financial Model'!I46:I47),0)</f>
        <v>6.2487852671963351</v>
      </c>
      <c r="J31" s="66">
        <f>IFERROR('2nd Financial Model'!J5/SUM('2nd Financial Model'!J46:J47),0)</f>
        <v>7.6335680916398054</v>
      </c>
      <c r="K31" s="66">
        <f>IFERROR('2nd Financial Model'!K5/SUM('2nd Financial Model'!K46:K47),0)</f>
        <v>5.1110012011587651</v>
      </c>
      <c r="L31" s="66">
        <f>IFERROR('2nd Financial Model'!L5/SUM('2nd Financial Model'!L46:L47),0)</f>
        <v>3.7857745557239291</v>
      </c>
      <c r="M31" s="63"/>
      <c r="N31" s="70">
        <f t="shared" si="2"/>
        <v>4.7615100126246501</v>
      </c>
      <c r="O31" s="70">
        <f t="shared" si="1"/>
        <v>4.6449144180459854</v>
      </c>
    </row>
    <row r="32" spans="2:15" x14ac:dyDescent="0.25">
      <c r="C32" s="58"/>
      <c r="D32" s="58"/>
      <c r="E32" s="58"/>
      <c r="F32" s="58"/>
      <c r="G32" s="58"/>
      <c r="H32" s="58"/>
      <c r="I32" s="58"/>
      <c r="J32" s="58"/>
      <c r="K32" s="58"/>
      <c r="L32" s="58"/>
    </row>
    <row r="33" spans="2:18" x14ac:dyDescent="0.25">
      <c r="B33" s="68" t="s">
        <v>180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R33" s="72"/>
    </row>
    <row r="34" spans="2:18" x14ac:dyDescent="0.25">
      <c r="B34" t="s">
        <v>46</v>
      </c>
      <c r="C34" s="59">
        <f>IFERROR(365/C27,0)</f>
        <v>18.141226776772818</v>
      </c>
      <c r="D34" s="59">
        <f>IFERROR(365/D27,0)</f>
        <v>18.708265016332856</v>
      </c>
      <c r="E34" s="59">
        <f t="shared" ref="E34:L34" si="5">IFERROR(365/E27,0)</f>
        <v>21.263265027037516</v>
      </c>
      <c r="F34" s="59">
        <f t="shared" si="5"/>
        <v>23.505881580481315</v>
      </c>
      <c r="G34" s="59">
        <f t="shared" si="5"/>
        <v>21.089591917384578</v>
      </c>
      <c r="H34" s="59">
        <f t="shared" si="5"/>
        <v>17.426098927219247</v>
      </c>
      <c r="I34" s="59">
        <f t="shared" si="5"/>
        <v>16.464569575356933</v>
      </c>
      <c r="J34" s="59">
        <f t="shared" si="5"/>
        <v>14.865194862388165</v>
      </c>
      <c r="K34" s="59">
        <f t="shared" si="5"/>
        <v>13.74585159302883</v>
      </c>
      <c r="L34" s="59">
        <f t="shared" si="5"/>
        <v>12.534825276612196</v>
      </c>
      <c r="N34" s="59">
        <f t="shared" ref="N34:N37" si="6">IFERROR(AVERAGE(C34:L34),0)</f>
        <v>17.774477055261443</v>
      </c>
      <c r="O34" s="59">
        <f t="shared" ref="O34:O37" si="7">IFERROR(MEDIAN(D34:L34),0)</f>
        <v>17.426098927219247</v>
      </c>
    </row>
    <row r="35" spans="2:18" x14ac:dyDescent="0.25">
      <c r="B35" t="s">
        <v>173</v>
      </c>
      <c r="C35" s="59">
        <f>IFERROR(365/C28,0)</f>
        <v>153.55745981623585</v>
      </c>
      <c r="D35" s="59">
        <f t="shared" ref="D35:L35" si="8">IFERROR(365/D28,0)</f>
        <v>131.43276600181144</v>
      </c>
      <c r="E35" s="59">
        <f t="shared" si="8"/>
        <v>133.86468450727298</v>
      </c>
      <c r="F35" s="59">
        <f t="shared" si="8"/>
        <v>146.63831911997721</v>
      </c>
      <c r="G35" s="59">
        <f t="shared" si="8"/>
        <v>200.35902301055432</v>
      </c>
      <c r="H35" s="59">
        <f t="shared" si="8"/>
        <v>249.39108643681098</v>
      </c>
      <c r="I35" s="59">
        <f t="shared" si="8"/>
        <v>235.85210318620227</v>
      </c>
      <c r="J35" s="59">
        <f t="shared" si="8"/>
        <v>186.59610628707401</v>
      </c>
      <c r="K35" s="59">
        <f t="shared" si="8"/>
        <v>131.74048328249296</v>
      </c>
      <c r="L35" s="59">
        <f t="shared" si="8"/>
        <v>95.747852902945638</v>
      </c>
      <c r="N35" s="59">
        <f t="shared" si="6"/>
        <v>166.51798845513775</v>
      </c>
      <c r="O35" s="59">
        <f t="shared" si="7"/>
        <v>146.63831911997721</v>
      </c>
      <c r="R35" s="73"/>
    </row>
    <row r="36" spans="2:18" x14ac:dyDescent="0.25">
      <c r="B36" t="s">
        <v>174</v>
      </c>
      <c r="C36" s="59">
        <f>IFERROR(365/C29,0)</f>
        <v>57.999101694149068</v>
      </c>
      <c r="D36" s="59">
        <f t="shared" ref="D36:L36" si="9">IFERROR(365/D29,0)</f>
        <v>60.172716805455075</v>
      </c>
      <c r="E36" s="59">
        <f t="shared" si="9"/>
        <v>61.695911387755274</v>
      </c>
      <c r="F36" s="59">
        <f t="shared" si="9"/>
        <v>60.985776431627137</v>
      </c>
      <c r="G36" s="59">
        <f t="shared" si="9"/>
        <v>66.33780317789946</v>
      </c>
      <c r="H36" s="59">
        <f t="shared" si="9"/>
        <v>68.716123436485987</v>
      </c>
      <c r="I36" s="59">
        <f t="shared" si="9"/>
        <v>58.296144836715413</v>
      </c>
      <c r="J36" s="59">
        <f t="shared" si="9"/>
        <v>50.543136836668779</v>
      </c>
      <c r="K36" s="59">
        <f t="shared" si="9"/>
        <v>48.325763128775648</v>
      </c>
      <c r="L36" s="59">
        <f t="shared" si="9"/>
        <v>50.902125530722486</v>
      </c>
      <c r="N36" s="59">
        <f t="shared" si="6"/>
        <v>58.397460326625435</v>
      </c>
      <c r="O36" s="59">
        <f t="shared" si="7"/>
        <v>60.172716805455075</v>
      </c>
    </row>
    <row r="37" spans="2:18" x14ac:dyDescent="0.25">
      <c r="B37" s="63" t="s">
        <v>175</v>
      </c>
      <c r="C37" s="69">
        <f>SUM(C34,C36)-C35</f>
        <v>-77.417131345313962</v>
      </c>
      <c r="D37" s="69">
        <f t="shared" ref="D37:L37" si="10">SUM(D34,D36)-D35</f>
        <v>-52.551784180023517</v>
      </c>
      <c r="E37" s="69">
        <f t="shared" si="10"/>
        <v>-50.90550809248019</v>
      </c>
      <c r="F37" s="69">
        <f t="shared" si="10"/>
        <v>-62.146661107868766</v>
      </c>
      <c r="G37" s="69">
        <f t="shared" si="10"/>
        <v>-112.93162791527028</v>
      </c>
      <c r="H37" s="69">
        <f t="shared" si="10"/>
        <v>-163.24886407310575</v>
      </c>
      <c r="I37" s="69">
        <f t="shared" si="10"/>
        <v>-161.09138877412994</v>
      </c>
      <c r="J37" s="69">
        <f t="shared" si="10"/>
        <v>-121.18777458801706</v>
      </c>
      <c r="K37" s="69">
        <f t="shared" si="10"/>
        <v>-69.66886856068848</v>
      </c>
      <c r="L37" s="69">
        <f t="shared" si="10"/>
        <v>-32.310902095610956</v>
      </c>
      <c r="M37" s="63"/>
      <c r="N37" s="69">
        <f t="shared" si="6"/>
        <v>-90.346051073250891</v>
      </c>
      <c r="O37" s="69">
        <f t="shared" si="7"/>
        <v>-69.66886856068848</v>
      </c>
    </row>
    <row r="38" spans="2:18" x14ac:dyDescent="0.25">
      <c r="C38" s="59"/>
      <c r="D38" s="59"/>
      <c r="E38" s="59"/>
      <c r="F38" s="59"/>
      <c r="G38" s="59"/>
      <c r="H38" s="59"/>
      <c r="I38" s="59"/>
      <c r="J38" s="59"/>
      <c r="K38" s="59"/>
      <c r="L38" s="59"/>
    </row>
    <row r="39" spans="2:18" x14ac:dyDescent="0.25">
      <c r="B39" s="68" t="s">
        <v>181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</row>
    <row r="40" spans="2:18" x14ac:dyDescent="0.25">
      <c r="B40" t="s">
        <v>176</v>
      </c>
      <c r="C40" s="62">
        <f>IFERROR('2nd Financial Model'!C68/'2nd Financial Model'!C5,0)</f>
        <v>0.13880099148274136</v>
      </c>
      <c r="D40" s="62">
        <f>IFERROR('2nd Financial Model'!D68/'2nd Financial Model'!D5,0)</f>
        <v>0.11197567184939619</v>
      </c>
      <c r="E40" s="62">
        <f>IFERROR('2nd Financial Model'!E68/'2nd Financial Model'!E5,0)</f>
        <v>8.1828025115925046E-2</v>
      </c>
      <c r="F40" s="62">
        <f>IFERROR('2nd Financial Model'!F68/'2nd Financial Model'!F5,0)</f>
        <v>6.2565741886424511E-2</v>
      </c>
      <c r="G40" s="62">
        <f>IFERROR('2nd Financial Model'!G68/'2nd Financial Model'!G5,0)</f>
        <v>0.10201174812827479</v>
      </c>
      <c r="H40" s="62">
        <f>IFERROR('2nd Financial Model'!H68/'2nd Financial Model'!H5,0)</f>
        <v>0.11609531425300171</v>
      </c>
      <c r="I40" s="62">
        <f>IFERROR('2nd Financial Model'!I68/'2nd Financial Model'!I5,0)</f>
        <v>5.1294000056454646E-2</v>
      </c>
      <c r="J40" s="62">
        <f>IFERROR('2nd Financial Model'!J68/'2nd Financial Model'!J5,0)</f>
        <v>0.10228722123386519</v>
      </c>
      <c r="K40" s="62">
        <f>IFERROR('2nd Financial Model'!K68/'2nd Financial Model'!K5,0)</f>
        <v>0.15648040625230406</v>
      </c>
      <c r="L40" s="62">
        <f>IFERROR('2nd Financial Model'!L68/'2nd Financial Model'!L5,0)</f>
        <v>0.14351311704704398</v>
      </c>
      <c r="N40" s="62">
        <f t="shared" ref="N40:N42" si="11">IFERROR(AVERAGE(C40:L40),0)</f>
        <v>0.10668522373054315</v>
      </c>
      <c r="O40" s="62">
        <f t="shared" ref="O40:O42" si="12">IFERROR(MEDIAN(D40:L40),0)</f>
        <v>0.10228722123386519</v>
      </c>
    </row>
    <row r="41" spans="2:18" x14ac:dyDescent="0.25">
      <c r="B41" t="s">
        <v>177</v>
      </c>
      <c r="C41" s="62">
        <f>IFERROR('2nd Financial Model'!C68/'2nd Financial Model'!C63,0)</f>
        <v>0.14400184935170102</v>
      </c>
      <c r="D41" s="62">
        <f>IFERROR('2nd Financial Model'!D68/'2nd Financial Model'!D63,0)</f>
        <v>0.11078934667193191</v>
      </c>
      <c r="E41" s="62">
        <f>IFERROR('2nd Financial Model'!E68/'2nd Financial Model'!E63,0)</f>
        <v>7.291441677589669E-2</v>
      </c>
      <c r="F41" s="62">
        <f>IFERROR('2nd Financial Model'!F68/'2nd Financial Model'!F63,0)</f>
        <v>6.1795172832341566E-2</v>
      </c>
      <c r="G41" s="62">
        <f>IFERROR('2nd Financial Model'!G68/'2nd Financial Model'!G63,0)</f>
        <v>8.3178370725236248E-2</v>
      </c>
      <c r="H41" s="62">
        <f>IFERROR('2nd Financial Model'!H68/'2nd Financial Model'!H63,0)</f>
        <v>8.4902092224692749E-2</v>
      </c>
      <c r="I41" s="62">
        <f>IFERROR('2nd Financial Model'!I68/'2nd Financial Model'!I63,0)</f>
        <v>4.3405261430014191E-2</v>
      </c>
      <c r="J41" s="62">
        <f>IFERROR('2nd Financial Model'!J68/'2nd Financial Model'!J63,0)</f>
        <v>0.10573858301633621</v>
      </c>
      <c r="K41" s="62">
        <f>IFERROR('2nd Financial Model'!K68/'2nd Financial Model'!K63,0)</f>
        <v>0.18379199017105929</v>
      </c>
      <c r="L41" s="62">
        <f>IFERROR('2nd Financial Model'!L68/'2nd Financial Model'!L63,0)</f>
        <v>0.1673912985810655</v>
      </c>
      <c r="N41" s="62">
        <f t="shared" si="11"/>
        <v>0.10579083817802752</v>
      </c>
      <c r="O41" s="62">
        <f t="shared" si="12"/>
        <v>8.4902092224692749E-2</v>
      </c>
    </row>
    <row r="42" spans="2:18" x14ac:dyDescent="0.25">
      <c r="B42" s="63" t="s">
        <v>178</v>
      </c>
      <c r="C42" s="64">
        <f>IFERROR('2nd Financial Model'!C68/'2nd Financial Model'!C48,0)</f>
        <v>0.54641034971761804</v>
      </c>
      <c r="D42" s="64">
        <f>IFERROR('2nd Financial Model'!D68/'2nd Financial Model'!D48,0)</f>
        <v>0.38419174194487354</v>
      </c>
      <c r="E42" s="64">
        <f>IFERROR('2nd Financial Model'!E68/'2nd Financial Model'!E48,0)</f>
        <v>0.2682054406233042</v>
      </c>
      <c r="F42" s="64">
        <f>IFERROR('2nd Financial Model'!F68/'2nd Financial Model'!F48,0)</f>
        <v>0.17792267017934674</v>
      </c>
      <c r="G42" s="64">
        <f>IFERROR('2nd Financial Model'!G68/'2nd Financial Model'!G48,0)</f>
        <v>0.21341857254452445</v>
      </c>
      <c r="H42" s="64">
        <f>IFERROR('2nd Financial Model'!H68/'2nd Financial Model'!H48,0)</f>
        <v>0.20403773797572189</v>
      </c>
      <c r="I42" s="64">
        <f>IFERROR('2nd Financial Model'!I68/'2nd Financial Model'!I48,0)</f>
        <v>9.7528812584146168E-2</v>
      </c>
      <c r="J42" s="64">
        <f>IFERROR('2nd Financial Model'!J68/'2nd Financial Model'!J48,0)</f>
        <v>0.26386617180202071</v>
      </c>
      <c r="K42" s="64">
        <f>IFERROR('2nd Financial Model'!K68/'2nd Financial Model'!K48,0)</f>
        <v>0.63315744331742241</v>
      </c>
      <c r="L42" s="64">
        <f>IFERROR('2nd Financial Model'!L68/'2nd Financial Model'!L48,0)</f>
        <v>0.88205199888174446</v>
      </c>
      <c r="M42" s="63"/>
      <c r="N42" s="64">
        <f t="shared" si="11"/>
        <v>0.36707909395707233</v>
      </c>
      <c r="O42" s="64">
        <f t="shared" si="12"/>
        <v>0.26386617180202071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BAF57445-9DF2-4374-ACFA-8D4C6DE85099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Ratio!C11:L11</xm:f>
              <xm:sqref>M11</xm:sqref>
            </x14:sparkline>
            <x14:sparkline>
              <xm:f>Ratio!C12:L12</xm:f>
              <xm:sqref>M12</xm:sqref>
            </x14:sparkline>
            <x14:sparkline>
              <xm:f>Ratio!C13:L13</xm:f>
              <xm:sqref>M13</xm:sqref>
            </x14:sparkline>
            <x14:sparkline>
              <xm:f>Ratio!C14:L14</xm:f>
              <xm:sqref>M14</xm:sqref>
            </x14:sparkline>
            <x14:sparkline>
              <xm:f>Ratio!C15:L15</xm:f>
              <xm:sqref>M15</xm:sqref>
            </x14:sparkline>
            <x14:sparkline>
              <xm:f>Ratio!C16:L16</xm:f>
              <xm:sqref>M16</xm:sqref>
            </x14:sparkline>
            <x14:sparkline>
              <xm:f>Ratio!C17:L17</xm:f>
              <xm:sqref>M17</xm:sqref>
            </x14:sparkline>
            <x14:sparkline>
              <xm:f>Ratio!C18:L18</xm:f>
              <xm:sqref>M18</xm:sqref>
            </x14:sparkline>
            <x14:sparkline>
              <xm:f>Ratio!C19:L19</xm:f>
              <xm:sqref>M19</xm:sqref>
            </x14:sparkline>
            <x14:sparkline>
              <xm:f>Ratio!C20:L20</xm:f>
              <xm:sqref>M20</xm:sqref>
            </x14:sparkline>
            <x14:sparkline>
              <xm:f>Ratio!C21:L21</xm:f>
              <xm:sqref>M21</xm:sqref>
            </x14:sparkline>
            <x14:sparkline>
              <xm:f>Ratio!C22:L22</xm:f>
              <xm:sqref>M22</xm:sqref>
            </x14:sparkline>
            <x14:sparkline>
              <xm:f>Ratio!C23:L23</xm:f>
              <xm:sqref>M23</xm:sqref>
            </x14:sparkline>
            <x14:sparkline>
              <xm:f>Ratio!C24:L24</xm:f>
              <xm:sqref>M24</xm:sqref>
            </x14:sparkline>
            <x14:sparkline>
              <xm:f>Ratio!C25:L25</xm:f>
              <xm:sqref>M25</xm:sqref>
            </x14:sparkline>
            <x14:sparkline>
              <xm:f>Ratio!C26:L26</xm:f>
              <xm:sqref>M26</xm:sqref>
            </x14:sparkline>
            <x14:sparkline>
              <xm:f>Ratio!C27:L27</xm:f>
              <xm:sqref>M27</xm:sqref>
            </x14:sparkline>
            <x14:sparkline>
              <xm:f>Ratio!C28:L28</xm:f>
              <xm:sqref>M28</xm:sqref>
            </x14:sparkline>
            <x14:sparkline>
              <xm:f>Ratio!C29:L29</xm:f>
              <xm:sqref>M29</xm:sqref>
            </x14:sparkline>
            <x14:sparkline>
              <xm:f>Ratio!C30:L30</xm:f>
              <xm:sqref>M30</xm:sqref>
            </x14:sparkline>
            <x14:sparkline>
              <xm:f>Ratio!C31:L31</xm:f>
              <xm:sqref>M31</xm:sqref>
            </x14:sparkline>
            <x14:sparkline>
              <xm:f>Ratio!C32:L32</xm:f>
              <xm:sqref>M32</xm:sqref>
            </x14:sparkline>
            <x14:sparkline>
              <xm:f>Ratio!C33:L33</xm:f>
              <xm:sqref>M33</xm:sqref>
            </x14:sparkline>
            <x14:sparkline>
              <xm:f>Ratio!C34:L34</xm:f>
              <xm:sqref>M34</xm:sqref>
            </x14:sparkline>
            <x14:sparkline>
              <xm:f>Ratio!C35:L35</xm:f>
              <xm:sqref>M35</xm:sqref>
            </x14:sparkline>
            <x14:sparkline>
              <xm:f>Ratio!C36:L36</xm:f>
              <xm:sqref>M36</xm:sqref>
            </x14:sparkline>
            <x14:sparkline>
              <xm:f>Ratio!C37:L37</xm:f>
              <xm:sqref>M37</xm:sqref>
            </x14:sparkline>
            <x14:sparkline>
              <xm:f>Ratio!C38:L38</xm:f>
              <xm:sqref>M38</xm:sqref>
            </x14:sparkline>
            <x14:sparkline>
              <xm:f>Ratio!C39:L39</xm:f>
              <xm:sqref>M39</xm:sqref>
            </x14:sparkline>
            <x14:sparkline>
              <xm:f>Ratio!C40:L40</xm:f>
              <xm:sqref>M40</xm:sqref>
            </x14:sparkline>
            <x14:sparkline>
              <xm:f>Ratio!C41:L41</xm:f>
              <xm:sqref>M41</xm:sqref>
            </x14:sparkline>
            <x14:sparkline>
              <xm:f>Ratio!C42:L42</xm:f>
              <xm:sqref>M42</xm:sqref>
            </x14:sparkline>
          </x14:sparklines>
        </x14:sparklineGroup>
        <x14:sparklineGroup displayEmptyCellsAs="gap" markers="1" xr2:uid="{659D7B2E-9AC8-446C-930C-1C3AA3771060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Ratio!D5:L5</xm:f>
              <xm:sqref>M5</xm:sqref>
            </x14:sparkline>
            <x14:sparkline>
              <xm:f>Ratio!D6:L6</xm:f>
              <xm:sqref>M6</xm:sqref>
            </x14:sparkline>
            <x14:sparkline>
              <xm:f>Ratio!D7:L7</xm:f>
              <xm:sqref>M7</xm:sqref>
            </x14:sparkline>
            <x14:sparkline>
              <xm:f>Ratio!D8:L8</xm:f>
              <xm:sqref>M8</xm:sqref>
            </x14:sparkline>
            <x14:sparkline>
              <xm:f>Ratio!D9:L9</xm:f>
              <xm:sqref>M9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2792-B16C-428B-AF5A-7D1D3C921E48}">
  <sheetPr>
    <tabColor theme="5" tint="0.39997558519241921"/>
  </sheetPr>
  <dimension ref="B1:O31"/>
  <sheetViews>
    <sheetView showGridLines="0" tabSelected="1" zoomScale="120" zoomScaleNormal="120" workbookViewId="0">
      <selection activeCell="L5" sqref="L5"/>
    </sheetView>
  </sheetViews>
  <sheetFormatPr defaultRowHeight="15" x14ac:dyDescent="0.25"/>
  <cols>
    <col min="1" max="1" width="1.85546875" customWidth="1"/>
    <col min="2" max="2" width="11.7109375" bestFit="1" customWidth="1"/>
    <col min="3" max="3" width="9.7109375" bestFit="1" customWidth="1"/>
    <col min="4" max="4" width="12.7109375" customWidth="1"/>
    <col min="5" max="5" width="12.5703125" bestFit="1" customWidth="1"/>
    <col min="6" max="6" width="9.7109375" bestFit="1" customWidth="1"/>
    <col min="7" max="7" width="14" customWidth="1"/>
    <col min="8" max="8" width="20.7109375" customWidth="1"/>
    <col min="9" max="9" width="12" bestFit="1" customWidth="1"/>
    <col min="10" max="10" width="14.5703125" bestFit="1" customWidth="1"/>
    <col min="11" max="12" width="12" bestFit="1" customWidth="1"/>
    <col min="13" max="13" width="13.42578125" bestFit="1" customWidth="1"/>
    <col min="14" max="14" width="12" bestFit="1" customWidth="1"/>
    <col min="15" max="15" width="12.42578125" bestFit="1" customWidth="1"/>
    <col min="16" max="16" width="12.5703125" bestFit="1" customWidth="1"/>
  </cols>
  <sheetData>
    <row r="1" spans="2:15" x14ac:dyDescent="0.25"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2:15" x14ac:dyDescent="0.25"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2:15" x14ac:dyDescent="0.25"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2:15" x14ac:dyDescent="0.25">
      <c r="B4" s="87" t="str">
        <f>'Data Sheet'!B1&amp;" - "&amp;'Data Sheet'!A17&amp;" Forecast"</f>
        <v>TATA MOTORS LTD - Sales Forecast</v>
      </c>
      <c r="C4" s="87"/>
      <c r="D4" s="87"/>
      <c r="E4" s="87"/>
      <c r="F4" s="78"/>
      <c r="G4" s="87" t="str">
        <f>'Data Sheet'!B1&amp;" - "&amp;'Historical financial statements'!B18&amp; " Forecast"</f>
        <v>TATA MOTORS LTD - EBITDA Forecast</v>
      </c>
      <c r="H4" s="87"/>
      <c r="I4" s="87"/>
      <c r="J4" s="87"/>
      <c r="K4" s="78"/>
      <c r="L4" s="87" t="str">
        <f>'Data Sheet'!B1&amp;" - "&amp;'Historical financial statements'!B38&amp; " Forceast"</f>
        <v>TATA MOTORS LTD - Earning per Share Forceast</v>
      </c>
      <c r="M4" s="87"/>
      <c r="N4" s="87"/>
      <c r="O4" s="87"/>
    </row>
    <row r="5" spans="2:15" x14ac:dyDescent="0.25">
      <c r="B5" s="85" t="s">
        <v>185</v>
      </c>
      <c r="C5" s="86" t="s">
        <v>186</v>
      </c>
      <c r="D5" s="86" t="s">
        <v>6</v>
      </c>
      <c r="E5" s="86" t="s">
        <v>22</v>
      </c>
      <c r="G5" s="85" t="s">
        <v>185</v>
      </c>
      <c r="H5" s="86" t="s">
        <v>186</v>
      </c>
      <c r="I5" s="85" t="s">
        <v>90</v>
      </c>
      <c r="J5" s="85" t="s">
        <v>153</v>
      </c>
      <c r="L5" s="85" t="s">
        <v>185</v>
      </c>
      <c r="M5" s="86" t="s">
        <v>186</v>
      </c>
      <c r="N5" s="85" t="s">
        <v>48</v>
      </c>
      <c r="O5" s="85" t="s">
        <v>187</v>
      </c>
    </row>
    <row r="6" spans="2:15" x14ac:dyDescent="0.25">
      <c r="B6" s="79">
        <v>1</v>
      </c>
      <c r="C6" s="83">
        <f>'Data Sheet'!B16</f>
        <v>42460</v>
      </c>
      <c r="D6" s="80">
        <f t="array" ref="D6:D15">TRANSPOSE('Data Sheet'!B17:K17)</f>
        <v>273045.59999999998</v>
      </c>
      <c r="G6" s="79">
        <v>1</v>
      </c>
      <c r="H6" s="83">
        <v>42460</v>
      </c>
      <c r="I6" s="80">
        <f t="array" ref="I6:I15">TRANSPOSE('Historical financial statements'!C18:L18)</f>
        <v>38395.249999999971</v>
      </c>
      <c r="J6" s="5"/>
      <c r="L6" s="79">
        <v>1</v>
      </c>
      <c r="M6" s="83">
        <v>42460</v>
      </c>
      <c r="N6" s="80">
        <f t="array" ref="N6:N15">TRANSPOSE('Historical financial statements'!C38:L38)</f>
        <v>47.694444444444336</v>
      </c>
      <c r="O6" s="5"/>
    </row>
    <row r="7" spans="2:15" x14ac:dyDescent="0.25">
      <c r="B7" s="79">
        <f>B6+1</f>
        <v>2</v>
      </c>
      <c r="C7" s="83">
        <f>C6+365</f>
        <v>42825</v>
      </c>
      <c r="D7" s="80">
        <v>269692.51</v>
      </c>
      <c r="E7" s="5">
        <f>D7/D6-1</f>
        <v>-1.2280329732469508E-2</v>
      </c>
      <c r="G7" s="79">
        <v>2</v>
      </c>
      <c r="H7" s="83">
        <v>42825</v>
      </c>
      <c r="I7" s="80">
        <v>29588.690000000046</v>
      </c>
      <c r="J7" s="5">
        <f>I7/I6-1</f>
        <v>-0.22936587208052905</v>
      </c>
      <c r="L7" s="79">
        <v>2</v>
      </c>
      <c r="M7" s="83">
        <v>42825</v>
      </c>
      <c r="N7" s="80">
        <v>14.527274616423808</v>
      </c>
      <c r="O7" s="5">
        <f>N7/N6-1</f>
        <v>-0.69540950134463697</v>
      </c>
    </row>
    <row r="8" spans="2:15" x14ac:dyDescent="0.25">
      <c r="B8" s="79">
        <f t="shared" ref="B8:C17" si="0">B7+1</f>
        <v>3</v>
      </c>
      <c r="C8" s="83">
        <f t="shared" ref="C8:C22" si="1">C7+365</f>
        <v>43190</v>
      </c>
      <c r="D8" s="80">
        <v>291550.48</v>
      </c>
      <c r="E8" s="5">
        <f t="shared" ref="E8:E20" si="2">D8/D7-1</f>
        <v>8.104774581985974E-2</v>
      </c>
      <c r="G8" s="79">
        <v>3</v>
      </c>
      <c r="H8" s="83">
        <v>43190</v>
      </c>
      <c r="I8" s="80">
        <v>31457.679999999993</v>
      </c>
      <c r="J8" s="5">
        <f t="shared" ref="J8:J20" si="3">I8/I7-1</f>
        <v>6.3165689322506102E-2</v>
      </c>
      <c r="L8" s="79">
        <v>3</v>
      </c>
      <c r="M8" s="83">
        <v>43190</v>
      </c>
      <c r="N8" s="80">
        <v>3.049111626779315</v>
      </c>
      <c r="O8" s="5">
        <f t="shared" ref="O8:O15" si="4">N8/N7-1</f>
        <v>-0.79011124197155724</v>
      </c>
    </row>
    <row r="9" spans="2:15" x14ac:dyDescent="0.25">
      <c r="B9" s="79">
        <f t="shared" si="0"/>
        <v>4</v>
      </c>
      <c r="C9" s="83">
        <f t="shared" si="1"/>
        <v>43555</v>
      </c>
      <c r="D9" s="80">
        <v>301938.40000000002</v>
      </c>
      <c r="E9" s="5">
        <f t="shared" si="2"/>
        <v>3.5629919045237157E-2</v>
      </c>
      <c r="G9" s="79">
        <v>4</v>
      </c>
      <c r="H9" s="83">
        <v>43555</v>
      </c>
      <c r="I9" s="80">
        <v>24664.330000000024</v>
      </c>
      <c r="J9" s="5">
        <f t="shared" si="3"/>
        <v>-0.21595203460649259</v>
      </c>
      <c r="L9" s="79">
        <v>4</v>
      </c>
      <c r="M9" s="83">
        <v>43555</v>
      </c>
      <c r="N9" s="80">
        <v>-7.7839157690575265</v>
      </c>
      <c r="O9" s="5">
        <f t="shared" si="4"/>
        <v>-3.5528470983790919</v>
      </c>
    </row>
    <row r="10" spans="2:15" x14ac:dyDescent="0.25">
      <c r="B10" s="79">
        <f t="shared" si="0"/>
        <v>5</v>
      </c>
      <c r="C10" s="83">
        <f t="shared" si="1"/>
        <v>43920</v>
      </c>
      <c r="D10" s="80">
        <v>261067.97</v>
      </c>
      <c r="E10" s="5">
        <f t="shared" si="2"/>
        <v>-0.135360159555724</v>
      </c>
      <c r="G10" s="79">
        <v>5</v>
      </c>
      <c r="H10" s="83">
        <v>43920</v>
      </c>
      <c r="I10" s="80">
        <v>17987.069999999963</v>
      </c>
      <c r="J10" s="5">
        <f t="shared" si="3"/>
        <v>-0.27072537547138131</v>
      </c>
      <c r="L10" s="79">
        <v>5</v>
      </c>
      <c r="M10" s="83">
        <v>43920</v>
      </c>
      <c r="N10" s="80">
        <v>-35.859307219164904</v>
      </c>
      <c r="O10" s="5">
        <f t="shared" si="4"/>
        <v>3.6068467700681115</v>
      </c>
    </row>
    <row r="11" spans="2:15" x14ac:dyDescent="0.25">
      <c r="B11" s="79">
        <f t="shared" si="0"/>
        <v>6</v>
      </c>
      <c r="C11" s="83">
        <f t="shared" si="1"/>
        <v>44285</v>
      </c>
      <c r="D11" s="80">
        <v>249794.75</v>
      </c>
      <c r="E11" s="5">
        <f t="shared" si="2"/>
        <v>-4.3181168490336042E-2</v>
      </c>
      <c r="G11" s="79">
        <v>6</v>
      </c>
      <c r="H11" s="83">
        <v>44285</v>
      </c>
      <c r="I11" s="80">
        <v>32287.429999999989</v>
      </c>
      <c r="J11" s="5">
        <f t="shared" si="3"/>
        <v>0.79503554497758966</v>
      </c>
      <c r="L11" s="79">
        <v>6</v>
      </c>
      <c r="M11" s="83">
        <v>44285</v>
      </c>
      <c r="N11" s="80">
        <v>-5.7172845827184542</v>
      </c>
      <c r="O11" s="5">
        <f t="shared" si="4"/>
        <v>-0.84056344011958861</v>
      </c>
    </row>
    <row r="12" spans="2:15" x14ac:dyDescent="0.25">
      <c r="B12" s="79">
        <f t="shared" si="0"/>
        <v>7</v>
      </c>
      <c r="C12" s="83">
        <f t="shared" si="1"/>
        <v>44650</v>
      </c>
      <c r="D12" s="80">
        <v>278453.62</v>
      </c>
      <c r="E12" s="5">
        <f t="shared" si="2"/>
        <v>0.11472967306158344</v>
      </c>
      <c r="G12" s="79">
        <v>7</v>
      </c>
      <c r="H12" s="83">
        <v>44650</v>
      </c>
      <c r="I12" s="80">
        <v>24720.090000000015</v>
      </c>
      <c r="J12" s="5">
        <f t="shared" si="3"/>
        <v>-0.234374182150762</v>
      </c>
      <c r="L12" s="79">
        <v>7</v>
      </c>
      <c r="M12" s="83">
        <v>44650</v>
      </c>
      <c r="N12" s="80">
        <v>-41.132140813683833</v>
      </c>
      <c r="O12" s="5">
        <f t="shared" si="4"/>
        <v>6.194349033807641</v>
      </c>
    </row>
    <row r="13" spans="2:15" x14ac:dyDescent="0.25">
      <c r="B13" s="79">
        <f t="shared" si="0"/>
        <v>8</v>
      </c>
      <c r="C13" s="83">
        <f t="shared" si="1"/>
        <v>45015</v>
      </c>
      <c r="D13" s="80">
        <v>345966.97</v>
      </c>
      <c r="E13" s="5">
        <f t="shared" si="2"/>
        <v>0.24245815155859707</v>
      </c>
      <c r="G13" s="79">
        <v>8</v>
      </c>
      <c r="H13" s="83">
        <v>45015</v>
      </c>
      <c r="I13" s="80">
        <v>31815.799999999959</v>
      </c>
      <c r="J13" s="5">
        <f t="shared" si="3"/>
        <v>0.28704223973294352</v>
      </c>
      <c r="L13" s="79">
        <v>8</v>
      </c>
      <c r="M13" s="83">
        <v>45015</v>
      </c>
      <c r="N13" s="80">
        <v>-11.965495438533218</v>
      </c>
      <c r="O13" s="5">
        <f t="shared" si="4"/>
        <v>-0.70909621522659627</v>
      </c>
    </row>
    <row r="14" spans="2:15" x14ac:dyDescent="0.25">
      <c r="B14" s="79">
        <f t="shared" si="0"/>
        <v>9</v>
      </c>
      <c r="C14" s="83">
        <f t="shared" si="1"/>
        <v>45380</v>
      </c>
      <c r="D14" s="80">
        <v>434016</v>
      </c>
      <c r="E14" s="5">
        <f t="shared" si="2"/>
        <v>0.25450126062612277</v>
      </c>
      <c r="G14" s="79">
        <v>9</v>
      </c>
      <c r="H14" s="83">
        <v>45380</v>
      </c>
      <c r="I14" s="80">
        <v>57824</v>
      </c>
      <c r="J14" s="5">
        <f t="shared" si="3"/>
        <v>0.81746176428064277</v>
      </c>
      <c r="L14" s="79">
        <v>9</v>
      </c>
      <c r="M14" s="83">
        <v>45380</v>
      </c>
      <c r="N14" s="80">
        <v>81.279898907843673</v>
      </c>
      <c r="O14" s="5">
        <f t="shared" si="4"/>
        <v>-7.7928569548481077</v>
      </c>
    </row>
    <row r="15" spans="2:15" x14ac:dyDescent="0.25">
      <c r="B15" s="79">
        <f>B14+1</f>
        <v>10</v>
      </c>
      <c r="C15" s="83">
        <f t="shared" si="1"/>
        <v>45745</v>
      </c>
      <c r="D15" s="80">
        <v>439695</v>
      </c>
      <c r="E15" s="5">
        <f t="shared" si="2"/>
        <v>1.3084771068347711E-2</v>
      </c>
      <c r="G15" s="79">
        <v>10</v>
      </c>
      <c r="H15" s="83">
        <v>45745</v>
      </c>
      <c r="I15" s="80">
        <v>55216</v>
      </c>
      <c r="J15" s="5">
        <f t="shared" si="3"/>
        <v>-4.510237963475372E-2</v>
      </c>
      <c r="L15" s="79">
        <v>10</v>
      </c>
      <c r="M15" s="83">
        <v>45745</v>
      </c>
      <c r="N15" s="80">
        <v>44.481569010947219</v>
      </c>
      <c r="O15" s="5">
        <f t="shared" si="4"/>
        <v>-0.45273592107464278</v>
      </c>
    </row>
    <row r="16" spans="2:15" x14ac:dyDescent="0.25">
      <c r="B16" s="88">
        <f>B15+1</f>
        <v>11</v>
      </c>
      <c r="C16" s="89">
        <f t="shared" si="1"/>
        <v>46110</v>
      </c>
      <c r="D16" s="90">
        <f>FORECAST(B16,$D$6:$D$15,B$6:B$15)</f>
        <v>409204.26066666667</v>
      </c>
      <c r="E16" s="91">
        <f t="shared" si="2"/>
        <v>-6.9345203682855905E-2</v>
      </c>
      <c r="G16" s="88">
        <v>11</v>
      </c>
      <c r="H16" s="89">
        <v>46110</v>
      </c>
      <c r="I16" s="92">
        <f>FORECAST(G16,$I$6:$I$15,$G$6:$G$15)</f>
        <v>46572.03933333332</v>
      </c>
      <c r="J16" s="91">
        <f t="shared" si="3"/>
        <v>-0.15654811407321578</v>
      </c>
      <c r="L16" s="88">
        <v>11</v>
      </c>
      <c r="M16" s="89">
        <v>46110</v>
      </c>
      <c r="N16" s="92">
        <f>FORECAST(L16,$N$6:$N$15,$L$6:$L$15)</f>
        <v>18.636642255477042</v>
      </c>
      <c r="O16" s="91">
        <f t="shared" ref="O8:O20" si="5">N16/N15-1</f>
        <v>-0.58102551978572436</v>
      </c>
    </row>
    <row r="17" spans="2:15" x14ac:dyDescent="0.25">
      <c r="B17" s="88">
        <f>B16+1</f>
        <v>12</v>
      </c>
      <c r="C17" s="89">
        <f t="shared" si="1"/>
        <v>46475</v>
      </c>
      <c r="D17" s="90">
        <f t="shared" ref="D17:D20" si="6">FORECAST(B17,$D$6:$D$15,B$6:B$15)</f>
        <v>426419.19351515151</v>
      </c>
      <c r="E17" s="91">
        <f t="shared" si="2"/>
        <v>4.206929033543938E-2</v>
      </c>
      <c r="G17" s="88">
        <v>12</v>
      </c>
      <c r="H17" s="89">
        <v>46475</v>
      </c>
      <c r="I17" s="92">
        <f t="shared" ref="I17:I20" si="7">FORECAST(G17,$I$6:$I$15,$G$6:$G$15)</f>
        <v>48785.931212121199</v>
      </c>
      <c r="J17" s="91">
        <f t="shared" si="3"/>
        <v>4.7536932255472841E-2</v>
      </c>
      <c r="L17" s="88">
        <v>12</v>
      </c>
      <c r="M17" s="89">
        <v>46475</v>
      </c>
      <c r="N17" s="92">
        <f t="shared" ref="N17:N20" si="8">FORECAST(L17,$N$6:$N$15,$L$6:$L$15)</f>
        <v>20.414683487685949</v>
      </c>
      <c r="O17" s="91">
        <f t="shared" si="5"/>
        <v>9.5405664166052562E-2</v>
      </c>
    </row>
    <row r="18" spans="2:15" x14ac:dyDescent="0.25">
      <c r="B18" s="88">
        <f t="shared" ref="B18:B21" si="9">B17+1</f>
        <v>13</v>
      </c>
      <c r="C18" s="89">
        <f t="shared" si="1"/>
        <v>46840</v>
      </c>
      <c r="D18" s="90">
        <f t="shared" si="6"/>
        <v>443634.12636363634</v>
      </c>
      <c r="E18" s="91">
        <f t="shared" si="2"/>
        <v>4.0370914607700925E-2</v>
      </c>
      <c r="G18" s="88">
        <v>13</v>
      </c>
      <c r="H18" s="89">
        <v>46840</v>
      </c>
      <c r="I18" s="92">
        <f t="shared" si="7"/>
        <v>50999.823090909078</v>
      </c>
      <c r="J18" s="91">
        <f t="shared" si="3"/>
        <v>4.5379719599117241E-2</v>
      </c>
      <c r="L18" s="88">
        <v>13</v>
      </c>
      <c r="M18" s="89">
        <v>46840</v>
      </c>
      <c r="N18" s="92">
        <f t="shared" si="8"/>
        <v>22.192724719894855</v>
      </c>
      <c r="O18" s="91">
        <f t="shared" si="5"/>
        <v>8.7096193937143962E-2</v>
      </c>
    </row>
    <row r="19" spans="2:15" x14ac:dyDescent="0.25">
      <c r="B19" s="88">
        <f t="shared" si="9"/>
        <v>14</v>
      </c>
      <c r="C19" s="89">
        <f t="shared" si="1"/>
        <v>47205</v>
      </c>
      <c r="D19" s="90">
        <f t="shared" si="6"/>
        <v>460849.05921212118</v>
      </c>
      <c r="E19" s="91">
        <f t="shared" si="2"/>
        <v>3.8804347604165512E-2</v>
      </c>
      <c r="G19" s="88">
        <v>14</v>
      </c>
      <c r="H19" s="89">
        <v>47205</v>
      </c>
      <c r="I19" s="92">
        <f t="shared" si="7"/>
        <v>53213.714969696957</v>
      </c>
      <c r="J19" s="91">
        <f t="shared" si="3"/>
        <v>4.3409795262260742E-2</v>
      </c>
      <c r="L19" s="88">
        <v>14</v>
      </c>
      <c r="M19" s="89">
        <v>47205</v>
      </c>
      <c r="N19" s="92">
        <f t="shared" si="8"/>
        <v>23.970765952103768</v>
      </c>
      <c r="O19" s="91">
        <f t="shared" si="5"/>
        <v>8.0118203359453855E-2</v>
      </c>
    </row>
    <row r="20" spans="2:15" x14ac:dyDescent="0.25">
      <c r="B20" s="88">
        <f t="shared" si="9"/>
        <v>15</v>
      </c>
      <c r="C20" s="89">
        <f t="shared" si="1"/>
        <v>47570</v>
      </c>
      <c r="D20" s="90">
        <f t="shared" si="6"/>
        <v>478063.99206060608</v>
      </c>
      <c r="E20" s="91">
        <f t="shared" si="2"/>
        <v>3.7354818252023803E-2</v>
      </c>
      <c r="G20" s="88">
        <v>15</v>
      </c>
      <c r="H20" s="89">
        <v>47570</v>
      </c>
      <c r="I20" s="92">
        <f t="shared" si="7"/>
        <v>55427.606848484837</v>
      </c>
      <c r="J20" s="91">
        <f t="shared" si="3"/>
        <v>4.160378353679306E-2</v>
      </c>
      <c r="L20" s="88">
        <v>15</v>
      </c>
      <c r="M20" s="89">
        <v>47570</v>
      </c>
      <c r="N20" s="92">
        <f t="shared" si="8"/>
        <v>25.748807184312675</v>
      </c>
      <c r="O20" s="91">
        <f t="shared" si="5"/>
        <v>7.4175403312586097E-2</v>
      </c>
    </row>
    <row r="21" spans="2:15" x14ac:dyDescent="0.25">
      <c r="B21" s="79"/>
      <c r="C21" s="84"/>
      <c r="D21" s="82"/>
      <c r="E21" s="5"/>
    </row>
    <row r="22" spans="2:15" x14ac:dyDescent="0.25">
      <c r="B22" s="79"/>
      <c r="C22" s="84"/>
      <c r="D22" s="82"/>
      <c r="E22" s="5"/>
    </row>
    <row r="23" spans="2:15" x14ac:dyDescent="0.25">
      <c r="D23" s="5"/>
    </row>
    <row r="26" spans="2:15" x14ac:dyDescent="0.25">
      <c r="B26" s="79"/>
      <c r="C26" s="81"/>
      <c r="D26" s="82"/>
      <c r="E26" s="5"/>
    </row>
    <row r="27" spans="2:15" x14ac:dyDescent="0.25">
      <c r="B27" s="79"/>
      <c r="C27" s="81"/>
      <c r="D27" s="82"/>
      <c r="E27" s="5"/>
    </row>
    <row r="28" spans="2:15" x14ac:dyDescent="0.25">
      <c r="B28" s="79"/>
      <c r="C28" s="81"/>
      <c r="D28" s="82"/>
      <c r="E28" s="5"/>
    </row>
    <row r="29" spans="2:15" x14ac:dyDescent="0.25">
      <c r="B29" s="79"/>
      <c r="C29" s="81"/>
      <c r="D29" s="82"/>
      <c r="E29" s="5"/>
    </row>
    <row r="30" spans="2:15" x14ac:dyDescent="0.25">
      <c r="B30" s="79"/>
      <c r="C30" s="81"/>
      <c r="D30" s="82"/>
      <c r="E30" s="5"/>
    </row>
    <row r="31" spans="2:15" x14ac:dyDescent="0.25">
      <c r="B31" s="79"/>
      <c r="C31" s="81"/>
      <c r="D31" s="82"/>
      <c r="E31" s="5"/>
    </row>
  </sheetData>
  <mergeCells count="3">
    <mergeCell ref="B4:E4"/>
    <mergeCell ref="G4:J4"/>
    <mergeCell ref="L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Profit &amp; Loss</vt:lpstr>
      <vt:lpstr>Quarters</vt:lpstr>
      <vt:lpstr>Balance Sheet</vt:lpstr>
      <vt:lpstr>Cash Flow</vt:lpstr>
      <vt:lpstr>Data Sheet</vt:lpstr>
      <vt:lpstr>Cash flow Statement</vt:lpstr>
      <vt:lpstr>Historical financial statements</vt:lpstr>
      <vt:lpstr>2nd Financial Model</vt:lpstr>
      <vt:lpstr>Ratio</vt:lpstr>
      <vt:lpstr>Forceasting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Rajneesh Choudhary</cp:lastModifiedBy>
  <cp:lastPrinted>2012-12-06T18:14:13Z</cp:lastPrinted>
  <dcterms:created xsi:type="dcterms:W3CDTF">2012-08-17T09:55:37Z</dcterms:created>
  <dcterms:modified xsi:type="dcterms:W3CDTF">2025-08-01T13:07:27Z</dcterms:modified>
</cp:coreProperties>
</file>