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ne\Downloads\"/>
    </mc:Choice>
  </mc:AlternateContent>
  <xr:revisionPtr revIDLastSave="0" documentId="8_{75E96CF0-0201-4B5B-A8A3-642B02DD8D32}" xr6:coauthVersionLast="47" xr6:coauthVersionMax="47" xr10:uidLastSave="{00000000-0000-0000-0000-000000000000}"/>
  <bookViews>
    <workbookView xWindow="-120" yWindow="-120" windowWidth="29040" windowHeight="15720" firstSheet="6" activeTab="11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Balance Shaeet2" sheetId="19" r:id="rId5"/>
    <sheet name="Cash Flow Statement 2" sheetId="20" r:id="rId6"/>
    <sheet name="Data Sheet" sheetId="6" r:id="rId7"/>
    <sheet name="Historical Financial Statement" sheetId="18" r:id="rId8"/>
    <sheet name="Ratio Analysis" sheetId="21" r:id="rId9"/>
    <sheet name="WACC" sheetId="22" r:id="rId10"/>
    <sheet name="Intrinsic Growth" sheetId="28" r:id="rId11"/>
    <sheet name="DCF" sheetId="29" r:id="rId12"/>
    <sheet name="Relative Valuation" sheetId="30" r:id="rId13"/>
    <sheet name="Equity Premium" sheetId="27" r:id="rId14"/>
    <sheet name="Beta" sheetId="25" r:id="rId15"/>
    <sheet name="Peer Data" sheetId="24" r:id="rId16"/>
    <sheet name="Relative Valuation DATA" sheetId="23" r:id="rId17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29" l="1"/>
  <c r="C42" i="29"/>
  <c r="C39" i="29"/>
  <c r="C37" i="29"/>
  <c r="C35" i="29"/>
  <c r="C34" i="29"/>
  <c r="C24" i="29"/>
  <c r="E11" i="29"/>
  <c r="F11" i="29" s="1"/>
  <c r="G11" i="29" s="1"/>
  <c r="H11" i="29" s="1"/>
  <c r="C18" i="29"/>
  <c r="C23" i="29" s="1"/>
  <c r="C16" i="29"/>
  <c r="C7" i="29"/>
  <c r="D7" i="29" s="1"/>
  <c r="E7" i="29" s="1"/>
  <c r="F7" i="29" s="1"/>
  <c r="G7" i="29" s="1"/>
  <c r="H7" i="29" s="1"/>
  <c r="D12" i="29" l="1"/>
  <c r="E12" i="29"/>
  <c r="F12" i="29"/>
  <c r="G12" i="29"/>
  <c r="H12" i="29"/>
  <c r="C4" i="29"/>
  <c r="D4" i="29" s="1"/>
  <c r="D6" i="29" s="1"/>
  <c r="D9" i="29" s="1"/>
  <c r="D14" i="29" s="1"/>
  <c r="C2" i="29"/>
  <c r="D2" i="29" s="1"/>
  <c r="E2" i="29" s="1"/>
  <c r="F2" i="29" s="1"/>
  <c r="G2" i="29" s="1"/>
  <c r="H2" i="29" s="1"/>
  <c r="G58" i="28"/>
  <c r="G57" i="28"/>
  <c r="G56" i="28"/>
  <c r="F56" i="28"/>
  <c r="E56" i="28"/>
  <c r="D56" i="28"/>
  <c r="E53" i="28"/>
  <c r="F53" i="28"/>
  <c r="G53" i="28"/>
  <c r="E54" i="28"/>
  <c r="F54" i="28"/>
  <c r="G54" i="28"/>
  <c r="D54" i="28"/>
  <c r="D53" i="28"/>
  <c r="G51" i="28"/>
  <c r="F51" i="28"/>
  <c r="E51" i="28"/>
  <c r="D51" i="28"/>
  <c r="C51" i="28"/>
  <c r="G49" i="28"/>
  <c r="G48" i="28"/>
  <c r="G47" i="28"/>
  <c r="F47" i="28"/>
  <c r="E47" i="28"/>
  <c r="D47" i="28"/>
  <c r="C47" i="28"/>
  <c r="G45" i="28"/>
  <c r="F45" i="28"/>
  <c r="E45" i="28"/>
  <c r="G38" i="28"/>
  <c r="F38" i="28"/>
  <c r="E38" i="28"/>
  <c r="D38" i="28"/>
  <c r="D45" i="28" s="1"/>
  <c r="C38" i="28"/>
  <c r="G43" i="28"/>
  <c r="F43" i="28"/>
  <c r="E43" i="28"/>
  <c r="D43" i="28"/>
  <c r="C43" i="28"/>
  <c r="G41" i="28"/>
  <c r="F41" i="28"/>
  <c r="E41" i="28"/>
  <c r="D41" i="28"/>
  <c r="C41" i="28"/>
  <c r="D36" i="28"/>
  <c r="G36" i="28"/>
  <c r="C36" i="28"/>
  <c r="D32" i="28"/>
  <c r="E32" i="28"/>
  <c r="F32" i="28"/>
  <c r="G32" i="28"/>
  <c r="C32" i="28"/>
  <c r="D20" i="28"/>
  <c r="E20" i="28"/>
  <c r="F20" i="28"/>
  <c r="G20" i="28"/>
  <c r="D21" i="28"/>
  <c r="E21" i="28"/>
  <c r="F21" i="28"/>
  <c r="G21" i="28"/>
  <c r="D22" i="28"/>
  <c r="E22" i="28"/>
  <c r="F22" i="28"/>
  <c r="G22" i="28"/>
  <c r="D23" i="28"/>
  <c r="E23" i="28"/>
  <c r="F23" i="28"/>
  <c r="G23" i="28"/>
  <c r="D24" i="28"/>
  <c r="E24" i="28"/>
  <c r="F24" i="28"/>
  <c r="G24" i="28"/>
  <c r="D25" i="28"/>
  <c r="E25" i="28"/>
  <c r="F25" i="28"/>
  <c r="G25" i="28"/>
  <c r="D26" i="28"/>
  <c r="E26" i="28"/>
  <c r="F26" i="28"/>
  <c r="G26" i="28"/>
  <c r="D27" i="28"/>
  <c r="E27" i="28"/>
  <c r="F27" i="28"/>
  <c r="G27" i="28"/>
  <c r="D28" i="28"/>
  <c r="E28" i="28"/>
  <c r="F28" i="28"/>
  <c r="G28" i="28"/>
  <c r="D29" i="28"/>
  <c r="E29" i="28"/>
  <c r="F29" i="28"/>
  <c r="G29" i="28"/>
  <c r="C21" i="28"/>
  <c r="C22" i="28"/>
  <c r="C23" i="28"/>
  <c r="C24" i="28"/>
  <c r="C25" i="28"/>
  <c r="C26" i="28"/>
  <c r="C27" i="28"/>
  <c r="C28" i="28"/>
  <c r="C29" i="28"/>
  <c r="C20" i="28"/>
  <c r="B21" i="28"/>
  <c r="B22" i="28"/>
  <c r="B23" i="28"/>
  <c r="B24" i="28"/>
  <c r="B25" i="28"/>
  <c r="B26" i="28"/>
  <c r="B27" i="28"/>
  <c r="B28" i="28"/>
  <c r="B29" i="28"/>
  <c r="B20" i="28"/>
  <c r="D12" i="28"/>
  <c r="E12" i="28"/>
  <c r="F12" i="28"/>
  <c r="G12" i="28"/>
  <c r="D13" i="28"/>
  <c r="E13" i="28"/>
  <c r="F13" i="28"/>
  <c r="G13" i="28"/>
  <c r="D14" i="28"/>
  <c r="E14" i="28"/>
  <c r="F14" i="28"/>
  <c r="G14" i="28"/>
  <c r="C13" i="28"/>
  <c r="C14" i="28"/>
  <c r="C12" i="28"/>
  <c r="C15" i="28" s="1"/>
  <c r="D4" i="28"/>
  <c r="D9" i="28" s="1"/>
  <c r="E4" i="28"/>
  <c r="F4" i="28"/>
  <c r="F9" i="28" s="1"/>
  <c r="G4" i="28"/>
  <c r="D5" i="28"/>
  <c r="E5" i="28"/>
  <c r="F5" i="28"/>
  <c r="G5" i="28"/>
  <c r="D6" i="28"/>
  <c r="E6" i="28"/>
  <c r="F6" i="28"/>
  <c r="G6" i="28"/>
  <c r="D7" i="28"/>
  <c r="E7" i="28"/>
  <c r="F7" i="28"/>
  <c r="G7" i="28"/>
  <c r="D8" i="28"/>
  <c r="E8" i="28"/>
  <c r="F8" i="28"/>
  <c r="G8" i="28"/>
  <c r="C5" i="28"/>
  <c r="C6" i="28"/>
  <c r="C7" i="28"/>
  <c r="C8" i="28"/>
  <c r="C4" i="28"/>
  <c r="C9" i="28" s="1"/>
  <c r="B13" i="28"/>
  <c r="B14" i="28"/>
  <c r="B12" i="28"/>
  <c r="B5" i="28"/>
  <c r="B6" i="28"/>
  <c r="B7" i="28"/>
  <c r="B8" i="28"/>
  <c r="B4" i="28"/>
  <c r="D2" i="28"/>
  <c r="E2" i="28"/>
  <c r="E36" i="28" s="1"/>
  <c r="F2" i="28"/>
  <c r="F36" i="28" s="1"/>
  <c r="G2" i="28"/>
  <c r="C2" i="28"/>
  <c r="E4" i="29" l="1"/>
  <c r="F4" i="29" s="1"/>
  <c r="C6" i="29"/>
  <c r="C9" i="29" s="1"/>
  <c r="E9" i="28"/>
  <c r="E15" i="28"/>
  <c r="D15" i="28"/>
  <c r="G15" i="28"/>
  <c r="F15" i="28"/>
  <c r="F17" i="28" s="1"/>
  <c r="G9" i="28"/>
  <c r="G17" i="28" s="1"/>
  <c r="D17" i="28"/>
  <c r="G31" i="28"/>
  <c r="G34" i="28" s="1"/>
  <c r="C17" i="28"/>
  <c r="C31" i="28" s="1"/>
  <c r="C34" i="28" s="1"/>
  <c r="E6" i="29" l="1"/>
  <c r="E9" i="29" s="1"/>
  <c r="E14" i="29" s="1"/>
  <c r="G4" i="29"/>
  <c r="F6" i="29"/>
  <c r="F9" i="29" s="1"/>
  <c r="F14" i="29" s="1"/>
  <c r="F39" i="28"/>
  <c r="F31" i="28"/>
  <c r="F34" i="28" s="1"/>
  <c r="D39" i="28"/>
  <c r="G39" i="28"/>
  <c r="E17" i="28"/>
  <c r="D31" i="28"/>
  <c r="D34" i="28" s="1"/>
  <c r="H4" i="29" l="1"/>
  <c r="H6" i="29" s="1"/>
  <c r="H9" i="29" s="1"/>
  <c r="G6" i="29"/>
  <c r="G9" i="29" s="1"/>
  <c r="G14" i="29" s="1"/>
  <c r="E39" i="28"/>
  <c r="E31" i="28"/>
  <c r="E34" i="28" s="1"/>
  <c r="C22" i="29" l="1"/>
  <c r="C26" i="29" s="1"/>
  <c r="C31" i="29" s="1"/>
  <c r="H14" i="29"/>
  <c r="C30" i="29" s="1"/>
  <c r="C32" i="29" l="1"/>
  <c r="C36" i="29" s="1"/>
  <c r="L22" i="22" l="1"/>
  <c r="L20" i="22"/>
  <c r="L19" i="22"/>
  <c r="L17" i="22"/>
  <c r="L16" i="22"/>
  <c r="H26" i="22"/>
  <c r="H25" i="22"/>
  <c r="H24" i="22"/>
  <c r="H23" i="22"/>
  <c r="E27" i="22"/>
  <c r="D27" i="22"/>
  <c r="E24" i="22"/>
  <c r="E23" i="22"/>
  <c r="D25" i="22"/>
  <c r="D24" i="22"/>
  <c r="D23" i="22"/>
  <c r="C25" i="22"/>
  <c r="C24" i="22"/>
  <c r="C23" i="22"/>
  <c r="H19" i="22"/>
  <c r="H18" i="22"/>
  <c r="H17" i="22"/>
  <c r="F8" i="27"/>
  <c r="F6" i="27"/>
  <c r="J13" i="22"/>
  <c r="I13" i="22"/>
  <c r="H13" i="22"/>
  <c r="G13" i="22"/>
  <c r="H12" i="22"/>
  <c r="J12" i="22"/>
  <c r="I12" i="22"/>
  <c r="G12" i="22"/>
  <c r="J11" i="22"/>
  <c r="J10" i="22"/>
  <c r="J9" i="22"/>
  <c r="J8" i="22"/>
  <c r="J7" i="22"/>
  <c r="I11" i="22"/>
  <c r="I10" i="22"/>
  <c r="I9" i="22"/>
  <c r="I8" i="22"/>
  <c r="I7" i="22"/>
  <c r="BK4" i="25"/>
  <c r="BH29" i="25"/>
  <c r="BH28" i="25"/>
  <c r="BH27" i="25"/>
  <c r="BH26" i="25"/>
  <c r="BH25" i="25"/>
  <c r="BH24" i="25"/>
  <c r="BH23" i="25"/>
  <c r="BH22" i="25"/>
  <c r="BH21" i="25"/>
  <c r="BH20" i="25"/>
  <c r="BH19" i="25"/>
  <c r="BH18" i="25"/>
  <c r="BH17" i="25"/>
  <c r="BH16" i="25"/>
  <c r="BH15" i="25"/>
  <c r="BH14" i="25"/>
  <c r="BH13" i="25"/>
  <c r="BH12" i="25"/>
  <c r="BH11" i="25"/>
  <c r="BH10" i="25"/>
  <c r="BH9" i="25"/>
  <c r="BH8" i="25"/>
  <c r="BH7" i="25"/>
  <c r="BH6" i="25"/>
  <c r="AX4" i="25"/>
  <c r="AU29" i="25"/>
  <c r="AU28" i="25"/>
  <c r="AU27" i="25"/>
  <c r="AU26" i="25"/>
  <c r="AU25" i="25"/>
  <c r="AU24" i="25"/>
  <c r="AU23" i="25"/>
  <c r="AU22" i="25"/>
  <c r="AU21" i="25"/>
  <c r="AU20" i="25"/>
  <c r="AU19" i="25"/>
  <c r="AU18" i="25"/>
  <c r="AU17" i="25"/>
  <c r="AU16" i="25"/>
  <c r="AU15" i="25"/>
  <c r="AU14" i="25"/>
  <c r="AU13" i="25"/>
  <c r="AU12" i="25"/>
  <c r="AU11" i="25"/>
  <c r="AU10" i="25"/>
  <c r="AU9" i="25"/>
  <c r="AU8" i="25"/>
  <c r="AU7" i="25"/>
  <c r="AU6" i="25"/>
  <c r="AK4" i="25"/>
  <c r="AH7" i="25"/>
  <c r="AH8" i="25"/>
  <c r="AH9" i="25"/>
  <c r="AH10" i="25"/>
  <c r="AH11" i="25"/>
  <c r="AH12" i="25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6" i="25"/>
  <c r="X4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6" i="25"/>
  <c r="K4" i="25"/>
  <c r="H29" i="25" l="1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6" i="25"/>
  <c r="N6" i="18" l="1"/>
  <c r="M45" i="18"/>
  <c r="H10" i="22"/>
  <c r="H9" i="22"/>
  <c r="H8" i="22"/>
  <c r="G11" i="22"/>
  <c r="G10" i="22"/>
  <c r="G9" i="22"/>
  <c r="G8" i="22"/>
  <c r="E8" i="22"/>
  <c r="E9" i="22"/>
  <c r="E10" i="22"/>
  <c r="E11" i="22"/>
  <c r="E7" i="22"/>
  <c r="D8" i="22"/>
  <c r="D9" i="22"/>
  <c r="D10" i="22"/>
  <c r="D11" i="22"/>
  <c r="H11" i="22" s="1"/>
  <c r="D7" i="22"/>
  <c r="C16" i="22" s="1"/>
  <c r="C18" i="22" s="1"/>
  <c r="B8" i="22"/>
  <c r="B9" i="22"/>
  <c r="B10" i="22"/>
  <c r="B11" i="22"/>
  <c r="B7" i="22"/>
  <c r="N42" i="21"/>
  <c r="M42" i="21"/>
  <c r="N41" i="21"/>
  <c r="M41" i="21"/>
  <c r="N40" i="21"/>
  <c r="M40" i="21"/>
  <c r="N37" i="21"/>
  <c r="M37" i="21"/>
  <c r="N36" i="21"/>
  <c r="M36" i="21"/>
  <c r="N35" i="21"/>
  <c r="M35" i="21"/>
  <c r="N34" i="21"/>
  <c r="M34" i="21"/>
  <c r="N31" i="21"/>
  <c r="M31" i="21"/>
  <c r="N30" i="21"/>
  <c r="M30" i="21"/>
  <c r="N29" i="21"/>
  <c r="M29" i="21"/>
  <c r="N28" i="21"/>
  <c r="M28" i="21"/>
  <c r="N27" i="21"/>
  <c r="M27" i="21"/>
  <c r="N24" i="21"/>
  <c r="M24" i="21"/>
  <c r="N23" i="21"/>
  <c r="M23" i="21"/>
  <c r="N22" i="21"/>
  <c r="M22" i="21"/>
  <c r="N21" i="21"/>
  <c r="M21" i="21"/>
  <c r="N18" i="21"/>
  <c r="M18" i="21"/>
  <c r="N17" i="21"/>
  <c r="M17" i="21"/>
  <c r="N16" i="21"/>
  <c r="M16" i="21"/>
  <c r="N13" i="21"/>
  <c r="M13" i="21"/>
  <c r="N12" i="21"/>
  <c r="M12" i="21"/>
  <c r="N11" i="21"/>
  <c r="M11" i="21"/>
  <c r="N10" i="21"/>
  <c r="M10" i="21"/>
  <c r="N9" i="21"/>
  <c r="M9" i="21"/>
  <c r="N8" i="21"/>
  <c r="M8" i="21"/>
  <c r="N7" i="21"/>
  <c r="M7" i="21"/>
  <c r="N6" i="21"/>
  <c r="M6" i="21"/>
  <c r="L42" i="21"/>
  <c r="K42" i="21"/>
  <c r="J42" i="21"/>
  <c r="I42" i="21"/>
  <c r="H42" i="21"/>
  <c r="G42" i="21"/>
  <c r="F42" i="21"/>
  <c r="E42" i="21"/>
  <c r="D42" i="21"/>
  <c r="C42" i="21"/>
  <c r="L41" i="21"/>
  <c r="K41" i="21"/>
  <c r="J41" i="21"/>
  <c r="I41" i="21"/>
  <c r="H41" i="21"/>
  <c r="G41" i="21"/>
  <c r="F41" i="21"/>
  <c r="E41" i="21"/>
  <c r="L40" i="21"/>
  <c r="K40" i="21"/>
  <c r="J40" i="21"/>
  <c r="I40" i="21"/>
  <c r="H40" i="21"/>
  <c r="G40" i="21"/>
  <c r="F40" i="21"/>
  <c r="E40" i="21"/>
  <c r="D41" i="21"/>
  <c r="D40" i="21"/>
  <c r="C41" i="21"/>
  <c r="C40" i="21"/>
  <c r="L37" i="21"/>
  <c r="K37" i="21"/>
  <c r="J37" i="21"/>
  <c r="I37" i="21"/>
  <c r="H37" i="21"/>
  <c r="G37" i="21"/>
  <c r="F37" i="21"/>
  <c r="E37" i="21"/>
  <c r="L36" i="21"/>
  <c r="K36" i="21"/>
  <c r="J36" i="21"/>
  <c r="I36" i="21"/>
  <c r="H36" i="21"/>
  <c r="G36" i="21"/>
  <c r="F36" i="21"/>
  <c r="E36" i="21"/>
  <c r="L35" i="21"/>
  <c r="K35" i="21"/>
  <c r="J35" i="21"/>
  <c r="I35" i="21"/>
  <c r="H35" i="21"/>
  <c r="G35" i="21"/>
  <c r="F35" i="21"/>
  <c r="E35" i="21"/>
  <c r="L34" i="21"/>
  <c r="K34" i="21"/>
  <c r="J34" i="21"/>
  <c r="I34" i="21"/>
  <c r="H34" i="21"/>
  <c r="G34" i="21"/>
  <c r="F34" i="21"/>
  <c r="E34" i="21"/>
  <c r="D37" i="21"/>
  <c r="D36" i="21"/>
  <c r="D35" i="21"/>
  <c r="D34" i="21"/>
  <c r="C37" i="21"/>
  <c r="C36" i="21"/>
  <c r="C35" i="21"/>
  <c r="C34" i="21"/>
  <c r="L31" i="21"/>
  <c r="K31" i="21"/>
  <c r="J31" i="21"/>
  <c r="I31" i="21"/>
  <c r="H31" i="21"/>
  <c r="G31" i="21"/>
  <c r="F31" i="21"/>
  <c r="E31" i="21"/>
  <c r="D31" i="21"/>
  <c r="L29" i="21"/>
  <c r="K29" i="21"/>
  <c r="J29" i="21"/>
  <c r="I29" i="21"/>
  <c r="H29" i="21"/>
  <c r="G29" i="21"/>
  <c r="F29" i="21"/>
  <c r="E29" i="21"/>
  <c r="D29" i="21"/>
  <c r="L28" i="21"/>
  <c r="K28" i="21"/>
  <c r="J28" i="21"/>
  <c r="I28" i="21"/>
  <c r="H28" i="21"/>
  <c r="H30" i="21" s="1"/>
  <c r="G28" i="21"/>
  <c r="G30" i="21" s="1"/>
  <c r="F28" i="21"/>
  <c r="F30" i="21" s="1"/>
  <c r="E28" i="21"/>
  <c r="D28" i="21"/>
  <c r="L27" i="21"/>
  <c r="K27" i="21"/>
  <c r="J27" i="21"/>
  <c r="I27" i="21"/>
  <c r="H27" i="21"/>
  <c r="G27" i="21"/>
  <c r="F27" i="21"/>
  <c r="E27" i="21"/>
  <c r="D27" i="21"/>
  <c r="C31" i="21"/>
  <c r="C30" i="21"/>
  <c r="L45" i="18"/>
  <c r="K45" i="18"/>
  <c r="J45" i="18"/>
  <c r="I45" i="18"/>
  <c r="H45" i="18"/>
  <c r="G45" i="18"/>
  <c r="F45" i="18"/>
  <c r="E45" i="18"/>
  <c r="D45" i="18"/>
  <c r="C45" i="18"/>
  <c r="C47" i="18"/>
  <c r="C29" i="21" s="1"/>
  <c r="C28" i="21"/>
  <c r="C27" i="21"/>
  <c r="L24" i="21"/>
  <c r="K24" i="21"/>
  <c r="J24" i="21"/>
  <c r="I24" i="21"/>
  <c r="H24" i="21"/>
  <c r="G24" i="21"/>
  <c r="F24" i="21"/>
  <c r="E24" i="21"/>
  <c r="D24" i="21"/>
  <c r="L23" i="21"/>
  <c r="K23" i="21"/>
  <c r="J23" i="21"/>
  <c r="I23" i="21"/>
  <c r="H23" i="21"/>
  <c r="G23" i="21"/>
  <c r="F23" i="21"/>
  <c r="E23" i="21"/>
  <c r="D23" i="21"/>
  <c r="L22" i="21"/>
  <c r="K22" i="21"/>
  <c r="J22" i="21"/>
  <c r="I22" i="21"/>
  <c r="H22" i="21"/>
  <c r="G22" i="21"/>
  <c r="F22" i="21"/>
  <c r="E22" i="21"/>
  <c r="D22" i="21"/>
  <c r="L21" i="21"/>
  <c r="K21" i="21"/>
  <c r="J21" i="21"/>
  <c r="I21" i="21"/>
  <c r="H21" i="21"/>
  <c r="G21" i="21"/>
  <c r="F21" i="21"/>
  <c r="E21" i="21"/>
  <c r="D21" i="21"/>
  <c r="C24" i="21"/>
  <c r="C23" i="21"/>
  <c r="C22" i="21"/>
  <c r="C21" i="21"/>
  <c r="L18" i="21"/>
  <c r="K18" i="21"/>
  <c r="J18" i="21"/>
  <c r="I18" i="21"/>
  <c r="H18" i="21"/>
  <c r="G18" i="21"/>
  <c r="F18" i="21"/>
  <c r="E18" i="21"/>
  <c r="D18" i="21"/>
  <c r="C18" i="21"/>
  <c r="L17" i="21"/>
  <c r="K17" i="21"/>
  <c r="J17" i="21"/>
  <c r="I17" i="21"/>
  <c r="H17" i="21"/>
  <c r="G17" i="21"/>
  <c r="F17" i="21"/>
  <c r="E17" i="21"/>
  <c r="D17" i="21"/>
  <c r="C17" i="21"/>
  <c r="C16" i="21"/>
  <c r="D16" i="21"/>
  <c r="E16" i="21"/>
  <c r="F16" i="21"/>
  <c r="G16" i="21"/>
  <c r="H16" i="21"/>
  <c r="I16" i="21"/>
  <c r="J16" i="21"/>
  <c r="K16" i="21"/>
  <c r="L16" i="21"/>
  <c r="H7" i="22" l="1"/>
  <c r="G7" i="22"/>
  <c r="I30" i="21"/>
  <c r="K30" i="21"/>
  <c r="D30" i="21"/>
  <c r="J30" i="21"/>
  <c r="L30" i="21"/>
  <c r="E30" i="21"/>
  <c r="R25" i="18" l="1"/>
  <c r="Q25" i="18"/>
  <c r="P25" i="18"/>
  <c r="O25" i="18"/>
  <c r="R24" i="18"/>
  <c r="Q24" i="18"/>
  <c r="P24" i="18"/>
  <c r="O24" i="18"/>
  <c r="R22" i="18"/>
  <c r="Q22" i="18"/>
  <c r="P22" i="18"/>
  <c r="O22" i="18"/>
  <c r="N22" i="18"/>
  <c r="R21" i="18"/>
  <c r="Q21" i="18"/>
  <c r="P21" i="18"/>
  <c r="O21" i="18"/>
  <c r="N21" i="18"/>
  <c r="R19" i="18"/>
  <c r="Q19" i="18"/>
  <c r="P19" i="18"/>
  <c r="O19" i="18"/>
  <c r="R18" i="18"/>
  <c r="Q18" i="18"/>
  <c r="P18" i="18"/>
  <c r="O18" i="18"/>
  <c r="N18" i="18"/>
  <c r="N24" i="18" s="1"/>
  <c r="N25" i="18" s="1"/>
  <c r="R16" i="18"/>
  <c r="Q16" i="18"/>
  <c r="P16" i="18"/>
  <c r="O16" i="18"/>
  <c r="N16" i="18"/>
  <c r="R12" i="18"/>
  <c r="Q12" i="18"/>
  <c r="P12" i="18"/>
  <c r="O12" i="18"/>
  <c r="R15" i="18"/>
  <c r="Q15" i="18"/>
  <c r="P15" i="18"/>
  <c r="O15" i="18"/>
  <c r="N15" i="18"/>
  <c r="R13" i="18"/>
  <c r="Q13" i="18"/>
  <c r="P13" i="18"/>
  <c r="O13" i="18"/>
  <c r="N13" i="18"/>
  <c r="R10" i="18"/>
  <c r="Q10" i="18"/>
  <c r="P10" i="18"/>
  <c r="O10" i="18"/>
  <c r="N10" i="18"/>
  <c r="L13" i="18"/>
  <c r="N12" i="18"/>
  <c r="R9" i="18"/>
  <c r="Q9" i="18"/>
  <c r="P9" i="18"/>
  <c r="O9" i="18"/>
  <c r="N9" i="18"/>
  <c r="R7" i="18"/>
  <c r="Q7" i="18"/>
  <c r="P7" i="18"/>
  <c r="O7" i="18"/>
  <c r="N7" i="18"/>
  <c r="R6" i="18"/>
  <c r="Q6" i="18"/>
  <c r="P6" i="18"/>
  <c r="O6" i="18"/>
  <c r="C3" i="18"/>
  <c r="D3" i="18"/>
  <c r="E3" i="18"/>
  <c r="F3" i="18"/>
  <c r="G3" i="18"/>
  <c r="H3" i="18"/>
  <c r="I3" i="18"/>
  <c r="J3" i="18"/>
  <c r="K3" i="18"/>
  <c r="L3" i="18"/>
  <c r="C6" i="18"/>
  <c r="D6" i="18"/>
  <c r="E6" i="18"/>
  <c r="F6" i="18"/>
  <c r="G6" i="18"/>
  <c r="H6" i="18"/>
  <c r="I6" i="18"/>
  <c r="I6" i="21" s="1"/>
  <c r="J6" i="18"/>
  <c r="J6" i="21" s="1"/>
  <c r="K6" i="18"/>
  <c r="K6" i="21" s="1"/>
  <c r="L6" i="18"/>
  <c r="L6" i="21" s="1"/>
  <c r="M6" i="18"/>
  <c r="P3" i="18"/>
  <c r="Q3" i="18"/>
  <c r="R3" i="18"/>
  <c r="O3" i="18"/>
  <c r="E13" i="21"/>
  <c r="F13" i="21"/>
  <c r="G13" i="21"/>
  <c r="H13" i="21"/>
  <c r="I13" i="21"/>
  <c r="J13" i="21"/>
  <c r="K13" i="21"/>
  <c r="L13" i="21"/>
  <c r="D13" i="21"/>
  <c r="L7" i="21"/>
  <c r="K7" i="21"/>
  <c r="J7" i="21"/>
  <c r="I7" i="21"/>
  <c r="H7" i="21"/>
  <c r="G7" i="21"/>
  <c r="F7" i="21"/>
  <c r="E7" i="21"/>
  <c r="D7" i="21"/>
  <c r="H6" i="21"/>
  <c r="G6" i="21"/>
  <c r="F6" i="21"/>
  <c r="E6" i="21"/>
  <c r="D6" i="21"/>
  <c r="B2" i="21"/>
  <c r="L3" i="21"/>
  <c r="K3" i="21"/>
  <c r="J3" i="21"/>
  <c r="I3" i="21"/>
  <c r="H3" i="21"/>
  <c r="G3" i="21"/>
  <c r="F3" i="21"/>
  <c r="E3" i="21"/>
  <c r="D3" i="21"/>
  <c r="C3" i="21"/>
  <c r="C101" i="18"/>
  <c r="C125" i="18" s="1"/>
  <c r="L125" i="18"/>
  <c r="K125" i="18"/>
  <c r="J125" i="18"/>
  <c r="I125" i="18"/>
  <c r="H125" i="18"/>
  <c r="G125" i="18"/>
  <c r="F125" i="18"/>
  <c r="E125" i="18"/>
  <c r="D125" i="18"/>
  <c r="L123" i="18"/>
  <c r="K123" i="18"/>
  <c r="J123" i="18"/>
  <c r="I123" i="18"/>
  <c r="H123" i="18"/>
  <c r="G123" i="18"/>
  <c r="F123" i="18"/>
  <c r="E123" i="18"/>
  <c r="D123" i="18"/>
  <c r="C123" i="18"/>
  <c r="C117" i="18"/>
  <c r="D117" i="18"/>
  <c r="E117" i="18"/>
  <c r="F117" i="18"/>
  <c r="G117" i="18"/>
  <c r="H117" i="18"/>
  <c r="I117" i="18"/>
  <c r="J117" i="18"/>
  <c r="K117" i="18"/>
  <c r="L117" i="18"/>
  <c r="C118" i="18"/>
  <c r="D118" i="18"/>
  <c r="E118" i="18"/>
  <c r="F118" i="18"/>
  <c r="G118" i="18"/>
  <c r="H118" i="18"/>
  <c r="I118" i="18"/>
  <c r="J118" i="18"/>
  <c r="K118" i="18"/>
  <c r="L118" i="18"/>
  <c r="C119" i="18"/>
  <c r="D119" i="18"/>
  <c r="E119" i="18"/>
  <c r="F119" i="18"/>
  <c r="G119" i="18"/>
  <c r="H119" i="18"/>
  <c r="I119" i="18"/>
  <c r="J119" i="18"/>
  <c r="K119" i="18"/>
  <c r="L119" i="18"/>
  <c r="C120" i="18"/>
  <c r="D120" i="18"/>
  <c r="E120" i="18"/>
  <c r="F120" i="18"/>
  <c r="G120" i="18"/>
  <c r="H120" i="18"/>
  <c r="I120" i="18"/>
  <c r="J120" i="18"/>
  <c r="K120" i="18"/>
  <c r="L120" i="18"/>
  <c r="C121" i="18"/>
  <c r="D121" i="18"/>
  <c r="E121" i="18"/>
  <c r="F121" i="18"/>
  <c r="G121" i="18"/>
  <c r="H121" i="18"/>
  <c r="I121" i="18"/>
  <c r="J121" i="18"/>
  <c r="K121" i="18"/>
  <c r="L121" i="18"/>
  <c r="C122" i="18"/>
  <c r="D122" i="18"/>
  <c r="E122" i="18"/>
  <c r="F122" i="18"/>
  <c r="G122" i="18"/>
  <c r="H122" i="18"/>
  <c r="I122" i="18"/>
  <c r="J122" i="18"/>
  <c r="K122" i="18"/>
  <c r="L122" i="18"/>
  <c r="D116" i="18"/>
  <c r="E116" i="18"/>
  <c r="F116" i="18"/>
  <c r="G116" i="18"/>
  <c r="H116" i="18"/>
  <c r="I116" i="18"/>
  <c r="J116" i="18"/>
  <c r="K116" i="18"/>
  <c r="L116" i="18"/>
  <c r="C116" i="18"/>
  <c r="C105" i="18"/>
  <c r="D105" i="18"/>
  <c r="E105" i="18"/>
  <c r="F105" i="18"/>
  <c r="G105" i="18"/>
  <c r="H105" i="18"/>
  <c r="I105" i="18"/>
  <c r="J105" i="18"/>
  <c r="K105" i="18"/>
  <c r="L105" i="18"/>
  <c r="C106" i="18"/>
  <c r="D106" i="18"/>
  <c r="E106" i="18"/>
  <c r="F106" i="18"/>
  <c r="G106" i="18"/>
  <c r="H106" i="18"/>
  <c r="I106" i="18"/>
  <c r="J106" i="18"/>
  <c r="K106" i="18"/>
  <c r="L106" i="18"/>
  <c r="C107" i="18"/>
  <c r="D107" i="18"/>
  <c r="E107" i="18"/>
  <c r="F107" i="18"/>
  <c r="G107" i="18"/>
  <c r="H107" i="18"/>
  <c r="I107" i="18"/>
  <c r="J107" i="18"/>
  <c r="K107" i="18"/>
  <c r="L107" i="18"/>
  <c r="C108" i="18"/>
  <c r="D108" i="18"/>
  <c r="E108" i="18"/>
  <c r="F108" i="18"/>
  <c r="G108" i="18"/>
  <c r="H108" i="18"/>
  <c r="I108" i="18"/>
  <c r="J108" i="18"/>
  <c r="K108" i="18"/>
  <c r="L108" i="18"/>
  <c r="C109" i="18"/>
  <c r="D109" i="18"/>
  <c r="E109" i="18"/>
  <c r="F109" i="18"/>
  <c r="G109" i="18"/>
  <c r="H109" i="18"/>
  <c r="I109" i="18"/>
  <c r="J109" i="18"/>
  <c r="K109" i="18"/>
  <c r="L109" i="18"/>
  <c r="C110" i="18"/>
  <c r="D110" i="18"/>
  <c r="E110" i="18"/>
  <c r="F110" i="18"/>
  <c r="G110" i="18"/>
  <c r="H110" i="18"/>
  <c r="I110" i="18"/>
  <c r="J110" i="18"/>
  <c r="K110" i="18"/>
  <c r="L110" i="18"/>
  <c r="C111" i="18"/>
  <c r="D111" i="18"/>
  <c r="E111" i="18"/>
  <c r="F111" i="18"/>
  <c r="G111" i="18"/>
  <c r="H111" i="18"/>
  <c r="I111" i="18"/>
  <c r="J111" i="18"/>
  <c r="K111" i="18"/>
  <c r="L111" i="18"/>
  <c r="C112" i="18"/>
  <c r="D112" i="18"/>
  <c r="E112" i="18"/>
  <c r="F112" i="18"/>
  <c r="G112" i="18"/>
  <c r="H112" i="18"/>
  <c r="I112" i="18"/>
  <c r="J112" i="18"/>
  <c r="K112" i="18"/>
  <c r="L112" i="18"/>
  <c r="D104" i="18"/>
  <c r="E104" i="18"/>
  <c r="F104" i="18"/>
  <c r="G104" i="18"/>
  <c r="H104" i="18"/>
  <c r="I104" i="18"/>
  <c r="J104" i="18"/>
  <c r="K104" i="18"/>
  <c r="L104" i="18"/>
  <c r="C104" i="18"/>
  <c r="C94" i="18"/>
  <c r="D94" i="18"/>
  <c r="E94" i="18"/>
  <c r="F94" i="18"/>
  <c r="G94" i="18"/>
  <c r="H94" i="18"/>
  <c r="I94" i="18"/>
  <c r="J94" i="18"/>
  <c r="K94" i="18"/>
  <c r="L94" i="18"/>
  <c r="C95" i="18"/>
  <c r="D95" i="18"/>
  <c r="E95" i="18"/>
  <c r="F95" i="18"/>
  <c r="G95" i="18"/>
  <c r="H95" i="18"/>
  <c r="I95" i="18"/>
  <c r="J95" i="18"/>
  <c r="K95" i="18"/>
  <c r="L95" i="18"/>
  <c r="C96" i="18"/>
  <c r="D96" i="18"/>
  <c r="E96" i="18"/>
  <c r="F96" i="18"/>
  <c r="G96" i="18"/>
  <c r="H96" i="18"/>
  <c r="I96" i="18"/>
  <c r="J96" i="18"/>
  <c r="K96" i="18"/>
  <c r="L96" i="18"/>
  <c r="C97" i="18"/>
  <c r="D97" i="18"/>
  <c r="E97" i="18"/>
  <c r="F97" i="18"/>
  <c r="G97" i="18"/>
  <c r="H97" i="18"/>
  <c r="I97" i="18"/>
  <c r="J97" i="18"/>
  <c r="K97" i="18"/>
  <c r="L97" i="18"/>
  <c r="C98" i="18"/>
  <c r="D98" i="18"/>
  <c r="E98" i="18"/>
  <c r="F98" i="18"/>
  <c r="G98" i="18"/>
  <c r="H98" i="18"/>
  <c r="I98" i="18"/>
  <c r="J98" i="18"/>
  <c r="K98" i="18"/>
  <c r="L98" i="18"/>
  <c r="C99" i="18"/>
  <c r="D99" i="18"/>
  <c r="E99" i="18"/>
  <c r="F99" i="18"/>
  <c r="G99" i="18"/>
  <c r="H99" i="18"/>
  <c r="I99" i="18"/>
  <c r="J99" i="18"/>
  <c r="K99" i="18"/>
  <c r="L99" i="18"/>
  <c r="C100" i="18"/>
  <c r="D100" i="18"/>
  <c r="E100" i="18"/>
  <c r="F100" i="18"/>
  <c r="G100" i="18"/>
  <c r="H100" i="18"/>
  <c r="I100" i="18"/>
  <c r="J100" i="18"/>
  <c r="K100" i="18"/>
  <c r="L100" i="18"/>
  <c r="D93" i="18"/>
  <c r="E93" i="18"/>
  <c r="F93" i="18"/>
  <c r="G93" i="18"/>
  <c r="H93" i="18"/>
  <c r="I93" i="18"/>
  <c r="J93" i="18"/>
  <c r="K93" i="18"/>
  <c r="L93" i="18"/>
  <c r="C93" i="18"/>
  <c r="B94" i="18"/>
  <c r="B95" i="18"/>
  <c r="B96" i="18"/>
  <c r="B97" i="18"/>
  <c r="B98" i="18"/>
  <c r="B99" i="18"/>
  <c r="B100" i="18"/>
  <c r="B104" i="18"/>
  <c r="B105" i="18"/>
  <c r="B106" i="18"/>
  <c r="B107" i="18"/>
  <c r="B108" i="18"/>
  <c r="B109" i="18"/>
  <c r="B110" i="18"/>
  <c r="B111" i="18"/>
  <c r="B112" i="18"/>
  <c r="B116" i="18"/>
  <c r="B117" i="18"/>
  <c r="B118" i="18"/>
  <c r="B119" i="18"/>
  <c r="B120" i="18"/>
  <c r="B121" i="18"/>
  <c r="B122" i="18"/>
  <c r="B125" i="18"/>
  <c r="B93" i="18"/>
  <c r="D82" i="18"/>
  <c r="E82" i="18"/>
  <c r="F82" i="18"/>
  <c r="G82" i="18"/>
  <c r="H82" i="18"/>
  <c r="I82" i="18"/>
  <c r="J82" i="18"/>
  <c r="K82" i="18"/>
  <c r="L82" i="18"/>
  <c r="D83" i="18"/>
  <c r="E83" i="18"/>
  <c r="F83" i="18"/>
  <c r="G83" i="18"/>
  <c r="H83" i="18"/>
  <c r="I83" i="18"/>
  <c r="J83" i="18"/>
  <c r="K83" i="18"/>
  <c r="L83" i="18"/>
  <c r="D84" i="18"/>
  <c r="E84" i="18"/>
  <c r="F84" i="18"/>
  <c r="G84" i="18"/>
  <c r="H84" i="18"/>
  <c r="I84" i="18"/>
  <c r="J84" i="18"/>
  <c r="K84" i="18"/>
  <c r="L84" i="18"/>
  <c r="D85" i="18"/>
  <c r="E85" i="18"/>
  <c r="F85" i="18"/>
  <c r="G85" i="18"/>
  <c r="H85" i="18"/>
  <c r="I85" i="18"/>
  <c r="J85" i="18"/>
  <c r="K85" i="18"/>
  <c r="L85" i="18"/>
  <c r="D86" i="18"/>
  <c r="E86" i="18"/>
  <c r="F86" i="18"/>
  <c r="G86" i="18"/>
  <c r="H86" i="18"/>
  <c r="I86" i="18"/>
  <c r="J86" i="18"/>
  <c r="K86" i="18"/>
  <c r="L86" i="18"/>
  <c r="C83" i="18"/>
  <c r="C84" i="18"/>
  <c r="C85" i="18"/>
  <c r="C86" i="18"/>
  <c r="C82" i="18"/>
  <c r="D79" i="18"/>
  <c r="E79" i="18"/>
  <c r="F79" i="18"/>
  <c r="G79" i="18"/>
  <c r="H79" i="18"/>
  <c r="I79" i="18"/>
  <c r="J79" i="18"/>
  <c r="K79" i="18"/>
  <c r="L79" i="18"/>
  <c r="D80" i="18"/>
  <c r="E80" i="18"/>
  <c r="F80" i="18"/>
  <c r="G80" i="18"/>
  <c r="H80" i="18"/>
  <c r="I80" i="18"/>
  <c r="J80" i="18"/>
  <c r="K80" i="18"/>
  <c r="L80" i="18"/>
  <c r="C80" i="18"/>
  <c r="C79" i="18"/>
  <c r="B66" i="18"/>
  <c r="C62" i="18"/>
  <c r="C52" i="18"/>
  <c r="D52" i="18"/>
  <c r="E52" i="18"/>
  <c r="F52" i="18"/>
  <c r="G52" i="18"/>
  <c r="H52" i="18"/>
  <c r="I52" i="18"/>
  <c r="J52" i="18"/>
  <c r="K52" i="18"/>
  <c r="L52" i="18"/>
  <c r="C54" i="18"/>
  <c r="D54" i="18"/>
  <c r="E54" i="18"/>
  <c r="F54" i="18"/>
  <c r="G54" i="18"/>
  <c r="H54" i="18"/>
  <c r="I54" i="18"/>
  <c r="J54" i="18"/>
  <c r="K54" i="18"/>
  <c r="L54" i="18"/>
  <c r="C55" i="18"/>
  <c r="D55" i="18"/>
  <c r="E55" i="18"/>
  <c r="F55" i="18"/>
  <c r="G55" i="18"/>
  <c r="H55" i="18"/>
  <c r="I55" i="18"/>
  <c r="J55" i="18"/>
  <c r="K55" i="18"/>
  <c r="L55" i="18"/>
  <c r="C56" i="18"/>
  <c r="D56" i="18"/>
  <c r="E56" i="18"/>
  <c r="F56" i="18"/>
  <c r="G56" i="18"/>
  <c r="H56" i="18"/>
  <c r="I56" i="18"/>
  <c r="J56" i="18"/>
  <c r="K56" i="18"/>
  <c r="L56" i="18"/>
  <c r="C57" i="18"/>
  <c r="D57" i="18"/>
  <c r="E57" i="18"/>
  <c r="F57" i="18"/>
  <c r="G57" i="18"/>
  <c r="H57" i="18"/>
  <c r="I57" i="18"/>
  <c r="J57" i="18"/>
  <c r="K57" i="18"/>
  <c r="L57" i="18"/>
  <c r="C59" i="18"/>
  <c r="D59" i="18"/>
  <c r="E59" i="18"/>
  <c r="F59" i="18"/>
  <c r="G59" i="18"/>
  <c r="H59" i="18"/>
  <c r="I59" i="18"/>
  <c r="J59" i="18"/>
  <c r="K59" i="18"/>
  <c r="L59" i="18"/>
  <c r="C60" i="18"/>
  <c r="D60" i="18"/>
  <c r="E60" i="18"/>
  <c r="F60" i="18"/>
  <c r="G60" i="18"/>
  <c r="H60" i="18"/>
  <c r="I60" i="18"/>
  <c r="J60" i="18"/>
  <c r="K60" i="18"/>
  <c r="L60" i="18"/>
  <c r="C61" i="18"/>
  <c r="D61" i="18"/>
  <c r="E61" i="18"/>
  <c r="F61" i="18"/>
  <c r="G61" i="18"/>
  <c r="H61" i="18"/>
  <c r="I61" i="18"/>
  <c r="J61" i="18"/>
  <c r="K61" i="18"/>
  <c r="L61" i="18"/>
  <c r="D62" i="18"/>
  <c r="E62" i="18"/>
  <c r="F62" i="18"/>
  <c r="G62" i="18"/>
  <c r="H62" i="18"/>
  <c r="I62" i="18"/>
  <c r="J62" i="18"/>
  <c r="K62" i="18"/>
  <c r="L62" i="18"/>
  <c r="C63" i="18"/>
  <c r="D63" i="18"/>
  <c r="E63" i="18"/>
  <c r="F63" i="18"/>
  <c r="G63" i="18"/>
  <c r="H63" i="18"/>
  <c r="I63" i="18"/>
  <c r="J63" i="18"/>
  <c r="K63" i="18"/>
  <c r="L63" i="18"/>
  <c r="C67" i="18"/>
  <c r="D67" i="18"/>
  <c r="E67" i="18"/>
  <c r="F67" i="18"/>
  <c r="G67" i="18"/>
  <c r="H67" i="18"/>
  <c r="I67" i="18"/>
  <c r="J67" i="18"/>
  <c r="K67" i="18"/>
  <c r="L67" i="18"/>
  <c r="C68" i="18"/>
  <c r="D68" i="18"/>
  <c r="E68" i="18"/>
  <c r="F68" i="18"/>
  <c r="G68" i="18"/>
  <c r="H68" i="18"/>
  <c r="I68" i="18"/>
  <c r="J68" i="18"/>
  <c r="K68" i="18"/>
  <c r="L68" i="18"/>
  <c r="C69" i="18"/>
  <c r="D69" i="18"/>
  <c r="E69" i="18"/>
  <c r="F69" i="18"/>
  <c r="G69" i="18"/>
  <c r="H69" i="18"/>
  <c r="I69" i="18"/>
  <c r="J69" i="18"/>
  <c r="K69" i="18"/>
  <c r="L69" i="18"/>
  <c r="C70" i="18"/>
  <c r="D70" i="18"/>
  <c r="E70" i="18"/>
  <c r="F70" i="18"/>
  <c r="G70" i="18"/>
  <c r="H70" i="18"/>
  <c r="I70" i="18"/>
  <c r="J70" i="18"/>
  <c r="K70" i="18"/>
  <c r="L70" i="18"/>
  <c r="C71" i="18"/>
  <c r="D71" i="18"/>
  <c r="E71" i="18"/>
  <c r="F71" i="18"/>
  <c r="G71" i="18"/>
  <c r="H71" i="18"/>
  <c r="I71" i="18"/>
  <c r="J71" i="18"/>
  <c r="K71" i="18"/>
  <c r="L71" i="18"/>
  <c r="C72" i="18"/>
  <c r="D72" i="18"/>
  <c r="E72" i="18"/>
  <c r="F72" i="18"/>
  <c r="G72" i="18"/>
  <c r="H72" i="18"/>
  <c r="I72" i="18"/>
  <c r="J72" i="18"/>
  <c r="K72" i="18"/>
  <c r="L72" i="18"/>
  <c r="C73" i="18"/>
  <c r="D73" i="18"/>
  <c r="E73" i="18"/>
  <c r="F73" i="18"/>
  <c r="G73" i="18"/>
  <c r="H73" i="18"/>
  <c r="I73" i="18"/>
  <c r="J73" i="18"/>
  <c r="K73" i="18"/>
  <c r="L73" i="18"/>
  <c r="C74" i="18"/>
  <c r="D74" i="18"/>
  <c r="E74" i="18"/>
  <c r="F74" i="18"/>
  <c r="G74" i="18"/>
  <c r="H74" i="18"/>
  <c r="I74" i="18"/>
  <c r="J74" i="18"/>
  <c r="K74" i="18"/>
  <c r="L74" i="18"/>
  <c r="C75" i="18"/>
  <c r="D75" i="18"/>
  <c r="E75" i="18"/>
  <c r="F75" i="18"/>
  <c r="G75" i="18"/>
  <c r="H75" i="18"/>
  <c r="I75" i="18"/>
  <c r="J75" i="18"/>
  <c r="K75" i="18"/>
  <c r="L75" i="18"/>
  <c r="C76" i="18"/>
  <c r="D76" i="18"/>
  <c r="E76" i="18"/>
  <c r="F76" i="18"/>
  <c r="G76" i="18"/>
  <c r="H76" i="18"/>
  <c r="I76" i="18"/>
  <c r="J76" i="18"/>
  <c r="K76" i="18"/>
  <c r="L76" i="18"/>
  <c r="C77" i="18"/>
  <c r="D77" i="18"/>
  <c r="E77" i="18"/>
  <c r="F77" i="18"/>
  <c r="G77" i="18"/>
  <c r="H77" i="18"/>
  <c r="I77" i="18"/>
  <c r="J77" i="18"/>
  <c r="K77" i="18"/>
  <c r="L77" i="18"/>
  <c r="D51" i="18"/>
  <c r="E51" i="18"/>
  <c r="F51" i="18"/>
  <c r="G51" i="18"/>
  <c r="H51" i="18"/>
  <c r="I51" i="18"/>
  <c r="J51" i="18"/>
  <c r="K51" i="18"/>
  <c r="L51" i="18"/>
  <c r="C51" i="18"/>
  <c r="B87" i="18"/>
  <c r="B86" i="18"/>
  <c r="B85" i="18"/>
  <c r="B82" i="18"/>
  <c r="B83" i="18"/>
  <c r="B84" i="18"/>
  <c r="B81" i="18"/>
  <c r="B79" i="18"/>
  <c r="B80" i="18"/>
  <c r="B75" i="18"/>
  <c r="B76" i="18"/>
  <c r="B77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7" i="18"/>
  <c r="B68" i="18"/>
  <c r="B69" i="18"/>
  <c r="B70" i="18"/>
  <c r="B71" i="18"/>
  <c r="B72" i="18"/>
  <c r="B73" i="18"/>
  <c r="B74" i="18"/>
  <c r="B51" i="18"/>
  <c r="B14" i="2"/>
  <c r="M39" i="18"/>
  <c r="M44" i="18" s="1"/>
  <c r="D39" i="18"/>
  <c r="D44" i="18" s="1"/>
  <c r="E39" i="18"/>
  <c r="E44" i="18" s="1"/>
  <c r="F39" i="18"/>
  <c r="F44" i="18" s="1"/>
  <c r="G39" i="18"/>
  <c r="G44" i="18" s="1"/>
  <c r="H39" i="18"/>
  <c r="H44" i="18" s="1"/>
  <c r="I39" i="18"/>
  <c r="I44" i="18" s="1"/>
  <c r="J39" i="18"/>
  <c r="J44" i="18" s="1"/>
  <c r="K39" i="18"/>
  <c r="K44" i="18" s="1"/>
  <c r="L39" i="18"/>
  <c r="L44" i="18" s="1"/>
  <c r="C39" i="18"/>
  <c r="C44" i="18" s="1"/>
  <c r="M33" i="18"/>
  <c r="D33" i="18"/>
  <c r="E33" i="18"/>
  <c r="F33" i="18"/>
  <c r="G33" i="18"/>
  <c r="H33" i="18"/>
  <c r="I33" i="18"/>
  <c r="J33" i="18"/>
  <c r="K33" i="18"/>
  <c r="L33" i="18"/>
  <c r="C33" i="18"/>
  <c r="M29" i="18"/>
  <c r="D29" i="18"/>
  <c r="E29" i="18"/>
  <c r="F29" i="18"/>
  <c r="G29" i="18"/>
  <c r="H29" i="18"/>
  <c r="I29" i="18"/>
  <c r="J29" i="18"/>
  <c r="K29" i="18"/>
  <c r="L29" i="18"/>
  <c r="C29" i="18"/>
  <c r="M27" i="18"/>
  <c r="D27" i="18"/>
  <c r="E27" i="18"/>
  <c r="F27" i="18"/>
  <c r="G27" i="18"/>
  <c r="H27" i="18"/>
  <c r="I27" i="18"/>
  <c r="J27" i="18"/>
  <c r="K27" i="18"/>
  <c r="L27" i="18"/>
  <c r="C27" i="18"/>
  <c r="M21" i="18"/>
  <c r="D21" i="18"/>
  <c r="E21" i="18"/>
  <c r="F21" i="18"/>
  <c r="G21" i="18"/>
  <c r="H21" i="18"/>
  <c r="I21" i="18"/>
  <c r="J21" i="18"/>
  <c r="K21" i="18"/>
  <c r="L21" i="18"/>
  <c r="C21" i="18"/>
  <c r="M15" i="18"/>
  <c r="D15" i="18"/>
  <c r="E15" i="18"/>
  <c r="F15" i="18"/>
  <c r="G15" i="18"/>
  <c r="H15" i="18"/>
  <c r="I15" i="18"/>
  <c r="J15" i="18"/>
  <c r="K15" i="18"/>
  <c r="L15" i="18"/>
  <c r="C15" i="18"/>
  <c r="D9" i="18"/>
  <c r="E9" i="18"/>
  <c r="F9" i="18"/>
  <c r="G9" i="18"/>
  <c r="H9" i="18"/>
  <c r="I9" i="18"/>
  <c r="J9" i="18"/>
  <c r="K9" i="18"/>
  <c r="L9" i="18"/>
  <c r="M9" i="18"/>
  <c r="C9" i="18"/>
  <c r="B2" i="18"/>
  <c r="N19" i="18" l="1"/>
  <c r="L113" i="18"/>
  <c r="J22" i="18"/>
  <c r="I113" i="18"/>
  <c r="D113" i="18"/>
  <c r="K113" i="18"/>
  <c r="H113" i="18"/>
  <c r="C113" i="18"/>
  <c r="G113" i="18"/>
  <c r="J113" i="18"/>
  <c r="F113" i="18"/>
  <c r="E113" i="18"/>
  <c r="K7" i="18"/>
  <c r="G101" i="18"/>
  <c r="H7" i="18"/>
  <c r="H101" i="18"/>
  <c r="K101" i="18"/>
  <c r="I101" i="18"/>
  <c r="L101" i="18"/>
  <c r="J101" i="18"/>
  <c r="E101" i="18"/>
  <c r="F101" i="18"/>
  <c r="D101" i="18"/>
  <c r="H78" i="18"/>
  <c r="H87" i="18" s="1"/>
  <c r="H89" i="18" s="1"/>
  <c r="F78" i="18"/>
  <c r="F87" i="18" s="1"/>
  <c r="F89" i="18" s="1"/>
  <c r="E78" i="18"/>
  <c r="E87" i="18" s="1"/>
  <c r="E89" i="18" s="1"/>
  <c r="G22" i="18"/>
  <c r="D78" i="18"/>
  <c r="D87" i="18" s="1"/>
  <c r="D89" i="18" s="1"/>
  <c r="D12" i="18"/>
  <c r="D18" i="18" s="1"/>
  <c r="I22" i="18"/>
  <c r="H22" i="18"/>
  <c r="G78" i="18"/>
  <c r="G87" i="18" s="1"/>
  <c r="G89" i="18" s="1"/>
  <c r="G16" i="18"/>
  <c r="L78" i="18"/>
  <c r="L87" i="18" s="1"/>
  <c r="L89" i="18" s="1"/>
  <c r="F16" i="18"/>
  <c r="C16" i="18"/>
  <c r="E16" i="18"/>
  <c r="D16" i="18"/>
  <c r="M22" i="18"/>
  <c r="M16" i="18"/>
  <c r="G7" i="18"/>
  <c r="C78" i="18"/>
  <c r="C87" i="18" s="1"/>
  <c r="C89" i="18" s="1"/>
  <c r="K78" i="18"/>
  <c r="K87" i="18" s="1"/>
  <c r="K89" i="18" s="1"/>
  <c r="J78" i="18"/>
  <c r="J87" i="18" s="1"/>
  <c r="J89" i="18" s="1"/>
  <c r="I78" i="18"/>
  <c r="I87" i="18" s="1"/>
  <c r="I89" i="18" s="1"/>
  <c r="L7" i="18"/>
  <c r="F7" i="18"/>
  <c r="J12" i="18"/>
  <c r="J18" i="18" s="1"/>
  <c r="I12" i="18"/>
  <c r="I18" i="18" s="1"/>
  <c r="C22" i="18"/>
  <c r="L16" i="18"/>
  <c r="L22" i="18"/>
  <c r="K22" i="18"/>
  <c r="K16" i="18"/>
  <c r="F22" i="18"/>
  <c r="E22" i="18"/>
  <c r="H16" i="18"/>
  <c r="D22" i="18"/>
  <c r="E12" i="18"/>
  <c r="E18" i="18" s="1"/>
  <c r="I16" i="18"/>
  <c r="I7" i="18"/>
  <c r="J16" i="18"/>
  <c r="J7" i="18"/>
  <c r="M7" i="18"/>
  <c r="H10" i="18"/>
  <c r="I10" i="18"/>
  <c r="F12" i="18"/>
  <c r="J10" i="18"/>
  <c r="G12" i="18"/>
  <c r="E10" i="18"/>
  <c r="K10" i="18"/>
  <c r="H12" i="18"/>
  <c r="D10" i="18"/>
  <c r="L10" i="18"/>
  <c r="M10" i="18"/>
  <c r="D7" i="18"/>
  <c r="E7" i="18"/>
  <c r="C12" i="18"/>
  <c r="G10" i="18"/>
  <c r="L12" i="18"/>
  <c r="M12" i="18"/>
  <c r="F10" i="18"/>
  <c r="K12" i="18"/>
  <c r="C10" i="18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20" i="2" s="1"/>
  <c r="D4" i="1"/>
  <c r="E4" i="1"/>
  <c r="E6" i="1" s="1"/>
  <c r="E19" i="1" s="1"/>
  <c r="F4" i="1"/>
  <c r="F20" i="2" s="1"/>
  <c r="G4" i="1"/>
  <c r="G20" i="2" s="1"/>
  <c r="H4" i="1"/>
  <c r="I4" i="1"/>
  <c r="J4" i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G12" i="1"/>
  <c r="G13" i="1" s="1"/>
  <c r="H12" i="1"/>
  <c r="H13" i="1" s="1"/>
  <c r="I12" i="1"/>
  <c r="I13" i="1" s="1"/>
  <c r="J12" i="1"/>
  <c r="J13" i="1" s="1"/>
  <c r="K12" i="1"/>
  <c r="K13" i="1" s="1"/>
  <c r="C15" i="1"/>
  <c r="D15" i="1"/>
  <c r="E15" i="1"/>
  <c r="F15" i="1"/>
  <c r="G15" i="1"/>
  <c r="G14" i="1" s="1"/>
  <c r="H15" i="1"/>
  <c r="I15" i="1"/>
  <c r="J15" i="1"/>
  <c r="K15" i="1"/>
  <c r="B15" i="1"/>
  <c r="B7" i="1"/>
  <c r="B4" i="1"/>
  <c r="A1" i="1"/>
  <c r="A1" i="3" s="1"/>
  <c r="E1" i="6"/>
  <c r="H1" i="1" s="1"/>
  <c r="K16" i="2"/>
  <c r="I6" i="1"/>
  <c r="I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C21" i="2"/>
  <c r="B18" i="2"/>
  <c r="B13" i="2"/>
  <c r="B12" i="2"/>
  <c r="B11" i="2"/>
  <c r="B10" i="2"/>
  <c r="B8" i="2"/>
  <c r="B7" i="2"/>
  <c r="B6" i="2"/>
  <c r="B3" i="2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1" i="1"/>
  <c r="B10" i="1"/>
  <c r="B9" i="1"/>
  <c r="B8" i="1"/>
  <c r="B3" i="1"/>
  <c r="E14" i="3"/>
  <c r="E20" i="2"/>
  <c r="L6" i="1"/>
  <c r="A1" i="2"/>
  <c r="A1" i="4" s="1"/>
  <c r="E8" i="21" l="1"/>
  <c r="J8" i="21"/>
  <c r="D13" i="18"/>
  <c r="E13" i="18"/>
  <c r="I13" i="18"/>
  <c r="J13" i="18"/>
  <c r="J24" i="18"/>
  <c r="J9" i="21" s="1"/>
  <c r="J19" i="18"/>
  <c r="I24" i="18"/>
  <c r="I19" i="18"/>
  <c r="D24" i="18"/>
  <c r="D19" i="18"/>
  <c r="E24" i="18"/>
  <c r="E9" i="21" s="1"/>
  <c r="E19" i="18"/>
  <c r="M18" i="18"/>
  <c r="M13" i="18"/>
  <c r="K18" i="18"/>
  <c r="K8" i="21" s="1"/>
  <c r="K13" i="18"/>
  <c r="G18" i="18"/>
  <c r="G13" i="18"/>
  <c r="F18" i="18"/>
  <c r="F8" i="21" s="1"/>
  <c r="F13" i="18"/>
  <c r="L18" i="18"/>
  <c r="L8" i="21" s="1"/>
  <c r="C18" i="18"/>
  <c r="D8" i="21" s="1"/>
  <c r="C13" i="18"/>
  <c r="H18" i="18"/>
  <c r="H8" i="21" s="1"/>
  <c r="H13" i="18"/>
  <c r="E21" i="2"/>
  <c r="I14" i="3"/>
  <c r="D21" i="2"/>
  <c r="B21" i="2"/>
  <c r="C6" i="1"/>
  <c r="C19" i="1" s="1"/>
  <c r="D6" i="1"/>
  <c r="D19" i="1" s="1"/>
  <c r="L12" i="1"/>
  <c r="L13" i="1" s="1"/>
  <c r="L14" i="1" s="1"/>
  <c r="L25" i="1" s="1"/>
  <c r="L10" i="1"/>
  <c r="F23" i="2"/>
  <c r="G21" i="2"/>
  <c r="H16" i="2"/>
  <c r="B20" i="2"/>
  <c r="F14" i="1"/>
  <c r="C23" i="2"/>
  <c r="D23" i="2"/>
  <c r="J20" i="2"/>
  <c r="K23" i="2"/>
  <c r="F21" i="2"/>
  <c r="J23" i="1"/>
  <c r="B23" i="2"/>
  <c r="G14" i="3"/>
  <c r="E1" i="3"/>
  <c r="K14" i="1"/>
  <c r="J25" i="1" s="1"/>
  <c r="D14" i="3"/>
  <c r="F24" i="2"/>
  <c r="H23" i="1"/>
  <c r="E1" i="2"/>
  <c r="J14" i="1"/>
  <c r="C14" i="3"/>
  <c r="E24" i="2"/>
  <c r="J6" i="1"/>
  <c r="J19" i="1" s="1"/>
  <c r="K24" i="1" s="1"/>
  <c r="C14" i="1"/>
  <c r="H23" i="2"/>
  <c r="D24" i="2"/>
  <c r="D20" i="2"/>
  <c r="L11" i="1"/>
  <c r="M11" i="1" s="1"/>
  <c r="L5" i="1"/>
  <c r="J16" i="2"/>
  <c r="G16" i="2"/>
  <c r="G23" i="2"/>
  <c r="F16" i="2"/>
  <c r="I23" i="1"/>
  <c r="K20" i="2"/>
  <c r="G6" i="1"/>
  <c r="G19" i="1" s="1"/>
  <c r="I14" i="1"/>
  <c r="C24" i="2"/>
  <c r="H14" i="1"/>
  <c r="L9" i="1"/>
  <c r="N9" i="1" s="1"/>
  <c r="L7" i="1"/>
  <c r="J23" i="2"/>
  <c r="K24" i="2"/>
  <c r="B13" i="1"/>
  <c r="B14" i="1" s="1"/>
  <c r="I23" i="2"/>
  <c r="B16" i="2"/>
  <c r="J24" i="2"/>
  <c r="I24" i="2"/>
  <c r="L4" i="1"/>
  <c r="L23" i="1" s="1"/>
  <c r="H24" i="2"/>
  <c r="G24" i="2"/>
  <c r="D13" i="1"/>
  <c r="E13" i="1" s="1"/>
  <c r="E14" i="1" s="1"/>
  <c r="N11" i="1"/>
  <c r="B6" i="1"/>
  <c r="B19" i="1" s="1"/>
  <c r="L8" i="1"/>
  <c r="N8" i="1" s="1"/>
  <c r="E23" i="2"/>
  <c r="I16" i="2"/>
  <c r="I20" i="2"/>
  <c r="H20" i="2"/>
  <c r="K23" i="1"/>
  <c r="H6" i="1"/>
  <c r="H19" i="1" s="1"/>
  <c r="F6" i="1"/>
  <c r="F19" i="1" s="1"/>
  <c r="I24" i="1" s="1"/>
  <c r="E1" i="4"/>
  <c r="G8" i="21" l="1"/>
  <c r="I8" i="21"/>
  <c r="F19" i="18"/>
  <c r="F24" i="18"/>
  <c r="F9" i="21" s="1"/>
  <c r="G24" i="18"/>
  <c r="G9" i="21" s="1"/>
  <c r="G19" i="18"/>
  <c r="K24" i="18"/>
  <c r="K9" i="21" s="1"/>
  <c r="K19" i="18"/>
  <c r="M24" i="18"/>
  <c r="M19" i="18"/>
  <c r="E31" i="18"/>
  <c r="E25" i="18"/>
  <c r="D31" i="18"/>
  <c r="D25" i="18"/>
  <c r="H24" i="18"/>
  <c r="H19" i="18"/>
  <c r="C24" i="18"/>
  <c r="D9" i="21" s="1"/>
  <c r="C19" i="18"/>
  <c r="I31" i="18"/>
  <c r="I25" i="18"/>
  <c r="L24" i="18"/>
  <c r="L19" i="18"/>
  <c r="J25" i="18"/>
  <c r="J31" i="18"/>
  <c r="J10" i="21" s="1"/>
  <c r="M23" i="1"/>
  <c r="M4" i="1" s="1"/>
  <c r="K25" i="1"/>
  <c r="M25" i="1" s="1"/>
  <c r="M14" i="1" s="1"/>
  <c r="I25" i="1"/>
  <c r="L19" i="1"/>
  <c r="L24" i="1" s="1"/>
  <c r="M24" i="1" s="1"/>
  <c r="M6" i="1" s="1"/>
  <c r="M10" i="1" s="1"/>
  <c r="M12" i="1" s="1"/>
  <c r="M13" i="1" s="1"/>
  <c r="M15" i="1" s="1"/>
  <c r="H24" i="1"/>
  <c r="J24" i="1"/>
  <c r="M9" i="1"/>
  <c r="N23" i="1"/>
  <c r="N4" i="1" s="1"/>
  <c r="M8" i="1"/>
  <c r="D14" i="1"/>
  <c r="H25" i="1" s="1"/>
  <c r="N25" i="1" s="1"/>
  <c r="N14" i="1" s="1"/>
  <c r="E10" i="21" l="1"/>
  <c r="L9" i="21"/>
  <c r="H9" i="21"/>
  <c r="I9" i="21"/>
  <c r="D34" i="18"/>
  <c r="D36" i="18"/>
  <c r="C31" i="18"/>
  <c r="D10" i="21" s="1"/>
  <c r="C25" i="18"/>
  <c r="J34" i="18"/>
  <c r="J36" i="18"/>
  <c r="J11" i="21" s="1"/>
  <c r="F31" i="18"/>
  <c r="F10" i="21" s="1"/>
  <c r="F25" i="18"/>
  <c r="H31" i="18"/>
  <c r="H10" i="21" s="1"/>
  <c r="H25" i="18"/>
  <c r="E36" i="18"/>
  <c r="E11" i="21" s="1"/>
  <c r="E34" i="18"/>
  <c r="M31" i="18"/>
  <c r="M25" i="18"/>
  <c r="K31" i="18"/>
  <c r="K10" i="21" s="1"/>
  <c r="K25" i="18"/>
  <c r="L31" i="18"/>
  <c r="L10" i="21" s="1"/>
  <c r="L25" i="18"/>
  <c r="G31" i="18"/>
  <c r="G25" i="18"/>
  <c r="I36" i="18"/>
  <c r="I34" i="18"/>
  <c r="N24" i="1"/>
  <c r="N6" i="1" s="1"/>
  <c r="N5" i="1" s="1"/>
  <c r="M5" i="1"/>
  <c r="G10" i="21" l="1"/>
  <c r="I10" i="21"/>
  <c r="E37" i="18"/>
  <c r="E41" i="18"/>
  <c r="J37" i="18"/>
  <c r="J41" i="18"/>
  <c r="I37" i="18"/>
  <c r="I41" i="18"/>
  <c r="D37" i="18"/>
  <c r="D41" i="18"/>
  <c r="M34" i="18"/>
  <c r="M36" i="18"/>
  <c r="G36" i="18"/>
  <c r="G34" i="18"/>
  <c r="K34" i="18"/>
  <c r="K36" i="18"/>
  <c r="K11" i="21" s="1"/>
  <c r="H36" i="18"/>
  <c r="I11" i="21" s="1"/>
  <c r="H34" i="18"/>
  <c r="F36" i="18"/>
  <c r="F11" i="21" s="1"/>
  <c r="F34" i="18"/>
  <c r="C34" i="18"/>
  <c r="C36" i="18"/>
  <c r="D11" i="21" s="1"/>
  <c r="L34" i="18"/>
  <c r="L36" i="18"/>
  <c r="L11" i="21" s="1"/>
  <c r="N10" i="1"/>
  <c r="N12" i="1" s="1"/>
  <c r="N13" i="1" s="1"/>
  <c r="N15" i="1" s="1"/>
  <c r="G11" i="21" l="1"/>
  <c r="J12" i="21"/>
  <c r="H11" i="21"/>
  <c r="E12" i="21"/>
  <c r="D47" i="18"/>
  <c r="I47" i="18"/>
  <c r="J42" i="18"/>
  <c r="J47" i="18"/>
  <c r="E47" i="18"/>
  <c r="E42" i="18"/>
  <c r="G37" i="18"/>
  <c r="G41" i="18"/>
  <c r="G12" i="21" s="1"/>
  <c r="M37" i="18"/>
  <c r="M41" i="18"/>
  <c r="L37" i="18"/>
  <c r="L41" i="18"/>
  <c r="C37" i="18"/>
  <c r="C41" i="18"/>
  <c r="D42" i="18" s="1"/>
  <c r="F37" i="18"/>
  <c r="F41" i="18"/>
  <c r="F12" i="21" s="1"/>
  <c r="H37" i="18"/>
  <c r="H41" i="18"/>
  <c r="K37" i="18"/>
  <c r="K41" i="18"/>
  <c r="K12" i="21" s="1"/>
  <c r="H12" i="21" l="1"/>
  <c r="L12" i="21"/>
  <c r="I12" i="21"/>
  <c r="D12" i="21"/>
  <c r="M47" i="18"/>
  <c r="M42" i="18"/>
  <c r="K42" i="18"/>
  <c r="K47" i="18"/>
  <c r="G42" i="18"/>
  <c r="G47" i="18"/>
  <c r="F42" i="18"/>
  <c r="F47" i="18"/>
  <c r="L47" i="18"/>
  <c r="L42" i="18"/>
  <c r="H42" i="18"/>
  <c r="H47" i="18"/>
  <c r="I42" i="18"/>
</calcChain>
</file>

<file path=xl/sharedStrings.xml><?xml version="1.0" encoding="utf-8"?>
<sst xmlns="http://schemas.openxmlformats.org/spreadsheetml/2006/main" count="582" uniqueCount="352">
  <si>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</si>
  <si>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</si>
  <si>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</si>
  <si>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</si>
  <si>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</si>
  <si>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</si>
  <si>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</si>
  <si>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</si>
  <si>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</si>
  <si>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</si>
  <si>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</si>
  <si>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</si>
  <si>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</si>
  <si>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</si>
  <si>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</si>
  <si>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</si>
  <si>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</si>
  <si>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</si>
  <si>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</si>
  <si>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</si>
  <si>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</si>
  <si>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</si>
  <si>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</si>
  <si>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</si>
  <si>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</si>
  <si>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</si>
  <si>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</si>
  <si>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</si>
  <si>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</si>
  <si>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</si>
  <si>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</si>
  <si>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</si>
  <si>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</si>
  <si>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</si>
  <si>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</si>
  <si>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</si>
  <si>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</si>
  <si>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</si>
  <si>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</si>
  <si>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</si>
  <si>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</si>
  <si>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</si>
  <si>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</si>
  <si>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</si>
  <si>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</si>
  <si>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</si>
  <si>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</si>
  <si>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</si>
  <si>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</si>
  <si>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</si>
  <si>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</si>
  <si>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</si>
  <si>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</si>
  <si>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</si>
  <si>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</si>
  <si>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</si>
  <si>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</si>
  <si>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</si>
  <si>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</si>
  <si>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</si>
  <si>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</si>
  <si>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</si>
  <si>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</si>
  <si>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</si>
  <si>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</si>
  <si>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</si>
  <si>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</si>
  <si>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</si>
  <si>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</si>
  <si>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</si>
  <si>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</si>
  <si>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</si>
  <si>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</si>
  <si>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</si>
  <si>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</si>
  <si>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</si>
  <si>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</si>
  <si>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</si>
  <si>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</si>
  <si>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</si>
  <si>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</si>
  <si>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LTM</t>
  </si>
  <si>
    <t>Income Statement</t>
  </si>
  <si>
    <t>#</t>
  </si>
  <si>
    <t>Gross Profit</t>
  </si>
  <si>
    <t>Selling &amp; General Expenses</t>
  </si>
  <si>
    <t>Depreciation % of Sales</t>
  </si>
  <si>
    <t>Effective Tax Rate</t>
  </si>
  <si>
    <t>Balance Sheet</t>
  </si>
  <si>
    <t>Total Liabilities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</si>
  <si>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</si>
  <si>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</si>
  <si>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</si>
  <si>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</si>
  <si>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</si>
  <si>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</si>
  <si>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</si>
  <si>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</si>
  <si>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</si>
  <si>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</si>
  <si>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</si>
  <si>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</si>
  <si>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Acquisition of companies</t>
  </si>
  <si>
    <t>Inter corporate deposits</t>
  </si>
  <si>
    <t>Other investing items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</si>
  <si>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</si>
  <si>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</si>
  <si>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</si>
  <si>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</si>
  <si>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</si>
  <si>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</si>
  <si>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</si>
  <si>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EBIT % Of Sales</t>
  </si>
  <si>
    <t>Year</t>
  </si>
  <si>
    <t>Equity Capital</t>
  </si>
  <si>
    <t>Other Liabilities -</t>
  </si>
  <si>
    <t>Non controlling int</t>
  </si>
  <si>
    <t>Trade Payables</t>
  </si>
  <si>
    <t>Other liability items</t>
  </si>
  <si>
    <t>Fixed Assets -</t>
  </si>
  <si>
    <t>Building</t>
  </si>
  <si>
    <t>Furniture n fittings</t>
  </si>
  <si>
    <t>Other fixed assets</t>
  </si>
  <si>
    <t>Gross Block</t>
  </si>
  <si>
    <t>Accumulated Depreciation</t>
  </si>
  <si>
    <t>CWIP</t>
  </si>
  <si>
    <t>Other Assets -</t>
  </si>
  <si>
    <t>Cash Equivalents</t>
  </si>
  <si>
    <t>Loans n Advances</t>
  </si>
  <si>
    <t>Other asset items</t>
  </si>
  <si>
    <t>Total Assets</t>
  </si>
  <si>
    <t>Cash from Operating Activity -</t>
  </si>
  <si>
    <t>Cash from Investing Activity -</t>
  </si>
  <si>
    <t>Cash from Financing Activity -</t>
  </si>
  <si>
    <t>COGS</t>
  </si>
  <si>
    <t>Sales Growth %</t>
  </si>
  <si>
    <t>COGS % Of Sales</t>
  </si>
  <si>
    <t>EBITDA (Cash Operating Profit)</t>
  </si>
  <si>
    <t>GP % Of Sales</t>
  </si>
  <si>
    <t>S&amp;G % Of Sales</t>
  </si>
  <si>
    <t>EBITDA % Of Sales</t>
  </si>
  <si>
    <t>EBIT (Operating Income)</t>
  </si>
  <si>
    <t>Earning Before Tax</t>
  </si>
  <si>
    <t>Effective Tax Rate % of EBT</t>
  </si>
  <si>
    <t>Profit After Tax</t>
  </si>
  <si>
    <t>Adjusted No. of Equity Shares</t>
  </si>
  <si>
    <t>Earning Per Share (EPS)</t>
  </si>
  <si>
    <t>Dividend Per Share</t>
  </si>
  <si>
    <t>Dividend Payout Ratio</t>
  </si>
  <si>
    <t>Retained Earning</t>
  </si>
  <si>
    <t>EPS Growth %</t>
  </si>
  <si>
    <t>PAT Margin %</t>
  </si>
  <si>
    <t>Borrowings -</t>
  </si>
  <si>
    <t>Long term Borrowings</t>
  </si>
  <si>
    <t>Short term Borrowings</t>
  </si>
  <si>
    <t>Lease Liabilities</t>
  </si>
  <si>
    <t>Other Borrowings</t>
  </si>
  <si>
    <t>Advance from Customers</t>
  </si>
  <si>
    <t>Land</t>
  </si>
  <si>
    <t>Plant Machinery</t>
  </si>
  <si>
    <t>Equipments</t>
  </si>
  <si>
    <t>Computers</t>
  </si>
  <si>
    <t>Vehicles</t>
  </si>
  <si>
    <t>Intangible Assets</t>
  </si>
  <si>
    <t>Inventories</t>
  </si>
  <si>
    <t>Trade receivables +</t>
  </si>
  <si>
    <t>Net Block (Fixed Assest)</t>
  </si>
  <si>
    <t>CHECK</t>
  </si>
  <si>
    <t>Assets:</t>
  </si>
  <si>
    <t>ShareHolders Equity &amp; Liability:</t>
  </si>
  <si>
    <t>Cash Flow Statement</t>
  </si>
  <si>
    <t>Operating Activities:</t>
  </si>
  <si>
    <t>Cash Flow from Operating Activities</t>
  </si>
  <si>
    <t>Investing Activities:</t>
  </si>
  <si>
    <t>Cash Flow from Investing Activities</t>
  </si>
  <si>
    <t>Financing Activities:</t>
  </si>
  <si>
    <t>Cash Flow From Financing Activities</t>
  </si>
  <si>
    <t>Growth Matrics %:</t>
  </si>
  <si>
    <t>Gross Profit Growth %</t>
  </si>
  <si>
    <t>EBITDA Growth %</t>
  </si>
  <si>
    <t>EBIT Growth %</t>
  </si>
  <si>
    <t>EBT Growth %</t>
  </si>
  <si>
    <t>Profit After Tax Growth %</t>
  </si>
  <si>
    <t>Earning Per Share Growth %</t>
  </si>
  <si>
    <t>Dividend Growth %</t>
  </si>
  <si>
    <t>Leverage Ratio:</t>
  </si>
  <si>
    <t>Debt to Equity Ratio</t>
  </si>
  <si>
    <t>Debt to Assest Ratio</t>
  </si>
  <si>
    <t>Debt to Capital Ratio</t>
  </si>
  <si>
    <t>Profitability Ratio:</t>
  </si>
  <si>
    <t>EBITDA Margin</t>
  </si>
  <si>
    <t>EBIT Margin</t>
  </si>
  <si>
    <t>PAT Margin</t>
  </si>
  <si>
    <t>Gross Profit Margin</t>
  </si>
  <si>
    <t>Return Matrics %:</t>
  </si>
  <si>
    <t>Return on Capital Employeed</t>
  </si>
  <si>
    <t>Retained Earnings</t>
  </si>
  <si>
    <t>Self Sustained Growth</t>
  </si>
  <si>
    <t>Intrest Coverage Ratio</t>
  </si>
  <si>
    <t>Turnover Ratio:</t>
  </si>
  <si>
    <t>Debtor Turnover</t>
  </si>
  <si>
    <t>Creditor Turnover</t>
  </si>
  <si>
    <t xml:space="preserve">Fixed Assest Turnover </t>
  </si>
  <si>
    <t xml:space="preserve">Capital Turnover </t>
  </si>
  <si>
    <t>In Days:</t>
  </si>
  <si>
    <t>Creditor Days</t>
  </si>
  <si>
    <t>Cash Conversion Cycle</t>
  </si>
  <si>
    <t>Mean</t>
  </si>
  <si>
    <t>Median</t>
  </si>
  <si>
    <t>Weighted Average Cost of Capital</t>
  </si>
  <si>
    <t>Peer Comp</t>
  </si>
  <si>
    <t>Name</t>
  </si>
  <si>
    <t>Country</t>
  </si>
  <si>
    <t>Total Equity</t>
  </si>
  <si>
    <t>Total Debt (CR)</t>
  </si>
  <si>
    <t>TAX Rate</t>
  </si>
  <si>
    <t>Debt /</t>
  </si>
  <si>
    <t>Equity</t>
  </si>
  <si>
    <t xml:space="preserve">Debt / </t>
  </si>
  <si>
    <t>Capital</t>
  </si>
  <si>
    <t xml:space="preserve">Levered </t>
  </si>
  <si>
    <t>Beta</t>
  </si>
  <si>
    <t>Unlevered</t>
  </si>
  <si>
    <t>S.No.</t>
  </si>
  <si>
    <t>CMP Rs.</t>
  </si>
  <si>
    <t>No. Eq. Shares Cr.</t>
  </si>
  <si>
    <t>Debt Rs.Cr.</t>
  </si>
  <si>
    <t>Cash End Rs.Cr.</t>
  </si>
  <si>
    <t>EV Rs.Cr.</t>
  </si>
  <si>
    <t>Sales Rs.Cr.</t>
  </si>
  <si>
    <t>NP 12M Rs.Cr.</t>
  </si>
  <si>
    <t>Dep 12M Rs.Cr.</t>
  </si>
  <si>
    <t xml:space="preserve">Mar Cap Rs.Cr. </t>
  </si>
  <si>
    <t>TCS</t>
  </si>
  <si>
    <t>Infosys</t>
  </si>
  <si>
    <t>HCL Technologies</t>
  </si>
  <si>
    <t>Wipro</t>
  </si>
  <si>
    <t>LTIMindtree</t>
  </si>
  <si>
    <t>Tech Mahindra</t>
  </si>
  <si>
    <t>Persistent Sys</t>
  </si>
  <si>
    <t>Oracle Fin.Serv.</t>
  </si>
  <si>
    <t>Coforge</t>
  </si>
  <si>
    <t>Mphasis</t>
  </si>
  <si>
    <t>Hexaware Tech.</t>
  </si>
  <si>
    <t>L&amp;T Technology</t>
  </si>
  <si>
    <t>Tata Elxsi</t>
  </si>
  <si>
    <t>KPIT Technologi.</t>
  </si>
  <si>
    <t>Affle 3i</t>
  </si>
  <si>
    <t>Debt / Eq</t>
  </si>
  <si>
    <t>India</t>
  </si>
  <si>
    <t>Cost Of Debt</t>
  </si>
  <si>
    <t>Pre - Tax Cost of Debt</t>
  </si>
  <si>
    <t>Tax Rate</t>
  </si>
  <si>
    <t>After - Tax Cost of Debt</t>
  </si>
  <si>
    <t>Date</t>
  </si>
  <si>
    <t>Closing Price</t>
  </si>
  <si>
    <t>Returns</t>
  </si>
  <si>
    <t>Nifty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</si>
  <si>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</si>
  <si>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</si>
  <si>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</si>
  <si>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</si>
  <si>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</si>
  <si>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</si>
  <si>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</si>
  <si>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</si>
  <si>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</si>
  <si>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</si>
  <si>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</si>
  <si>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</si>
  <si>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</si>
  <si>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</si>
  <si>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</si>
  <si>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</si>
  <si>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</si>
  <si>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</si>
  <si>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</si>
  <si>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</si>
  <si>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</si>
  <si>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</si>
  <si>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</si>
  <si>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Infosis</t>
  </si>
  <si>
    <t>Betea</t>
  </si>
  <si>
    <t>LTIM</t>
  </si>
  <si>
    <t>Cost Of Equity</t>
  </si>
  <si>
    <t>Risk Free Rate</t>
  </si>
  <si>
    <t>Equity Risk Premium</t>
  </si>
  <si>
    <t>Levered Beta</t>
  </si>
  <si>
    <t>Nifty 50 Returns</t>
  </si>
  <si>
    <t>Annual</t>
  </si>
  <si>
    <t>Avg Return</t>
  </si>
  <si>
    <t>Dividend Yield</t>
  </si>
  <si>
    <t>Total Return</t>
  </si>
  <si>
    <t>Capital Structure</t>
  </si>
  <si>
    <t>Total Debt</t>
  </si>
  <si>
    <t xml:space="preserve">Current </t>
  </si>
  <si>
    <t>Target</t>
  </si>
  <si>
    <t>Total Capitalization</t>
  </si>
  <si>
    <t>Debt/Equity</t>
  </si>
  <si>
    <t>Target Levered Beta</t>
  </si>
  <si>
    <t>Comps Unlevered Beta</t>
  </si>
  <si>
    <t>Target Debt/Equity</t>
  </si>
  <si>
    <t>TLB</t>
  </si>
  <si>
    <t>Weighted Average Cost Of Capital</t>
  </si>
  <si>
    <t>Cost of Equity</t>
  </si>
  <si>
    <t>Equity Weight</t>
  </si>
  <si>
    <t>Cost of Debt</t>
  </si>
  <si>
    <t>Debt Wright</t>
  </si>
  <si>
    <t>WACC</t>
  </si>
  <si>
    <t>Calculation oF ROIC</t>
  </si>
  <si>
    <t>Current Assest:</t>
  </si>
  <si>
    <t>Total Current Assest</t>
  </si>
  <si>
    <t>Current Liability:</t>
  </si>
  <si>
    <t>Total Current Liability</t>
  </si>
  <si>
    <t>Net Working Capital</t>
  </si>
  <si>
    <t>Non - Current Assest:</t>
  </si>
  <si>
    <t>Total Investement</t>
  </si>
  <si>
    <t>EBIT</t>
  </si>
  <si>
    <t>ROIC</t>
  </si>
  <si>
    <t>Calculation oF Reinvestment Rate</t>
  </si>
  <si>
    <t>Net Capx</t>
  </si>
  <si>
    <t>Change in Working Capital</t>
  </si>
  <si>
    <t>EBIT*(1-TAX)</t>
  </si>
  <si>
    <t>Reinvestment</t>
  </si>
  <si>
    <t>Reinvestment Rate</t>
  </si>
  <si>
    <t>4 Year Average</t>
  </si>
  <si>
    <t>4 Year Median</t>
  </si>
  <si>
    <t>Calculation of Growth Rate</t>
  </si>
  <si>
    <t>Intrinsic Growth</t>
  </si>
  <si>
    <t>Calculation of PV Of FCFF</t>
  </si>
  <si>
    <t>Less: Reinvestment Rate</t>
  </si>
  <si>
    <t>Free Cash Flow to Firm(FCFF)</t>
  </si>
  <si>
    <t>Mid Year Convention</t>
  </si>
  <si>
    <t>Discounting Factor</t>
  </si>
  <si>
    <t>PV of FCFF</t>
  </si>
  <si>
    <t>Expected Growth</t>
  </si>
  <si>
    <t>Terminal Growth</t>
  </si>
  <si>
    <t>Calculation of Terminal Value</t>
  </si>
  <si>
    <t>FCFF(n+1)</t>
  </si>
  <si>
    <t>Terminal Growth Rate</t>
  </si>
  <si>
    <t>Terminal Value</t>
  </si>
  <si>
    <t>PV Of FCFF</t>
  </si>
  <si>
    <t>PV of Terminal Value</t>
  </si>
  <si>
    <t>Enterprise Value</t>
  </si>
  <si>
    <t>Add: Cash</t>
  </si>
  <si>
    <t>Less: Debt</t>
  </si>
  <si>
    <t>Calculation of Equity Value per Share</t>
  </si>
  <si>
    <t>Value of Equity</t>
  </si>
  <si>
    <t>No. Of Shares</t>
  </si>
  <si>
    <t>Equity Value per Share</t>
  </si>
  <si>
    <t>Current Market Share Price</t>
  </si>
  <si>
    <t>Discount/Premium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</si>
</sst>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;&quot;₹&quot;\ \(#,##0.00\);\-"/>
    <numFmt numFmtId="167" formatCode="&quot;₹&quot;\ #,##0.00"/>
    <numFmt numFmtId="168" formatCode="mmm/yy&quot;F&quot;"/>
    <numFmt numFmtId="169" formatCode="mmm/yy&quot;A&quot;"/>
    <numFmt numFmtId="170" formatCode="0.00&quot;X&quot;"/>
    <numFmt numFmtId="171" formatCode="0.00&quot;D&quot;"/>
    <numFmt numFmtId="172" formatCode="0.0%"/>
    <numFmt numFmtId="173" formatCode="&quot;₹&quot;\ #,##0;&quot;₹&quot;\ \(#,##0\)"/>
    <numFmt numFmtId="174" formatCode="&quot;₹&quot;\ #,##0;&quot;₹&quot;\ \(#,##0\);\-"/>
    <numFmt numFmtId="179" formatCode="0.000"/>
    <numFmt numFmtId="182" formatCode="&quot;₹&quot;\ #,##0.00;&quot;₹&quot;\ \(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rgb="FF0275D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275D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5F68C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17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0" fontId="8" fillId="0" borderId="0" xfId="0" applyFont="1"/>
    <xf numFmtId="166" fontId="0" fillId="0" borderId="0" xfId="0" applyNumberFormat="1"/>
    <xf numFmtId="166" fontId="1" fillId="0" borderId="0" xfId="0" applyNumberFormat="1" applyFont="1"/>
    <xf numFmtId="10" fontId="0" fillId="0" borderId="0" xfId="6" applyNumberFormat="1" applyFont="1"/>
    <xf numFmtId="2" fontId="0" fillId="0" borderId="0" xfId="0" applyNumberFormat="1"/>
    <xf numFmtId="0" fontId="1" fillId="0" borderId="1" xfId="0" applyFont="1" applyBorder="1"/>
    <xf numFmtId="167" fontId="0" fillId="0" borderId="0" xfId="0" applyNumberFormat="1"/>
    <xf numFmtId="3" fontId="0" fillId="0" borderId="0" xfId="0" applyNumberFormat="1"/>
    <xf numFmtId="17" fontId="1" fillId="0" borderId="0" xfId="0" applyNumberFormat="1" applyFont="1"/>
    <xf numFmtId="0" fontId="1" fillId="0" borderId="2" xfId="0" applyFont="1" applyBorder="1"/>
    <xf numFmtId="17" fontId="0" fillId="0" borderId="0" xfId="0" applyNumberFormat="1"/>
    <xf numFmtId="0" fontId="2" fillId="6" borderId="0" xfId="0" applyFont="1" applyFill="1"/>
    <xf numFmtId="17" fontId="2" fillId="6" borderId="0" xfId="0" applyNumberFormat="1" applyFont="1" applyFill="1"/>
    <xf numFmtId="0" fontId="5" fillId="6" borderId="0" xfId="0" applyFont="1" applyFill="1"/>
    <xf numFmtId="10" fontId="8" fillId="0" borderId="0" xfId="6" applyNumberFormat="1" applyFont="1"/>
    <xf numFmtId="43" fontId="0" fillId="0" borderId="0" xfId="0" applyNumberFormat="1"/>
    <xf numFmtId="166" fontId="1" fillId="0" borderId="2" xfId="0" applyNumberFormat="1" applyFont="1" applyBorder="1"/>
    <xf numFmtId="167" fontId="1" fillId="0" borderId="2" xfId="0" applyNumberFormat="1" applyFont="1" applyBorder="1"/>
    <xf numFmtId="169" fontId="2" fillId="6" borderId="0" xfId="0" applyNumberFormat="1" applyFont="1" applyFill="1"/>
    <xf numFmtId="169" fontId="2" fillId="6" borderId="0" xfId="0" applyNumberFormat="1" applyFont="1" applyFill="1" applyAlignment="1">
      <alignment horizontal="right"/>
    </xf>
    <xf numFmtId="168" fontId="2" fillId="6" borderId="0" xfId="0" applyNumberFormat="1" applyFont="1" applyFill="1"/>
    <xf numFmtId="167" fontId="9" fillId="0" borderId="0" xfId="0" applyNumberFormat="1" applyFont="1"/>
    <xf numFmtId="167" fontId="0" fillId="7" borderId="0" xfId="0" applyNumberFormat="1" applyFill="1"/>
    <xf numFmtId="10" fontId="8" fillId="7" borderId="0" xfId="6" applyNumberFormat="1" applyFont="1" applyFill="1"/>
    <xf numFmtId="0" fontId="0" fillId="7" borderId="0" xfId="0" applyFill="1"/>
    <xf numFmtId="2" fontId="0" fillId="7" borderId="0" xfId="0" applyNumberFormat="1" applyFill="1"/>
    <xf numFmtId="170" fontId="0" fillId="0" borderId="0" xfId="0" applyNumberFormat="1"/>
    <xf numFmtId="171" fontId="0" fillId="0" borderId="0" xfId="0" applyNumberFormat="1"/>
    <xf numFmtId="10" fontId="1" fillId="7" borderId="0" xfId="0" applyNumberFormat="1" applyFont="1" applyFill="1"/>
    <xf numFmtId="170" fontId="1" fillId="7" borderId="0" xfId="0" applyNumberFormat="1" applyFont="1" applyFill="1"/>
    <xf numFmtId="171" fontId="1" fillId="7" borderId="0" xfId="0" applyNumberFormat="1" applyFont="1" applyFill="1"/>
    <xf numFmtId="172" fontId="0" fillId="0" borderId="0" xfId="6" applyNumberFormat="1" applyFont="1"/>
    <xf numFmtId="9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3" xfId="0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Continuous"/>
    </xf>
    <xf numFmtId="2" fontId="0" fillId="0" borderId="0" xfId="6" applyNumberFormat="1" applyFont="1"/>
    <xf numFmtId="9" fontId="11" fillId="7" borderId="0" xfId="0" applyNumberFormat="1" applyFont="1" applyFill="1"/>
    <xf numFmtId="10" fontId="1" fillId="7" borderId="0" xfId="6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7" borderId="0" xfId="0" applyNumberFormat="1" applyFont="1" applyFill="1"/>
    <xf numFmtId="9" fontId="1" fillId="0" borderId="0" xfId="0" applyNumberFormat="1" applyFont="1"/>
    <xf numFmtId="0" fontId="0" fillId="0" borderId="2" xfId="0" applyBorder="1"/>
    <xf numFmtId="10" fontId="1" fillId="0" borderId="2" xfId="0" applyNumberFormat="1" applyFont="1" applyBorder="1"/>
    <xf numFmtId="10" fontId="0" fillId="0" borderId="0" xfId="6" applyNumberFormat="1" applyFont="1" applyAlignment="1">
      <alignment horizontal="center"/>
    </xf>
    <xf numFmtId="10" fontId="1" fillId="7" borderId="0" xfId="6" applyNumberFormat="1" applyFont="1" applyFill="1" applyAlignment="1">
      <alignment horizontal="center"/>
    </xf>
    <xf numFmtId="9" fontId="9" fillId="0" borderId="0" xfId="0" applyNumberFormat="1" applyFont="1" applyAlignment="1">
      <alignment horizontal="center"/>
    </xf>
    <xf numFmtId="2" fontId="1" fillId="0" borderId="2" xfId="0" applyNumberFormat="1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173" fontId="0" fillId="0" borderId="0" xfId="0" applyNumberFormat="1"/>
    <xf numFmtId="0" fontId="1" fillId="0" borderId="5" xfId="0" applyFont="1" applyBorder="1"/>
    <xf numFmtId="173" fontId="1" fillId="0" borderId="5" xfId="0" applyNumberFormat="1" applyFont="1" applyBorder="1"/>
    <xf numFmtId="0" fontId="1" fillId="0" borderId="6" xfId="0" applyFont="1" applyBorder="1"/>
    <xf numFmtId="173" fontId="1" fillId="0" borderId="6" xfId="0" applyNumberFormat="1" applyFont="1" applyBorder="1"/>
    <xf numFmtId="10" fontId="1" fillId="0" borderId="6" xfId="6" applyNumberFormat="1" applyFont="1" applyBorder="1"/>
    <xf numFmtId="0" fontId="1" fillId="7" borderId="0" xfId="0" applyFont="1" applyFill="1"/>
    <xf numFmtId="0" fontId="0" fillId="0" borderId="6" xfId="0" applyBorder="1"/>
    <xf numFmtId="0" fontId="0" fillId="8" borderId="0" xfId="0" applyFill="1"/>
    <xf numFmtId="0" fontId="1" fillId="8" borderId="6" xfId="0" applyFont="1" applyFill="1" applyBorder="1"/>
    <xf numFmtId="0" fontId="1" fillId="8" borderId="2" xfId="0" applyFont="1" applyFill="1" applyBorder="1"/>
    <xf numFmtId="182" fontId="1" fillId="0" borderId="0" xfId="0" applyNumberFormat="1" applyFont="1"/>
    <xf numFmtId="182" fontId="0" fillId="0" borderId="2" xfId="0" applyNumberFormat="1" applyBorder="1"/>
    <xf numFmtId="182" fontId="1" fillId="0" borderId="6" xfId="0" applyNumberFormat="1" applyFont="1" applyBorder="1"/>
    <xf numFmtId="0" fontId="1" fillId="0" borderId="6" xfId="0" applyFont="1" applyFill="1" applyBorder="1"/>
    <xf numFmtId="170" fontId="1" fillId="0" borderId="6" xfId="6" applyNumberFormat="1" applyFont="1" applyBorder="1"/>
    <xf numFmtId="173" fontId="0" fillId="0" borderId="6" xfId="0" applyNumberFormat="1" applyBorder="1"/>
    <xf numFmtId="173" fontId="0" fillId="0" borderId="5" xfId="0" applyNumberFormat="1" applyBorder="1"/>
    <xf numFmtId="174" fontId="0" fillId="0" borderId="6" xfId="0" applyNumberFormat="1" applyBorder="1"/>
    <xf numFmtId="9" fontId="9" fillId="0" borderId="6" xfId="0" applyNumberFormat="1" applyFont="1" applyBorder="1"/>
    <xf numFmtId="173" fontId="0" fillId="0" borderId="1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173" fontId="0" fillId="8" borderId="1" xfId="0" applyNumberFormat="1" applyFill="1" applyBorder="1"/>
    <xf numFmtId="9" fontId="9" fillId="8" borderId="6" xfId="0" applyNumberFormat="1" applyFont="1" applyFill="1" applyBorder="1"/>
    <xf numFmtId="173" fontId="0" fillId="8" borderId="6" xfId="0" applyNumberFormat="1" applyFill="1" applyBorder="1"/>
    <xf numFmtId="10" fontId="1" fillId="8" borderId="6" xfId="0" applyNumberFormat="1" applyFont="1" applyFill="1" applyBorder="1"/>
    <xf numFmtId="10" fontId="1" fillId="0" borderId="6" xfId="0" applyNumberFormat="1" applyFont="1" applyBorder="1"/>
    <xf numFmtId="0" fontId="0" fillId="8" borderId="6" xfId="0" applyFill="1" applyBorder="1"/>
    <xf numFmtId="0" fontId="9" fillId="0" borderId="6" xfId="0" applyFont="1" applyBorder="1"/>
    <xf numFmtId="179" fontId="0" fillId="0" borderId="6" xfId="0" applyNumberFormat="1" applyBorder="1"/>
    <xf numFmtId="0" fontId="1" fillId="8" borderId="1" xfId="0" applyFont="1" applyFill="1" applyBorder="1"/>
    <xf numFmtId="10" fontId="1" fillId="8" borderId="1" xfId="0" applyNumberFormat="1" applyFont="1" applyFill="1" applyBorder="1"/>
    <xf numFmtId="182" fontId="0" fillId="0" borderId="1" xfId="0" applyNumberFormat="1" applyBorder="1"/>
    <xf numFmtId="182" fontId="0" fillId="0" borderId="6" xfId="0" applyNumberFormat="1" applyBorder="1"/>
    <xf numFmtId="0" fontId="0" fillId="0" borderId="1" xfId="0" applyFont="1" applyBorder="1"/>
    <xf numFmtId="182" fontId="0" fillId="0" borderId="1" xfId="0" applyNumberFormat="1" applyFont="1" applyBorder="1"/>
    <xf numFmtId="182" fontId="0" fillId="0" borderId="6" xfId="0" applyNumberFormat="1" applyFont="1" applyBorder="1"/>
    <xf numFmtId="0" fontId="0" fillId="0" borderId="6" xfId="0" applyFont="1" applyBorder="1"/>
    <xf numFmtId="2" fontId="0" fillId="0" borderId="6" xfId="0" applyNumberFormat="1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  <color rgb="FF5F68C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 x14ac:dyDescent="0.25">
      <c r="A1" s="2" t="str">
        <f>'Data Sheet'!B1</f>
        <v>TATA CONSULTANCY SERVICES LTD</v>
      </c>
      <c r="H1" t="str">
        <f>UPDATE</f>
        <v/>
      </c>
      <c r="J1" s="3"/>
      <c r="K1" s="3"/>
      <c r="M1" s="2" t="s">
        <v>1</v>
      </c>
    </row>
    <row r="3" spans="1:14" s="2" customFormat="1" x14ac:dyDescent="0.25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25">
      <c r="A4" s="2" t="s">
        <v>6</v>
      </c>
      <c r="B4" s="1">
        <f>'Data Sheet'!B17</f>
        <v>108646</v>
      </c>
      <c r="C4" s="1">
        <f>'Data Sheet'!C17</f>
        <v>117966</v>
      </c>
      <c r="D4" s="1">
        <f>'Data Sheet'!D17</f>
        <v>123104</v>
      </c>
      <c r="E4" s="1">
        <f>'Data Sheet'!E17</f>
        <v>146463</v>
      </c>
      <c r="F4" s="1">
        <f>'Data Sheet'!F17</f>
        <v>156949</v>
      </c>
      <c r="G4" s="1">
        <f>'Data Sheet'!G17</f>
        <v>164177</v>
      </c>
      <c r="H4" s="1">
        <f>'Data Sheet'!H17</f>
        <v>191754</v>
      </c>
      <c r="I4" s="1">
        <f>'Data Sheet'!I17</f>
        <v>225458</v>
      </c>
      <c r="J4" s="1">
        <f>'Data Sheet'!J17</f>
        <v>240893</v>
      </c>
      <c r="K4" s="1">
        <f>'Data Sheet'!K17</f>
        <v>255324</v>
      </c>
      <c r="L4" s="1">
        <f>SUM(Quarters!H4:K4)</f>
        <v>256148</v>
      </c>
      <c r="M4" s="1">
        <f>$K4+M23*K4</f>
        <v>280892.86566716677</v>
      </c>
      <c r="N4" s="1">
        <f>$K4+N23*L4</f>
        <v>270668.87007924682</v>
      </c>
    </row>
    <row r="5" spans="1:14" x14ac:dyDescent="0.25">
      <c r="A5" t="s">
        <v>7</v>
      </c>
      <c r="B5" s="6">
        <f>SUM('Data Sheet'!B18,'Data Sheet'!B20:B24, -1*'Data Sheet'!B19)</f>
        <v>77969</v>
      </c>
      <c r="C5" s="6">
        <f>SUM('Data Sheet'!C18,'Data Sheet'!C20:C24, -1*'Data Sheet'!C19)</f>
        <v>85655</v>
      </c>
      <c r="D5" s="6">
        <f>SUM('Data Sheet'!D18,'Data Sheet'!D20:D24, -1*'Data Sheet'!D19)</f>
        <v>90588</v>
      </c>
      <c r="E5" s="6">
        <f>SUM('Data Sheet'!E18,'Data Sheet'!E20:E24, -1*'Data Sheet'!E19)</f>
        <v>106957</v>
      </c>
      <c r="F5" s="6">
        <f>SUM('Data Sheet'!F18,'Data Sheet'!F20:F24, -1*'Data Sheet'!F19)</f>
        <v>114840</v>
      </c>
      <c r="G5" s="6">
        <f>SUM('Data Sheet'!G18,'Data Sheet'!G20:G24, -1*'Data Sheet'!G19)</f>
        <v>117631</v>
      </c>
      <c r="H5" s="6">
        <f>SUM('Data Sheet'!H18,'Data Sheet'!H20:H24, -1*'Data Sheet'!H19)</f>
        <v>138697</v>
      </c>
      <c r="I5" s="6">
        <f>SUM('Data Sheet'!I18,'Data Sheet'!I20:I24, -1*'Data Sheet'!I19)</f>
        <v>166199</v>
      </c>
      <c r="J5" s="6">
        <f>SUM('Data Sheet'!J18,'Data Sheet'!J20:J24, -1*'Data Sheet'!J19)</f>
        <v>176597</v>
      </c>
      <c r="K5" s="6">
        <f>SUM('Data Sheet'!K18,'Data Sheet'!K20:K24, -1*'Data Sheet'!K19)</f>
        <v>187917</v>
      </c>
      <c r="L5" s="6">
        <f>SUM(Quarters!H5:K5)</f>
        <v>188528</v>
      </c>
      <c r="M5" s="6">
        <f t="shared" ref="M5:N5" si="0">M4-M6</f>
        <v>206565.96863798675</v>
      </c>
      <c r="N5" s="6">
        <f t="shared" si="0"/>
        <v>199215.53452808628</v>
      </c>
    </row>
    <row r="6" spans="1:14" s="2" customFormat="1" x14ac:dyDescent="0.25">
      <c r="A6" s="2" t="s">
        <v>8</v>
      </c>
      <c r="B6" s="1">
        <f>B4-B5</f>
        <v>30677</v>
      </c>
      <c r="C6" s="1">
        <f t="shared" ref="C6:K6" si="1">C4-C5</f>
        <v>32311</v>
      </c>
      <c r="D6" s="1">
        <f t="shared" si="1"/>
        <v>32516</v>
      </c>
      <c r="E6" s="1">
        <f t="shared" si="1"/>
        <v>39506</v>
      </c>
      <c r="F6" s="1">
        <f t="shared" si="1"/>
        <v>42109</v>
      </c>
      <c r="G6" s="1">
        <f t="shared" si="1"/>
        <v>46546</v>
      </c>
      <c r="H6" s="1">
        <f t="shared" si="1"/>
        <v>53057</v>
      </c>
      <c r="I6" s="1">
        <f t="shared" si="1"/>
        <v>59259</v>
      </c>
      <c r="J6" s="1">
        <f t="shared" si="1"/>
        <v>64296</v>
      </c>
      <c r="K6" s="1">
        <f t="shared" si="1"/>
        <v>67407</v>
      </c>
      <c r="L6" s="1">
        <f>SUM(Quarters!H6:K6)</f>
        <v>67620</v>
      </c>
      <c r="M6" s="1">
        <f>M4*M24</f>
        <v>74326.897029180036</v>
      </c>
      <c r="N6" s="1">
        <f>N4*N24</f>
        <v>71453.335551160533</v>
      </c>
    </row>
    <row r="7" spans="1:14" x14ac:dyDescent="0.25">
      <c r="A7" t="s">
        <v>9</v>
      </c>
      <c r="B7" s="6">
        <f>'Data Sheet'!B25</f>
        <v>3084</v>
      </c>
      <c r="C7" s="6">
        <f>'Data Sheet'!C25</f>
        <v>4221</v>
      </c>
      <c r="D7" s="6">
        <f>'Data Sheet'!D25</f>
        <v>3642</v>
      </c>
      <c r="E7" s="6">
        <f>'Data Sheet'!E25</f>
        <v>4311</v>
      </c>
      <c r="F7" s="6">
        <f>'Data Sheet'!F25</f>
        <v>4592</v>
      </c>
      <c r="G7" s="6">
        <f>'Data Sheet'!G25</f>
        <v>1916</v>
      </c>
      <c r="H7" s="6">
        <f>'Data Sheet'!H25</f>
        <v>4018</v>
      </c>
      <c r="I7" s="6">
        <f>'Data Sheet'!I25</f>
        <v>3449</v>
      </c>
      <c r="J7" s="6">
        <f>'Data Sheet'!J25</f>
        <v>3464</v>
      </c>
      <c r="K7" s="6">
        <f>'Data Sheet'!K25</f>
        <v>3962</v>
      </c>
      <c r="L7" s="6">
        <f>SUM(Quarters!H7:K7)</f>
        <v>4660</v>
      </c>
      <c r="M7" s="6">
        <v>0</v>
      </c>
      <c r="N7" s="6">
        <v>0</v>
      </c>
    </row>
    <row r="8" spans="1:14" x14ac:dyDescent="0.25">
      <c r="A8" t="s">
        <v>10</v>
      </c>
      <c r="B8" s="6">
        <f>'Data Sheet'!B26</f>
        <v>1888</v>
      </c>
      <c r="C8" s="6">
        <f>'Data Sheet'!C26</f>
        <v>1987</v>
      </c>
      <c r="D8" s="6">
        <f>'Data Sheet'!D26</f>
        <v>2014</v>
      </c>
      <c r="E8" s="6">
        <f>'Data Sheet'!E26</f>
        <v>2056</v>
      </c>
      <c r="F8" s="6">
        <f>'Data Sheet'!F26</f>
        <v>3529</v>
      </c>
      <c r="G8" s="6">
        <f>'Data Sheet'!G26</f>
        <v>4065</v>
      </c>
      <c r="H8" s="6">
        <f>'Data Sheet'!H26</f>
        <v>4604</v>
      </c>
      <c r="I8" s="6">
        <f>'Data Sheet'!I26</f>
        <v>5022</v>
      </c>
      <c r="J8" s="6">
        <f>'Data Sheet'!J26</f>
        <v>4985</v>
      </c>
      <c r="K8" s="6">
        <f>'Data Sheet'!K26</f>
        <v>5242</v>
      </c>
      <c r="L8" s="6">
        <f>SUM(Quarters!H8:K8)</f>
        <v>5383</v>
      </c>
      <c r="M8" s="6">
        <f>+$L8</f>
        <v>5383</v>
      </c>
      <c r="N8" s="6">
        <f>+$L8</f>
        <v>5383</v>
      </c>
    </row>
    <row r="9" spans="1:14" x14ac:dyDescent="0.25">
      <c r="A9" t="s">
        <v>11</v>
      </c>
      <c r="B9" s="6">
        <f>'Data Sheet'!B27</f>
        <v>33</v>
      </c>
      <c r="C9" s="6">
        <f>'Data Sheet'!C27</f>
        <v>32</v>
      </c>
      <c r="D9" s="6">
        <f>'Data Sheet'!D27</f>
        <v>52</v>
      </c>
      <c r="E9" s="6">
        <f>'Data Sheet'!E27</f>
        <v>198</v>
      </c>
      <c r="F9" s="6">
        <f>'Data Sheet'!F27</f>
        <v>924</v>
      </c>
      <c r="G9" s="6">
        <f>'Data Sheet'!G27</f>
        <v>637</v>
      </c>
      <c r="H9" s="6">
        <f>'Data Sheet'!H27</f>
        <v>784</v>
      </c>
      <c r="I9" s="6">
        <f>'Data Sheet'!I27</f>
        <v>779</v>
      </c>
      <c r="J9" s="6">
        <f>'Data Sheet'!J27</f>
        <v>778</v>
      </c>
      <c r="K9" s="6">
        <f>'Data Sheet'!K27</f>
        <v>796</v>
      </c>
      <c r="L9" s="6">
        <f>SUM(Quarters!H9:K9)</f>
        <v>818</v>
      </c>
      <c r="M9" s="6">
        <f>+$L9</f>
        <v>818</v>
      </c>
      <c r="N9" s="6">
        <f>+$L9</f>
        <v>818</v>
      </c>
    </row>
    <row r="10" spans="1:14" x14ac:dyDescent="0.25">
      <c r="A10" t="s">
        <v>12</v>
      </c>
      <c r="B10" s="6">
        <f>'Data Sheet'!B28</f>
        <v>31840</v>
      </c>
      <c r="C10" s="6">
        <f>'Data Sheet'!C28</f>
        <v>34513</v>
      </c>
      <c r="D10" s="6">
        <f>'Data Sheet'!D28</f>
        <v>34092</v>
      </c>
      <c r="E10" s="6">
        <f>'Data Sheet'!E28</f>
        <v>41563</v>
      </c>
      <c r="F10" s="6">
        <f>'Data Sheet'!F28</f>
        <v>42248</v>
      </c>
      <c r="G10" s="6">
        <f>'Data Sheet'!G28</f>
        <v>43760</v>
      </c>
      <c r="H10" s="6">
        <f>'Data Sheet'!H28</f>
        <v>51687</v>
      </c>
      <c r="I10" s="6">
        <f>'Data Sheet'!I28</f>
        <v>56907</v>
      </c>
      <c r="J10" s="6">
        <f>'Data Sheet'!J28</f>
        <v>61997</v>
      </c>
      <c r="K10" s="6">
        <f>'Data Sheet'!K28</f>
        <v>65331</v>
      </c>
      <c r="L10" s="6">
        <f>SUM(Quarters!H10:K10)</f>
        <v>66079</v>
      </c>
      <c r="M10" s="6">
        <f>M6+M7-SUM(M8:M9)</f>
        <v>68125.897029180036</v>
      </c>
      <c r="N10" s="6">
        <f>N6+N7-SUM(N8:N9)</f>
        <v>65252.335551160533</v>
      </c>
    </row>
    <row r="11" spans="1:14" x14ac:dyDescent="0.25">
      <c r="A11" t="s">
        <v>13</v>
      </c>
      <c r="B11" s="6">
        <f>'Data Sheet'!B29</f>
        <v>7502</v>
      </c>
      <c r="C11" s="6">
        <f>'Data Sheet'!C29</f>
        <v>8156</v>
      </c>
      <c r="D11" s="6">
        <f>'Data Sheet'!D29</f>
        <v>8212</v>
      </c>
      <c r="E11" s="6">
        <f>'Data Sheet'!E29</f>
        <v>10001</v>
      </c>
      <c r="F11" s="6">
        <f>'Data Sheet'!F29</f>
        <v>9801</v>
      </c>
      <c r="G11" s="6">
        <f>'Data Sheet'!G29</f>
        <v>11198</v>
      </c>
      <c r="H11" s="6">
        <f>'Data Sheet'!H29</f>
        <v>13238</v>
      </c>
      <c r="I11" s="6">
        <f>'Data Sheet'!I29</f>
        <v>14604</v>
      </c>
      <c r="J11" s="6">
        <f>'Data Sheet'!J29</f>
        <v>15898</v>
      </c>
      <c r="K11" s="6">
        <f>'Data Sheet'!K29</f>
        <v>16534</v>
      </c>
      <c r="L11" s="6">
        <f>SUM(Quarters!H11:K11)</f>
        <v>16568</v>
      </c>
      <c r="M11" s="7">
        <f>IF($L10&gt;0,$L11/$L10,0)</f>
        <v>0.25073018659483348</v>
      </c>
      <c r="N11" s="7">
        <f>IF($L10&gt;0,$L11/$L10,0)</f>
        <v>0.25073018659483348</v>
      </c>
    </row>
    <row r="12" spans="1:14" s="2" customFormat="1" x14ac:dyDescent="0.25">
      <c r="A12" s="2" t="s">
        <v>14</v>
      </c>
      <c r="B12" s="1">
        <f>'Data Sheet'!B30</f>
        <v>24270</v>
      </c>
      <c r="C12" s="1">
        <f>'Data Sheet'!C30</f>
        <v>26289</v>
      </c>
      <c r="D12" s="1">
        <f>'Data Sheet'!D30</f>
        <v>25826</v>
      </c>
      <c r="E12" s="1">
        <f>'Data Sheet'!E30</f>
        <v>31472</v>
      </c>
      <c r="F12" s="1">
        <f>'Data Sheet'!F30</f>
        <v>32340</v>
      </c>
      <c r="G12" s="1">
        <f>'Data Sheet'!G30</f>
        <v>32430</v>
      </c>
      <c r="H12" s="1">
        <f>'Data Sheet'!H30</f>
        <v>38327</v>
      </c>
      <c r="I12" s="1">
        <f>'Data Sheet'!I30</f>
        <v>42147</v>
      </c>
      <c r="J12" s="1">
        <f>'Data Sheet'!J30</f>
        <v>45908</v>
      </c>
      <c r="K12" s="1">
        <f>'Data Sheet'!K30</f>
        <v>48553</v>
      </c>
      <c r="L12" s="1">
        <f>SUM(Quarters!H12:K12)</f>
        <v>49273</v>
      </c>
      <c r="M12" s="1">
        <f>M10-M11*M10</f>
        <v>51044.678155113317</v>
      </c>
      <c r="N12" s="1">
        <f>N10-N11*N10</f>
        <v>48891.605282669363</v>
      </c>
    </row>
    <row r="13" spans="1:14" x14ac:dyDescent="0.25">
      <c r="A13" t="s">
        <v>48</v>
      </c>
      <c r="B13" s="6">
        <f>IF('Data Sheet'!B93&gt;0,B12/'Data Sheet'!B93,0)</f>
        <v>61.584917150904623</v>
      </c>
      <c r="C13" s="6">
        <f>IF('Data Sheet'!C93&gt;0,C12/'Data Sheet'!C93,0)</f>
        <v>66.708112360120793</v>
      </c>
      <c r="D13" s="6">
        <f>IF('Data Sheet'!D93&gt;0,D12/'Data Sheet'!D93,0)</f>
        <v>67.455466750248135</v>
      </c>
      <c r="E13" s="6">
        <f>IF('Data Sheet'!E93&gt;0,E12/'Data Sheet'!E93,0)</f>
        <v>83.871655473830074</v>
      </c>
      <c r="F13" s="6">
        <f>IF('Data Sheet'!F93&gt;0,F12/'Data Sheet'!F93,0)</f>
        <v>86.184841701311157</v>
      </c>
      <c r="G13" s="6">
        <f>IF('Data Sheet'!G93&gt;0,G12/'Data Sheet'!G93,0)</f>
        <v>87.669973777405303</v>
      </c>
      <c r="H13" s="6">
        <f>IF('Data Sheet'!H93&gt;0,H12/'Data Sheet'!H93,0)</f>
        <v>104.74433603891667</v>
      </c>
      <c r="I13" s="6">
        <f>IF('Data Sheet'!I93&gt;0,I12/'Data Sheet'!I93,0)</f>
        <v>115.1840616545052</v>
      </c>
      <c r="J13" s="6">
        <f>IF('Data Sheet'!J93&gt;0,J12/'Data Sheet'!J93,0)</f>
        <v>126.88427627760427</v>
      </c>
      <c r="K13" s="6">
        <f>IF('Data Sheet'!K93&gt;0,K12/'Data Sheet'!K93,0)</f>
        <v>134.1947430972057</v>
      </c>
      <c r="L13" s="6">
        <f>IF('Data Sheet'!$B6&gt;0,'Profit &amp; Loss'!L12/'Data Sheet'!$B6,0)</f>
        <v>136.18520801522433</v>
      </c>
      <c r="M13" s="6">
        <f>IF('Data Sheet'!$B6&gt;0,'Profit &amp; Loss'!M12/'Data Sheet'!$B6,0)</f>
        <v>141.08193356654323</v>
      </c>
      <c r="N13" s="6">
        <f>IF('Data Sheet'!$B6&gt;0,'Profit &amp; Loss'!N12/'Data Sheet'!$B6,0)</f>
        <v>135.13107453612665</v>
      </c>
    </row>
    <row r="14" spans="1:14" x14ac:dyDescent="0.25">
      <c r="A14" t="s">
        <v>16</v>
      </c>
      <c r="B14" s="6">
        <f>IF(B15&gt;0,B15/B13,"")</f>
        <v>20.461990667490728</v>
      </c>
      <c r="C14" s="6">
        <f t="shared" ref="C14:K14" si="2">IF(C15&gt;0,C15/C13,"")</f>
        <v>18.227168435467306</v>
      </c>
      <c r="D14" s="6">
        <f t="shared" si="2"/>
        <v>21.118822070781381</v>
      </c>
      <c r="E14" s="6">
        <f t="shared" si="2"/>
        <v>23.865631227758012</v>
      </c>
      <c r="F14" s="6">
        <f t="shared" si="2"/>
        <v>21.188180705009277</v>
      </c>
      <c r="G14" s="6">
        <f t="shared" si="2"/>
        <v>36.247872139993838</v>
      </c>
      <c r="H14" s="6">
        <f t="shared" si="2"/>
        <v>35.705510593054505</v>
      </c>
      <c r="I14" s="6">
        <f t="shared" si="2"/>
        <v>27.832843832301233</v>
      </c>
      <c r="J14" s="6">
        <f t="shared" si="2"/>
        <v>30.549884617060208</v>
      </c>
      <c r="K14" s="6">
        <f t="shared" si="2"/>
        <v>26.872513160875748</v>
      </c>
      <c r="L14" s="6">
        <f t="shared" ref="L14" si="3">IF(L13&gt;0,L15/L13,0)</f>
        <v>23.008372536683375</v>
      </c>
      <c r="M14" s="6">
        <f>M25</f>
        <v>27.06590353673014</v>
      </c>
      <c r="N14" s="6">
        <f>N25</f>
        <v>23.008372536683375</v>
      </c>
    </row>
    <row r="15" spans="1:14" s="2" customFormat="1" x14ac:dyDescent="0.25">
      <c r="A15" s="2" t="s">
        <v>49</v>
      </c>
      <c r="B15" s="1">
        <f>'Data Sheet'!B90</f>
        <v>1260.1500000000001</v>
      </c>
      <c r="C15" s="1">
        <f>'Data Sheet'!C90</f>
        <v>1215.9000000000001</v>
      </c>
      <c r="D15" s="1">
        <f>'Data Sheet'!D90</f>
        <v>1424.58</v>
      </c>
      <c r="E15" s="1">
        <f>'Data Sheet'!E90</f>
        <v>2001.65</v>
      </c>
      <c r="F15" s="1">
        <f>'Data Sheet'!F90</f>
        <v>1826.1</v>
      </c>
      <c r="G15" s="1">
        <f>'Data Sheet'!G90</f>
        <v>3177.85</v>
      </c>
      <c r="H15" s="1">
        <f>'Data Sheet'!H90</f>
        <v>3739.95</v>
      </c>
      <c r="I15" s="1">
        <f>'Data Sheet'!I90</f>
        <v>3205.9</v>
      </c>
      <c r="J15" s="1">
        <f>'Data Sheet'!J90</f>
        <v>3876.3</v>
      </c>
      <c r="K15" s="1">
        <f>'Data Sheet'!K90</f>
        <v>3606.15</v>
      </c>
      <c r="L15" s="1">
        <f>'Data Sheet'!B8</f>
        <v>3133.4</v>
      </c>
      <c r="M15" s="8">
        <f>M13*M14</f>
        <v>3818.510004687429</v>
      </c>
      <c r="N15" s="9">
        <f>N13*N14</f>
        <v>3109.1461042095302</v>
      </c>
    </row>
    <row r="17" spans="1:14" s="2" customFormat="1" x14ac:dyDescent="0.25">
      <c r="A17" s="2" t="s">
        <v>15</v>
      </c>
    </row>
    <row r="18" spans="1:14" x14ac:dyDescent="0.25">
      <c r="A18" t="s">
        <v>17</v>
      </c>
      <c r="B18" s="5">
        <f>IF('Data Sheet'!B30&gt;0, 'Data Sheet'!B31/'Data Sheet'!B30, 0)</f>
        <v>0.35309023485784918</v>
      </c>
      <c r="C18" s="5">
        <f>IF('Data Sheet'!C30&gt;0, 'Data Sheet'!C31/'Data Sheet'!C30, 0)</f>
        <v>0.35220054014987257</v>
      </c>
      <c r="D18" s="5">
        <f>IF('Data Sheet'!D30&gt;0, 'Data Sheet'!D31/'Data Sheet'!D30, 0)</f>
        <v>0.36978238983969641</v>
      </c>
      <c r="E18" s="5">
        <f>IF('Data Sheet'!E30&gt;0, 'Data Sheet'!E31/'Data Sheet'!E30, 0)</f>
        <v>0.3574605998983223</v>
      </c>
      <c r="F18" s="5">
        <f>IF('Data Sheet'!F30&gt;0, 'Data Sheet'!F31/'Data Sheet'!F30, 0)</f>
        <v>0.84647495361781078</v>
      </c>
      <c r="G18" s="5">
        <f>IF('Data Sheet'!G30&gt;0, 'Data Sheet'!G31/'Data Sheet'!G30, 0)</f>
        <v>0.4335491828553808</v>
      </c>
      <c r="H18" s="5">
        <f>IF('Data Sheet'!H30&gt;0, 'Data Sheet'!H31/'Data Sheet'!H30, 0)</f>
        <v>0.41062436402536073</v>
      </c>
      <c r="I18" s="5">
        <f>IF('Data Sheet'!I30&gt;0, 'Data Sheet'!I31/'Data Sheet'!I30, 0)</f>
        <v>0.99864759057584174</v>
      </c>
      <c r="J18" s="5">
        <f>IF('Data Sheet'!J30&gt;0, 'Data Sheet'!J31/'Data Sheet'!J30, 0)</f>
        <v>0.57562951990938394</v>
      </c>
      <c r="K18" s="5">
        <f>IF('Data Sheet'!K30&gt;0, 'Data Sheet'!K31/'Data Sheet'!K30, 0)</f>
        <v>0.93942701789796712</v>
      </c>
    </row>
    <row r="19" spans="1:14" x14ac:dyDescent="0.25">
      <c r="A19" t="s">
        <v>18</v>
      </c>
      <c r="B19" s="5">
        <f t="shared" ref="B19:L19" si="4">IF(B6&gt;0,B6/B4,0)</f>
        <v>0.28235738085157303</v>
      </c>
      <c r="C19" s="5">
        <f t="shared" ref="C19:K19" si="5">IF(C6&gt;0,C6/C4,0)</f>
        <v>0.27390095451231711</v>
      </c>
      <c r="D19" s="5">
        <f t="shared" si="5"/>
        <v>0.26413439043410447</v>
      </c>
      <c r="E19" s="5">
        <f t="shared" si="5"/>
        <v>0.26973365286795981</v>
      </c>
      <c r="F19" s="5">
        <f t="shared" si="5"/>
        <v>0.26829734499741953</v>
      </c>
      <c r="G19" s="5">
        <f t="shared" si="5"/>
        <v>0.28351108864213626</v>
      </c>
      <c r="H19" s="5">
        <f t="shared" si="5"/>
        <v>0.27669305464292793</v>
      </c>
      <c r="I19" s="5">
        <f t="shared" si="5"/>
        <v>0.26283831134845514</v>
      </c>
      <c r="J19" s="5">
        <f t="shared" si="5"/>
        <v>0.26690688396923118</v>
      </c>
      <c r="K19" s="5">
        <f t="shared" si="5"/>
        <v>0.26400573389105608</v>
      </c>
      <c r="L19" s="5">
        <f t="shared" si="4"/>
        <v>0.26398800693349156</v>
      </c>
    </row>
    <row r="20" spans="1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25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25">
      <c r="A23"/>
      <c r="B23"/>
      <c r="C23"/>
      <c r="D23"/>
      <c r="E23"/>
      <c r="F23"/>
      <c r="G23" t="s">
        <v>22</v>
      </c>
      <c r="H23" s="5">
        <f>IF(B4=0,"",POWER($K4/B4,1/9)-1)</f>
        <v>9.9590242991535183E-2</v>
      </c>
      <c r="I23" s="5">
        <f>IF(D4=0,"",POWER($K4/D4,1/7)-1)</f>
        <v>0.10983885445186425</v>
      </c>
      <c r="J23" s="5">
        <f>IF(F4=0,"",POWER($K4/F4,1/5)-1)</f>
        <v>0.10221576217512296</v>
      </c>
      <c r="K23" s="5">
        <f>IF(H4=0,"",POWER($K4/H4, 1/3)-1)</f>
        <v>0.10014282114946793</v>
      </c>
      <c r="L23" s="5">
        <f>IF(ISERROR(MAX(IF(J4=0,"",(K4-J4)/J4),IF(K4=0,"",(L4-K4)/K4))),"",MAX(IF(J4=0,"",(K4-J4)/J4),IF(K4=0,"",(L4-K4)/K4)))</f>
        <v>5.9906265437351856E-2</v>
      </c>
      <c r="M23" s="16">
        <f>MAX(K23:L23)</f>
        <v>0.10014282114946793</v>
      </c>
      <c r="N23" s="16">
        <f>MIN(H23:L23)</f>
        <v>5.9906265437351856E-2</v>
      </c>
    </row>
    <row r="24" spans="1:14" x14ac:dyDescent="0.25">
      <c r="G24" t="s">
        <v>18</v>
      </c>
      <c r="H24" s="5">
        <f>IF(SUM(B4:$K$4)=0,"",SUMPRODUCT(B19:$K$19,B4:$K$4)/SUM(B4:$K$4))</f>
        <v>0.27022292275993887</v>
      </c>
      <c r="I24" s="5">
        <f>IF(SUM(E4:$K$4)=0,"",SUMPRODUCT(E19:$K$19,E4:$K$4)/SUM(E4:$K$4))</f>
        <v>0.26949684942556867</v>
      </c>
      <c r="J24" s="5">
        <f>IF(SUM(G4:$K$4)=0,"",SUMPRODUCT(G19:$K$19,G4:$K$4)/SUM(G4:$K$4))</f>
        <v>0.26963936726410209</v>
      </c>
      <c r="K24" s="5">
        <f>IF(SUM(I4:$K$4)=0, "", SUMPRODUCT(I19:$K$19,I4:$K$4)/SUM(I4:$K$4))</f>
        <v>0.26460941559566287</v>
      </c>
      <c r="L24" s="5">
        <f>L19</f>
        <v>0.26398800693349156</v>
      </c>
      <c r="M24" s="16">
        <f>MAX(K24:L24)</f>
        <v>0.26460941559566287</v>
      </c>
      <c r="N24" s="16">
        <f>MIN(H24:L24)</f>
        <v>0.26398800693349156</v>
      </c>
    </row>
    <row r="25" spans="1:14" x14ac:dyDescent="0.25">
      <c r="G25" t="s">
        <v>23</v>
      </c>
      <c r="H25" s="6">
        <f>IF(ISERROR(AVERAGEIF(B14:$L14,"&gt;0")),"",AVERAGEIF(B14:$L14,"&gt;0"))</f>
        <v>25.916253635134147</v>
      </c>
      <c r="I25" s="6">
        <f>IF(ISERROR(AVERAGEIF(E14:$L14,"&gt;0")),"",AVERAGEIF(E14:$L14,"&gt;0"))</f>
        <v>28.15885110159202</v>
      </c>
      <c r="J25" s="6">
        <f>IF(ISERROR(AVERAGEIF(G14:$L14,"&gt;0")),"",AVERAGEIF(G14:$L14,"&gt;0"))</f>
        <v>30.036166146661483</v>
      </c>
      <c r="K25" s="6">
        <f>IF(ISERROR(AVERAGEIF(I14:$L14,"&gt;0")),"",AVERAGEIF(I14:$L14,"&gt;0"))</f>
        <v>27.06590353673014</v>
      </c>
      <c r="L25" s="6">
        <f>L14</f>
        <v>23.008372536683375</v>
      </c>
      <c r="M25" s="1">
        <f>MAX(K25:L25)</f>
        <v>27.06590353673014</v>
      </c>
      <c r="N25" s="1">
        <f>MIN(H25:L25)</f>
        <v>23.008372536683375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9D8-77D3-4EBF-A44C-F3B2E5AB40D0}">
  <sheetPr>
    <tabColor rgb="FF002060"/>
  </sheetPr>
  <dimension ref="B2:L27"/>
  <sheetViews>
    <sheetView showGridLines="0" workbookViewId="0">
      <selection activeCell="F33" sqref="F33"/>
    </sheetView>
  </sheetViews>
  <sheetFormatPr defaultRowHeight="15" x14ac:dyDescent="0.25"/>
  <cols>
    <col min="1" max="1" width="1.85546875" customWidth="1"/>
    <col min="2" max="2" width="31.28515625" bestFit="1" customWidth="1"/>
    <col min="3" max="3" width="14.140625" customWidth="1"/>
    <col min="4" max="5" width="17.7109375" customWidth="1"/>
    <col min="6" max="6" width="20.42578125" bestFit="1" customWidth="1"/>
    <col min="7" max="7" width="21.5703125" bestFit="1" customWidth="1"/>
    <col min="8" max="8" width="7.140625" bestFit="1" customWidth="1"/>
    <col min="11" max="11" width="31.7109375" bestFit="1" customWidth="1"/>
    <col min="12" max="12" width="7.140625" bestFit="1" customWidth="1"/>
  </cols>
  <sheetData>
    <row r="2" spans="2:12" x14ac:dyDescent="0.25">
      <c r="B2" s="32" t="s">
        <v>209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2" x14ac:dyDescent="0.25">
      <c r="B3" s="2"/>
    </row>
    <row r="4" spans="2:12" x14ac:dyDescent="0.25">
      <c r="B4" s="26" t="s">
        <v>210</v>
      </c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2:12" x14ac:dyDescent="0.25">
      <c r="B5" s="2"/>
      <c r="C5" s="2"/>
      <c r="D5" s="2"/>
      <c r="E5" s="2"/>
      <c r="F5" s="2"/>
      <c r="G5" s="62" t="s">
        <v>216</v>
      </c>
      <c r="H5" s="2" t="s">
        <v>218</v>
      </c>
      <c r="I5" s="2" t="s">
        <v>220</v>
      </c>
      <c r="J5" s="2" t="s">
        <v>222</v>
      </c>
    </row>
    <row r="6" spans="2:12" x14ac:dyDescent="0.25">
      <c r="B6" s="26" t="s">
        <v>211</v>
      </c>
      <c r="C6" s="73" t="s">
        <v>212</v>
      </c>
      <c r="D6" s="73" t="s">
        <v>214</v>
      </c>
      <c r="E6" s="73" t="s">
        <v>213</v>
      </c>
      <c r="F6" s="73" t="s">
        <v>215</v>
      </c>
      <c r="G6" s="73" t="s">
        <v>217</v>
      </c>
      <c r="H6" s="26" t="s">
        <v>219</v>
      </c>
      <c r="I6" s="26" t="s">
        <v>221</v>
      </c>
      <c r="J6" s="26" t="s">
        <v>221</v>
      </c>
    </row>
    <row r="7" spans="2:12" x14ac:dyDescent="0.25">
      <c r="B7" t="str">
        <f>'Peer Data'!C4</f>
        <v>TCS</v>
      </c>
      <c r="C7" s="63" t="s">
        <v>249</v>
      </c>
      <c r="D7" s="63">
        <f>'Peer Data'!F4</f>
        <v>9392</v>
      </c>
      <c r="E7" s="63">
        <f>'Peer Data'!E4</f>
        <v>1133691.54</v>
      </c>
      <c r="F7" s="70">
        <v>0.3</v>
      </c>
      <c r="G7" s="68">
        <f>D7/E7</f>
        <v>8.2844404043096228E-3</v>
      </c>
      <c r="H7" s="24">
        <f>D7/(SUM(D7,E7))</f>
        <v>8.2163723571769733E-3</v>
      </c>
      <c r="I7" s="25">
        <f>Beta!K4</f>
        <v>0.74488831173541037</v>
      </c>
      <c r="J7" s="25">
        <f>I7/(1+(1-F7)*G7)</f>
        <v>0.74059352966319203</v>
      </c>
    </row>
    <row r="8" spans="2:12" x14ac:dyDescent="0.25">
      <c r="B8" t="str">
        <f>'Peer Data'!C5</f>
        <v>Infosys</v>
      </c>
      <c r="C8" s="63" t="s">
        <v>249</v>
      </c>
      <c r="D8" s="63">
        <f>'Peer Data'!F5</f>
        <v>8485</v>
      </c>
      <c r="E8" s="63">
        <f>'Peer Data'!E5</f>
        <v>633794.06999999995</v>
      </c>
      <c r="F8" s="70">
        <v>0.3</v>
      </c>
      <c r="G8" s="68">
        <f t="shared" ref="G8:G11" si="0">D8/E8</f>
        <v>1.3387629202652528E-2</v>
      </c>
      <c r="H8" s="24">
        <f t="shared" ref="H8:H11" si="1">D8/(SUM(D8,E8))</f>
        <v>1.321076833470535E-2</v>
      </c>
      <c r="I8" s="25">
        <f>Beta!X4</f>
        <v>1.0303356252160298</v>
      </c>
      <c r="J8" s="25">
        <f t="shared" ref="J8:J11" si="2">I8/(1+(1-F8)*G8)</f>
        <v>1.020769645356679</v>
      </c>
    </row>
    <row r="9" spans="2:12" x14ac:dyDescent="0.25">
      <c r="B9" t="str">
        <f>'Peer Data'!C6</f>
        <v>HCL Technologies</v>
      </c>
      <c r="C9" s="63" t="s">
        <v>249</v>
      </c>
      <c r="D9" s="63">
        <f>'Peer Data'!F6</f>
        <v>6276</v>
      </c>
      <c r="E9" s="63">
        <f>'Peer Data'!E6</f>
        <v>398148.94</v>
      </c>
      <c r="F9" s="70">
        <v>0.3</v>
      </c>
      <c r="G9" s="68">
        <f t="shared" si="0"/>
        <v>1.5762945394253717E-2</v>
      </c>
      <c r="H9" s="24">
        <f t="shared" si="1"/>
        <v>1.5518330793348205E-2</v>
      </c>
      <c r="I9" s="25">
        <f>Beta!AK4</f>
        <v>1.0417354340279399</v>
      </c>
      <c r="J9" s="25">
        <f t="shared" si="2"/>
        <v>1.0303663085277586</v>
      </c>
    </row>
    <row r="10" spans="2:12" x14ac:dyDescent="0.25">
      <c r="B10" t="str">
        <f>'Peer Data'!C7</f>
        <v>Wipro</v>
      </c>
      <c r="C10" s="63" t="s">
        <v>249</v>
      </c>
      <c r="D10" s="63">
        <f>'Peer Data'!F7</f>
        <v>19203.5</v>
      </c>
      <c r="E10" s="63">
        <f>'Peer Data'!E7</f>
        <v>264117.31</v>
      </c>
      <c r="F10" s="70">
        <v>0.3</v>
      </c>
      <c r="G10" s="68">
        <f t="shared" si="0"/>
        <v>7.2708221963944733E-2</v>
      </c>
      <c r="H10" s="24">
        <f t="shared" si="1"/>
        <v>6.7780054701947243E-2</v>
      </c>
      <c r="I10" s="25">
        <f>Beta!AX4</f>
        <v>1.2098553820762268</v>
      </c>
      <c r="J10" s="25">
        <f t="shared" si="2"/>
        <v>1.1512610797869087</v>
      </c>
    </row>
    <row r="11" spans="2:12" x14ac:dyDescent="0.25">
      <c r="B11" t="str">
        <f>'Peer Data'!C8</f>
        <v>LTIMindtree</v>
      </c>
      <c r="C11" s="63" t="s">
        <v>249</v>
      </c>
      <c r="D11" s="63">
        <f>'Peer Data'!F8</f>
        <v>2187.3000000000002</v>
      </c>
      <c r="E11" s="63">
        <f>'Peer Data'!E8</f>
        <v>158064.24</v>
      </c>
      <c r="F11" s="70">
        <v>0.3</v>
      </c>
      <c r="G11" s="68">
        <f t="shared" si="0"/>
        <v>1.3838044582379926E-2</v>
      </c>
      <c r="H11" s="24">
        <f t="shared" si="1"/>
        <v>1.3649166803638832E-2</v>
      </c>
      <c r="I11" s="25">
        <f>Beta!BK4</f>
        <v>0.91903685371750221</v>
      </c>
      <c r="J11" s="25">
        <f t="shared" si="2"/>
        <v>0.91021988933166387</v>
      </c>
    </row>
    <row r="12" spans="2:12" x14ac:dyDescent="0.25">
      <c r="F12" s="60" t="s">
        <v>207</v>
      </c>
      <c r="G12" s="69">
        <f>AVERAGE(G7:G11)</f>
        <v>2.4796256309508106E-2</v>
      </c>
      <c r="H12" s="61">
        <f>AVERAGE(H7:H11)</f>
        <v>2.367493859816332E-2</v>
      </c>
      <c r="I12" s="64">
        <f t="shared" ref="I12:J12" si="3">AVERAGE(I7:I11)</f>
        <v>0.98917032135462191</v>
      </c>
      <c r="J12" s="64">
        <f t="shared" si="3"/>
        <v>0.97064209053324046</v>
      </c>
    </row>
    <row r="13" spans="2:12" x14ac:dyDescent="0.25">
      <c r="F13" s="60" t="s">
        <v>208</v>
      </c>
      <c r="G13" s="69">
        <f>MEDIAN(G7:G11)</f>
        <v>1.3838044582379926E-2</v>
      </c>
      <c r="H13" s="61">
        <f t="shared" ref="H13:J13" si="4">MEDIAN(H7:H11)</f>
        <v>1.3649166803638832E-2</v>
      </c>
      <c r="I13" s="64">
        <f t="shared" si="4"/>
        <v>1.0303356252160298</v>
      </c>
      <c r="J13" s="64">
        <f t="shared" si="4"/>
        <v>1.020769645356679</v>
      </c>
    </row>
    <row r="15" spans="2:12" x14ac:dyDescent="0.25">
      <c r="B15" s="26" t="s">
        <v>250</v>
      </c>
      <c r="C15" s="72"/>
      <c r="G15" s="26" t="s">
        <v>284</v>
      </c>
      <c r="H15" s="72"/>
      <c r="K15" s="26" t="s">
        <v>303</v>
      </c>
      <c r="L15" s="72"/>
    </row>
    <row r="16" spans="2:12" x14ac:dyDescent="0.25">
      <c r="B16" t="s">
        <v>251</v>
      </c>
      <c r="C16" s="24">
        <f>818/D7</f>
        <v>8.7095400340715501E-2</v>
      </c>
      <c r="G16" t="s">
        <v>285</v>
      </c>
      <c r="H16" s="5">
        <v>6.4899999999999999E-2</v>
      </c>
      <c r="K16" t="s">
        <v>304</v>
      </c>
      <c r="L16" s="5">
        <f>H19</f>
        <v>0.17024975700708861</v>
      </c>
    </row>
    <row r="17" spans="2:12" x14ac:dyDescent="0.25">
      <c r="B17" t="s">
        <v>252</v>
      </c>
      <c r="C17" s="53">
        <v>0.3</v>
      </c>
      <c r="G17" t="s">
        <v>286</v>
      </c>
      <c r="H17" s="5">
        <f>'Equity Premium'!F8-WACC!H16</f>
        <v>0.10224799999999999</v>
      </c>
      <c r="K17" t="s">
        <v>305</v>
      </c>
      <c r="L17" s="5">
        <f>E24</f>
        <v>0.97632506140183672</v>
      </c>
    </row>
    <row r="18" spans="2:12" ht="15.75" thickBot="1" x14ac:dyDescent="0.3">
      <c r="B18" s="30" t="s">
        <v>253</v>
      </c>
      <c r="C18" s="67">
        <f>C16*(1-C17)</f>
        <v>6.0966780238500849E-2</v>
      </c>
      <c r="G18" t="s">
        <v>287</v>
      </c>
      <c r="H18" s="25">
        <f>I13</f>
        <v>1.0303356252160298</v>
      </c>
    </row>
    <row r="19" spans="2:12" ht="15.75" thickBot="1" x14ac:dyDescent="0.3">
      <c r="G19" s="30" t="s">
        <v>284</v>
      </c>
      <c r="H19" s="67">
        <f>H16+(H17*H18)</f>
        <v>0.17024975700708861</v>
      </c>
      <c r="K19" t="s">
        <v>306</v>
      </c>
      <c r="L19" s="5">
        <f>C18</f>
        <v>6.0966780238500849E-2</v>
      </c>
    </row>
    <row r="20" spans="2:12" x14ac:dyDescent="0.25">
      <c r="K20" t="s">
        <v>307</v>
      </c>
      <c r="L20" s="5">
        <f>E23</f>
        <v>2.367493859816332E-2</v>
      </c>
    </row>
    <row r="22" spans="2:12" ht="15.75" thickBot="1" x14ac:dyDescent="0.3">
      <c r="B22" s="26" t="s">
        <v>293</v>
      </c>
      <c r="C22" s="72"/>
      <c r="D22" s="26" t="s">
        <v>295</v>
      </c>
      <c r="E22" s="26" t="s">
        <v>296</v>
      </c>
      <c r="G22" s="26" t="s">
        <v>299</v>
      </c>
      <c r="H22" s="72"/>
      <c r="K22" s="30" t="s">
        <v>308</v>
      </c>
      <c r="L22" s="67">
        <f>(L16*L17)+(L19*L20)</f>
        <v>0.16766248924226779</v>
      </c>
    </row>
    <row r="23" spans="2:12" x14ac:dyDescent="0.25">
      <c r="B23" t="s">
        <v>294</v>
      </c>
      <c r="C23">
        <f>D7</f>
        <v>9392</v>
      </c>
      <c r="D23" s="24">
        <f>C23/C25</f>
        <v>8.2163723571769733E-3</v>
      </c>
      <c r="E23" s="5">
        <f>H12</f>
        <v>2.367493859816332E-2</v>
      </c>
      <c r="G23" t="s">
        <v>300</v>
      </c>
      <c r="H23" s="25">
        <f>J13</f>
        <v>1.020769645356679</v>
      </c>
    </row>
    <row r="24" spans="2:12" x14ac:dyDescent="0.25">
      <c r="B24" t="s">
        <v>70</v>
      </c>
      <c r="C24">
        <f>E7</f>
        <v>1133691.54</v>
      </c>
      <c r="D24" s="24">
        <f>C24/C25</f>
        <v>0.99178362764282302</v>
      </c>
      <c r="E24" s="5">
        <f>E25-E23</f>
        <v>0.97632506140183672</v>
      </c>
      <c r="G24" t="s">
        <v>301</v>
      </c>
      <c r="H24" s="5">
        <f>E27</f>
        <v>2.4249032964666642E-2</v>
      </c>
    </row>
    <row r="25" spans="2:12" x14ac:dyDescent="0.25">
      <c r="B25" s="2" t="s">
        <v>297</v>
      </c>
      <c r="C25" s="2">
        <f>SUM(C23:C24)</f>
        <v>1143083.54</v>
      </c>
      <c r="D25" s="16">
        <f>SUM(D23:D24)</f>
        <v>1</v>
      </c>
      <c r="E25" s="65">
        <v>1</v>
      </c>
      <c r="G25" t="s">
        <v>252</v>
      </c>
      <c r="H25" s="53">
        <f>F11</f>
        <v>0.3</v>
      </c>
    </row>
    <row r="26" spans="2:12" ht="15.75" thickBot="1" x14ac:dyDescent="0.3">
      <c r="G26" s="30" t="s">
        <v>302</v>
      </c>
      <c r="H26" s="71">
        <f>H23*(1+(1-H25)*H24)</f>
        <v>1.0380965191023885</v>
      </c>
    </row>
    <row r="27" spans="2:12" ht="15.75" thickBot="1" x14ac:dyDescent="0.3">
      <c r="B27" s="30" t="s">
        <v>298</v>
      </c>
      <c r="C27" s="66"/>
      <c r="D27" s="67">
        <f>D23/D24</f>
        <v>8.2844404043096228E-3</v>
      </c>
      <c r="E27" s="67">
        <f>E23/E24</f>
        <v>2.4249032964666642E-2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F0E3-30F9-4C94-B7D8-5E613BC64A6F}">
  <sheetPr>
    <tabColor rgb="FF002060"/>
  </sheetPr>
  <dimension ref="B2:G58"/>
  <sheetViews>
    <sheetView showGridLines="0" workbookViewId="0">
      <selection activeCell="M52" sqref="M52"/>
    </sheetView>
  </sheetViews>
  <sheetFormatPr defaultRowHeight="15" x14ac:dyDescent="0.25"/>
  <cols>
    <col min="1" max="1" width="1.85546875" customWidth="1"/>
    <col min="2" max="2" width="31.42578125" bestFit="1" customWidth="1"/>
    <col min="3" max="3" width="9.28515625" bestFit="1" customWidth="1"/>
    <col min="4" max="4" width="8.140625" bestFit="1" customWidth="1"/>
    <col min="5" max="5" width="9.28515625" bestFit="1" customWidth="1"/>
    <col min="6" max="6" width="14.140625" bestFit="1" customWidth="1"/>
    <col min="7" max="7" width="9.7109375" bestFit="1" customWidth="1"/>
  </cols>
  <sheetData>
    <row r="2" spans="2:7" x14ac:dyDescent="0.25">
      <c r="B2" s="32" t="s">
        <v>309</v>
      </c>
      <c r="C2" s="33">
        <f>'Ratio Analysis'!H3</f>
        <v>44286</v>
      </c>
      <c r="D2" s="33">
        <f>'Ratio Analysis'!I3</f>
        <v>44651</v>
      </c>
      <c r="E2" s="33">
        <f>'Ratio Analysis'!J3</f>
        <v>45016</v>
      </c>
      <c r="F2" s="33">
        <f>'Ratio Analysis'!K3</f>
        <v>45382</v>
      </c>
      <c r="G2" s="33">
        <f>'Ratio Analysis'!L3</f>
        <v>45747</v>
      </c>
    </row>
    <row r="3" spans="2:7" x14ac:dyDescent="0.25">
      <c r="B3" s="2" t="s">
        <v>310</v>
      </c>
    </row>
    <row r="4" spans="2:7" x14ac:dyDescent="0.25">
      <c r="B4" s="84" t="str">
        <f>'Historical Financial Statement'!B82</f>
        <v>Inventories</v>
      </c>
      <c r="C4" s="93">
        <f>'Historical Financial Statement'!H82</f>
        <v>8</v>
      </c>
      <c r="D4" s="93">
        <f>'Historical Financial Statement'!I82</f>
        <v>20</v>
      </c>
      <c r="E4" s="93">
        <f>'Historical Financial Statement'!J82</f>
        <v>28</v>
      </c>
      <c r="F4" s="93">
        <f>'Historical Financial Statement'!K82</f>
        <v>28</v>
      </c>
      <c r="G4" s="93">
        <f>'Historical Financial Statement'!L82</f>
        <v>21</v>
      </c>
    </row>
    <row r="5" spans="2:7" x14ac:dyDescent="0.25">
      <c r="B5" s="84" t="str">
        <f>'Historical Financial Statement'!B83</f>
        <v>Trade receivables +</v>
      </c>
      <c r="C5" s="93">
        <f>'Historical Financial Statement'!H83</f>
        <v>30079</v>
      </c>
      <c r="D5" s="93">
        <f>'Historical Financial Statement'!I83</f>
        <v>41810</v>
      </c>
      <c r="E5" s="93">
        <f>'Historical Financial Statement'!J83</f>
        <v>49954</v>
      </c>
      <c r="F5" s="93">
        <f>'Historical Financial Statement'!K83</f>
        <v>53577</v>
      </c>
      <c r="G5" s="93">
        <f>'Historical Financial Statement'!L83</f>
        <v>59046</v>
      </c>
    </row>
    <row r="6" spans="2:7" x14ac:dyDescent="0.25">
      <c r="B6" s="84" t="str">
        <f>'Historical Financial Statement'!B84</f>
        <v>Cash Equivalents</v>
      </c>
      <c r="C6" s="93">
        <f>'Historical Financial Statement'!H84</f>
        <v>9329</v>
      </c>
      <c r="D6" s="93">
        <f>'Historical Financial Statement'!I84</f>
        <v>18221</v>
      </c>
      <c r="E6" s="93">
        <f>'Historical Financial Statement'!J84</f>
        <v>11032</v>
      </c>
      <c r="F6" s="93">
        <f>'Historical Financial Statement'!K84</f>
        <v>13286</v>
      </c>
      <c r="G6" s="93">
        <f>'Historical Financial Statement'!L84</f>
        <v>15463</v>
      </c>
    </row>
    <row r="7" spans="2:7" x14ac:dyDescent="0.25">
      <c r="B7" s="84" t="str">
        <f>'Historical Financial Statement'!B85</f>
        <v>Loans n Advances</v>
      </c>
      <c r="C7" s="93">
        <f>'Historical Financial Statement'!H85</f>
        <v>5107</v>
      </c>
      <c r="D7" s="93">
        <f>'Historical Financial Statement'!I85</f>
        <v>3600</v>
      </c>
      <c r="E7" s="93">
        <f>'Historical Financial Statement'!J85</f>
        <v>2097</v>
      </c>
      <c r="F7" s="93">
        <f>'Historical Financial Statement'!K85</f>
        <v>3989</v>
      </c>
      <c r="G7" s="93">
        <f>'Historical Financial Statement'!L85</f>
        <v>4612</v>
      </c>
    </row>
    <row r="8" spans="2:7" x14ac:dyDescent="0.25">
      <c r="B8" s="84" t="str">
        <f>'Historical Financial Statement'!B86</f>
        <v>Other asset items</v>
      </c>
      <c r="C8" s="93">
        <f>'Historical Financial Statement'!H86</f>
        <v>34149</v>
      </c>
      <c r="D8" s="93">
        <f>'Historical Financial Statement'!I86</f>
        <v>24285</v>
      </c>
      <c r="E8" s="93">
        <f>'Historical Financial Statement'!J86</f>
        <v>20836</v>
      </c>
      <c r="F8" s="93">
        <f>'Historical Financial Statement'!K86</f>
        <v>21662</v>
      </c>
      <c r="G8" s="93">
        <f>'Historical Financial Statement'!L86</f>
        <v>23944</v>
      </c>
    </row>
    <row r="9" spans="2:7" x14ac:dyDescent="0.25">
      <c r="B9" s="78" t="s">
        <v>311</v>
      </c>
      <c r="C9" s="79">
        <f>SUM(C4:C8)</f>
        <v>78672</v>
      </c>
      <c r="D9" s="79">
        <f t="shared" ref="D9:G9" si="0">SUM(D4:D8)</f>
        <v>87936</v>
      </c>
      <c r="E9" s="79">
        <f t="shared" si="0"/>
        <v>83947</v>
      </c>
      <c r="F9" s="79">
        <f t="shared" si="0"/>
        <v>92542</v>
      </c>
      <c r="G9" s="79">
        <f t="shared" si="0"/>
        <v>103086</v>
      </c>
    </row>
    <row r="10" spans="2:7" x14ac:dyDescent="0.25">
      <c r="C10" s="77"/>
      <c r="D10" s="77"/>
      <c r="E10" s="77"/>
      <c r="F10" s="77"/>
      <c r="G10" s="77"/>
    </row>
    <row r="11" spans="2:7" x14ac:dyDescent="0.25">
      <c r="B11" s="2" t="s">
        <v>312</v>
      </c>
      <c r="C11" s="77"/>
      <c r="D11" s="77"/>
      <c r="E11" s="77"/>
      <c r="F11" s="77"/>
      <c r="G11" s="77"/>
    </row>
    <row r="12" spans="2:7" x14ac:dyDescent="0.25">
      <c r="B12" s="84" t="str">
        <f>'Historical Financial Statement'!B60</f>
        <v>Trade Payables</v>
      </c>
      <c r="C12" s="93">
        <f>'Historical Financial Statement'!H60</f>
        <v>7860</v>
      </c>
      <c r="D12" s="93">
        <f>'Historical Financial Statement'!I60</f>
        <v>8045</v>
      </c>
      <c r="E12" s="93">
        <f>'Historical Financial Statement'!J60</f>
        <v>10515</v>
      </c>
      <c r="F12" s="93">
        <f>'Historical Financial Statement'!K60</f>
        <v>9981</v>
      </c>
      <c r="G12" s="93">
        <f>'Historical Financial Statement'!L60</f>
        <v>13909</v>
      </c>
    </row>
    <row r="13" spans="2:7" x14ac:dyDescent="0.25">
      <c r="B13" s="84" t="str">
        <f>'Historical Financial Statement'!B61</f>
        <v>Advance from Customers</v>
      </c>
      <c r="C13" s="93">
        <f>'Historical Financial Statement'!H61</f>
        <v>312</v>
      </c>
      <c r="D13" s="93">
        <f>'Historical Financial Statement'!I61</f>
        <v>468</v>
      </c>
      <c r="E13" s="93">
        <f>'Historical Financial Statement'!J61</f>
        <v>543</v>
      </c>
      <c r="F13" s="93">
        <f>'Historical Financial Statement'!K61</f>
        <v>1841</v>
      </c>
      <c r="G13" s="93">
        <f>'Historical Financial Statement'!L61</f>
        <v>1896</v>
      </c>
    </row>
    <row r="14" spans="2:7" x14ac:dyDescent="0.25">
      <c r="B14" s="84" t="str">
        <f>'Historical Financial Statement'!B62</f>
        <v>Other liability items</v>
      </c>
      <c r="C14" s="93">
        <f>'Historical Financial Statement'!H62</f>
        <v>26917</v>
      </c>
      <c r="D14" s="93">
        <f>'Historical Financial Statement'!I62</f>
        <v>34747</v>
      </c>
      <c r="E14" s="93">
        <f>'Historical Financial Statement'!J62</f>
        <v>32907</v>
      </c>
      <c r="F14" s="93">
        <f>'Historical Financial Statement'!K62</f>
        <v>34310</v>
      </c>
      <c r="G14" s="93">
        <f>'Historical Financial Statement'!L62</f>
        <v>37681</v>
      </c>
    </row>
    <row r="15" spans="2:7" x14ac:dyDescent="0.25">
      <c r="B15" s="78" t="s">
        <v>313</v>
      </c>
      <c r="C15" s="79">
        <f>SUM(C12:C14)</f>
        <v>35089</v>
      </c>
      <c r="D15" s="79">
        <f t="shared" ref="D15:G15" si="1">SUM(D12:D14)</f>
        <v>43260</v>
      </c>
      <c r="E15" s="79">
        <f t="shared" si="1"/>
        <v>43965</v>
      </c>
      <c r="F15" s="79">
        <f t="shared" si="1"/>
        <v>46132</v>
      </c>
      <c r="G15" s="79">
        <f t="shared" si="1"/>
        <v>53486</v>
      </c>
    </row>
    <row r="16" spans="2:7" x14ac:dyDescent="0.25">
      <c r="C16" s="77"/>
      <c r="D16" s="77"/>
      <c r="E16" s="77"/>
      <c r="F16" s="77"/>
      <c r="G16" s="77"/>
    </row>
    <row r="17" spans="2:7" x14ac:dyDescent="0.25">
      <c r="B17" s="80" t="s">
        <v>314</v>
      </c>
      <c r="C17" s="81">
        <f>C9-C15</f>
        <v>43583</v>
      </c>
      <c r="D17" s="81">
        <f t="shared" ref="D17:G17" si="2">D9-D15</f>
        <v>44676</v>
      </c>
      <c r="E17" s="81">
        <f t="shared" si="2"/>
        <v>39982</v>
      </c>
      <c r="F17" s="81">
        <f t="shared" si="2"/>
        <v>46410</v>
      </c>
      <c r="G17" s="81">
        <f t="shared" si="2"/>
        <v>49600</v>
      </c>
    </row>
    <row r="19" spans="2:7" x14ac:dyDescent="0.25">
      <c r="B19" s="2" t="s">
        <v>315</v>
      </c>
    </row>
    <row r="20" spans="2:7" x14ac:dyDescent="0.25">
      <c r="B20" s="84" t="str">
        <f>'Historical Financial Statement'!B67</f>
        <v>Land</v>
      </c>
      <c r="C20" s="93">
        <f>'Historical Financial Statement'!H67</f>
        <v>1041</v>
      </c>
      <c r="D20" s="93">
        <f>'Historical Financial Statement'!I67</f>
        <v>1126</v>
      </c>
      <c r="E20" s="93">
        <f>'Historical Financial Statement'!J67</f>
        <v>1304</v>
      </c>
      <c r="F20" s="93">
        <f>'Historical Financial Statement'!K67</f>
        <v>1294</v>
      </c>
      <c r="G20" s="93">
        <f>'Historical Financial Statement'!L67</f>
        <v>2885</v>
      </c>
    </row>
    <row r="21" spans="2:7" x14ac:dyDescent="0.25">
      <c r="B21" s="84" t="str">
        <f>'Historical Financial Statement'!B68</f>
        <v>Building</v>
      </c>
      <c r="C21" s="93">
        <f>'Historical Financial Statement'!H68</f>
        <v>18524</v>
      </c>
      <c r="D21" s="93">
        <f>'Historical Financial Statement'!I68</f>
        <v>17007</v>
      </c>
      <c r="E21" s="93">
        <f>'Historical Financial Statement'!J68</f>
        <v>18635</v>
      </c>
      <c r="F21" s="93">
        <f>'Historical Financial Statement'!K68</f>
        <v>19314</v>
      </c>
      <c r="G21" s="93">
        <f>'Historical Financial Statement'!L68</f>
        <v>21379</v>
      </c>
    </row>
    <row r="22" spans="2:7" x14ac:dyDescent="0.25">
      <c r="B22" s="84" t="str">
        <f>'Historical Financial Statement'!B69</f>
        <v>Plant Machinery</v>
      </c>
      <c r="C22" s="93">
        <f>'Historical Financial Statement'!H69</f>
        <v>737</v>
      </c>
      <c r="D22" s="93">
        <f>'Historical Financial Statement'!I69</f>
        <v>770</v>
      </c>
      <c r="E22" s="93">
        <f>'Historical Financial Statement'!J69</f>
        <v>828</v>
      </c>
      <c r="F22" s="93">
        <f>'Historical Financial Statement'!K69</f>
        <v>878</v>
      </c>
      <c r="G22" s="93">
        <f>'Historical Financial Statement'!L69</f>
        <v>993</v>
      </c>
    </row>
    <row r="23" spans="2:7" x14ac:dyDescent="0.25">
      <c r="B23" s="84" t="str">
        <f>'Historical Financial Statement'!B70</f>
        <v>Equipments</v>
      </c>
      <c r="C23" s="93">
        <f>'Historical Financial Statement'!H70</f>
        <v>2587</v>
      </c>
      <c r="D23" s="93">
        <f>'Historical Financial Statement'!I70</f>
        <v>2693</v>
      </c>
      <c r="E23" s="93">
        <f>'Historical Financial Statement'!J70</f>
        <v>2823</v>
      </c>
      <c r="F23" s="93">
        <f>'Historical Financial Statement'!K70</f>
        <v>2982</v>
      </c>
      <c r="G23" s="93">
        <f>'Historical Financial Statement'!L70</f>
        <v>3169</v>
      </c>
    </row>
    <row r="24" spans="2:7" x14ac:dyDescent="0.25">
      <c r="B24" s="84" t="str">
        <f>'Historical Financial Statement'!B71</f>
        <v>Computers</v>
      </c>
      <c r="C24" s="93">
        <f>'Historical Financial Statement'!H71</f>
        <v>10873</v>
      </c>
      <c r="D24" s="93">
        <f>'Historical Financial Statement'!I71</f>
        <v>12301</v>
      </c>
      <c r="E24" s="93">
        <f>'Historical Financial Statement'!J71</f>
        <v>13725</v>
      </c>
      <c r="F24" s="93">
        <f>'Historical Financial Statement'!K71</f>
        <v>14544</v>
      </c>
      <c r="G24" s="93">
        <f>'Historical Financial Statement'!L71</f>
        <v>15212</v>
      </c>
    </row>
    <row r="25" spans="2:7" x14ac:dyDescent="0.25">
      <c r="B25" s="84" t="str">
        <f>'Historical Financial Statement'!B72</f>
        <v>Furniture n fittings</v>
      </c>
      <c r="C25" s="93">
        <f>'Historical Financial Statement'!H72</f>
        <v>3943</v>
      </c>
      <c r="D25" s="93">
        <f>'Historical Financial Statement'!I72</f>
        <v>3968</v>
      </c>
      <c r="E25" s="93">
        <f>'Historical Financial Statement'!J72</f>
        <v>4130</v>
      </c>
      <c r="F25" s="93">
        <f>'Historical Financial Statement'!K72</f>
        <v>4346</v>
      </c>
      <c r="G25" s="93">
        <f>'Historical Financial Statement'!L72</f>
        <v>4628</v>
      </c>
    </row>
    <row r="26" spans="2:7" x14ac:dyDescent="0.25">
      <c r="B26" s="84" t="str">
        <f>'Historical Financial Statement'!B73</f>
        <v>Vehicles</v>
      </c>
      <c r="C26" s="93">
        <f>'Historical Financial Statement'!H73</f>
        <v>86</v>
      </c>
      <c r="D26" s="93">
        <f>'Historical Financial Statement'!I73</f>
        <v>71</v>
      </c>
      <c r="E26" s="93">
        <f>'Historical Financial Statement'!J73</f>
        <v>93</v>
      </c>
      <c r="F26" s="93">
        <f>'Historical Financial Statement'!K73</f>
        <v>97</v>
      </c>
      <c r="G26" s="93">
        <f>'Historical Financial Statement'!L73</f>
        <v>106</v>
      </c>
    </row>
    <row r="27" spans="2:7" x14ac:dyDescent="0.25">
      <c r="B27" s="84" t="str">
        <f>'Historical Financial Statement'!B74</f>
        <v>Intangible Assets</v>
      </c>
      <c r="C27" s="93">
        <f>'Historical Financial Statement'!H74</f>
        <v>2538</v>
      </c>
      <c r="D27" s="93">
        <f>'Historical Financial Statement'!I74</f>
        <v>3484</v>
      </c>
      <c r="E27" s="93">
        <f>'Historical Financial Statement'!J74</f>
        <v>3750</v>
      </c>
      <c r="F27" s="93">
        <f>'Historical Financial Statement'!K74</f>
        <v>3836</v>
      </c>
      <c r="G27" s="93">
        <f>'Historical Financial Statement'!L74</f>
        <v>4865</v>
      </c>
    </row>
    <row r="28" spans="2:7" x14ac:dyDescent="0.25">
      <c r="B28" s="84" t="str">
        <f>'Historical Financial Statement'!B75</f>
        <v>Other fixed assets</v>
      </c>
      <c r="C28" s="93">
        <f>'Historical Financial Statement'!H75</f>
        <v>122</v>
      </c>
      <c r="D28" s="93">
        <f>'Historical Financial Statement'!I75</f>
        <v>121</v>
      </c>
      <c r="E28" s="93">
        <f>'Historical Financial Statement'!J75</f>
        <v>126</v>
      </c>
      <c r="F28" s="93">
        <f>'Historical Financial Statement'!K75</f>
        <v>127</v>
      </c>
      <c r="G28" s="93">
        <f>'Historical Financial Statement'!L75</f>
        <v>129</v>
      </c>
    </row>
    <row r="29" spans="2:7" x14ac:dyDescent="0.25">
      <c r="B29" s="81" t="str">
        <f>'Historical Financial Statement'!B76</f>
        <v>Gross Block</v>
      </c>
      <c r="C29" s="81">
        <f>'Historical Financial Statement'!H76</f>
        <v>40451</v>
      </c>
      <c r="D29" s="81">
        <f>'Historical Financial Statement'!I76</f>
        <v>41541</v>
      </c>
      <c r="E29" s="81">
        <f>'Historical Financial Statement'!J76</f>
        <v>45414</v>
      </c>
      <c r="F29" s="81">
        <f>'Historical Financial Statement'!K76</f>
        <v>47418</v>
      </c>
      <c r="G29" s="81">
        <f>'Historical Financial Statement'!L76</f>
        <v>53366</v>
      </c>
    </row>
    <row r="31" spans="2:7" x14ac:dyDescent="0.25">
      <c r="B31" s="80" t="s">
        <v>316</v>
      </c>
      <c r="C31" s="81">
        <f>C29+C17</f>
        <v>84034</v>
      </c>
      <c r="D31" s="81">
        <f t="shared" ref="D31:G31" si="3">D29+D17</f>
        <v>86217</v>
      </c>
      <c r="E31" s="81">
        <f t="shared" si="3"/>
        <v>85396</v>
      </c>
      <c r="F31" s="81">
        <f t="shared" si="3"/>
        <v>93828</v>
      </c>
      <c r="G31" s="81">
        <f t="shared" si="3"/>
        <v>102966</v>
      </c>
    </row>
    <row r="32" spans="2:7" x14ac:dyDescent="0.25">
      <c r="B32" s="78" t="s">
        <v>317</v>
      </c>
      <c r="C32" s="94">
        <f>'Historical Financial Statement'!H24</f>
        <v>42481</v>
      </c>
      <c r="D32" s="94">
        <f>'Historical Financial Statement'!I24</f>
        <v>48453</v>
      </c>
      <c r="E32" s="94">
        <f>'Historical Financial Statement'!J24</f>
        <v>54237</v>
      </c>
      <c r="F32" s="94">
        <f>'Historical Financial Statement'!K24</f>
        <v>59311</v>
      </c>
      <c r="G32" s="94">
        <f>'Historical Financial Statement'!L24</f>
        <v>62165</v>
      </c>
    </row>
    <row r="34" spans="2:7" x14ac:dyDescent="0.25">
      <c r="B34" s="80" t="s">
        <v>318</v>
      </c>
      <c r="C34" s="82">
        <f>C32/C31</f>
        <v>0.50552157460075686</v>
      </c>
      <c r="D34" s="82">
        <f t="shared" ref="D34:G34" si="4">D32/D31</f>
        <v>0.56198893489683011</v>
      </c>
      <c r="E34" s="82">
        <f t="shared" si="4"/>
        <v>0.63512342498477681</v>
      </c>
      <c r="F34" s="82">
        <f t="shared" si="4"/>
        <v>0.63212473888391529</v>
      </c>
      <c r="G34" s="82">
        <f t="shared" si="4"/>
        <v>0.60374298312064179</v>
      </c>
    </row>
    <row r="36" spans="2:7" x14ac:dyDescent="0.25">
      <c r="B36" s="32" t="s">
        <v>319</v>
      </c>
      <c r="C36" s="33">
        <f>C2</f>
        <v>44286</v>
      </c>
      <c r="D36" s="33">
        <f t="shared" ref="D36:G36" si="5">D2</f>
        <v>44651</v>
      </c>
      <c r="E36" s="33">
        <f t="shared" si="5"/>
        <v>45016</v>
      </c>
      <c r="F36" s="33">
        <f t="shared" si="5"/>
        <v>45382</v>
      </c>
      <c r="G36" s="33">
        <f t="shared" si="5"/>
        <v>45747</v>
      </c>
    </row>
    <row r="38" spans="2:7" x14ac:dyDescent="0.25">
      <c r="B38" s="72" t="s">
        <v>320</v>
      </c>
      <c r="C38" s="97">
        <f>-SUM('Historical Financial Statement'!H104:H105)</f>
        <v>3139</v>
      </c>
      <c r="D38" s="97">
        <f>-SUM('Historical Financial Statement'!I104:I105)</f>
        <v>2964</v>
      </c>
      <c r="E38" s="97">
        <f>-SUM('Historical Financial Statement'!J104:J105)</f>
        <v>3063</v>
      </c>
      <c r="F38" s="97">
        <f>-SUM('Historical Financial Statement'!K104:K105)</f>
        <v>2650</v>
      </c>
      <c r="G38" s="97">
        <f>-SUM('Historical Financial Statement'!L104:L105)</f>
        <v>3914</v>
      </c>
    </row>
    <row r="39" spans="2:7" x14ac:dyDescent="0.25">
      <c r="B39" s="84" t="s">
        <v>321</v>
      </c>
      <c r="C39" s="95"/>
      <c r="D39" s="95">
        <f>D17-C17</f>
        <v>1093</v>
      </c>
      <c r="E39" s="95">
        <f t="shared" ref="E39:G39" si="6">E17-D17</f>
        <v>-4694</v>
      </c>
      <c r="F39" s="95">
        <f t="shared" si="6"/>
        <v>6428</v>
      </c>
      <c r="G39" s="95">
        <f t="shared" si="6"/>
        <v>3190</v>
      </c>
    </row>
    <row r="41" spans="2:7" x14ac:dyDescent="0.25">
      <c r="B41" s="84" t="s">
        <v>317</v>
      </c>
      <c r="C41" s="93">
        <f>'Historical Financial Statement'!H24</f>
        <v>42481</v>
      </c>
      <c r="D41" s="93">
        <f>'Historical Financial Statement'!I24</f>
        <v>48453</v>
      </c>
      <c r="E41" s="93">
        <f>'Historical Financial Statement'!J24</f>
        <v>54237</v>
      </c>
      <c r="F41" s="93">
        <f>'Historical Financial Statement'!K24</f>
        <v>59311</v>
      </c>
      <c r="G41" s="93">
        <f>'Historical Financial Statement'!L24</f>
        <v>62165</v>
      </c>
    </row>
    <row r="42" spans="2:7" x14ac:dyDescent="0.25">
      <c r="B42" s="84" t="s">
        <v>215</v>
      </c>
      <c r="C42" s="96">
        <v>0.3</v>
      </c>
      <c r="D42" s="96">
        <v>0.3</v>
      </c>
      <c r="E42" s="96">
        <v>0.3</v>
      </c>
      <c r="F42" s="96">
        <v>0.3</v>
      </c>
      <c r="G42" s="96">
        <v>0.3</v>
      </c>
    </row>
    <row r="43" spans="2:7" x14ac:dyDescent="0.25">
      <c r="B43" s="80" t="s">
        <v>322</v>
      </c>
      <c r="C43" s="81">
        <f>C41*(1-C42)</f>
        <v>29736.699999999997</v>
      </c>
      <c r="D43" s="81">
        <f t="shared" ref="D43:G43" si="7">D41*(1-D42)</f>
        <v>33917.1</v>
      </c>
      <c r="E43" s="81">
        <f t="shared" si="7"/>
        <v>37965.899999999994</v>
      </c>
      <c r="F43" s="81">
        <f t="shared" si="7"/>
        <v>41517.699999999997</v>
      </c>
      <c r="G43" s="81">
        <f t="shared" si="7"/>
        <v>43515.5</v>
      </c>
    </row>
    <row r="45" spans="2:7" x14ac:dyDescent="0.25">
      <c r="B45" t="s">
        <v>323</v>
      </c>
      <c r="C45" s="77">
        <v>0</v>
      </c>
      <c r="D45" s="77">
        <f>SUM(D38:D39)</f>
        <v>4057</v>
      </c>
      <c r="E45" s="77">
        <f t="shared" ref="E45:G45" si="8">SUM(E38:E39)</f>
        <v>-1631</v>
      </c>
      <c r="F45" s="77">
        <f t="shared" si="8"/>
        <v>9078</v>
      </c>
      <c r="G45" s="77">
        <f t="shared" si="8"/>
        <v>7104</v>
      </c>
    </row>
    <row r="47" spans="2:7" x14ac:dyDescent="0.25">
      <c r="B47" s="80" t="s">
        <v>324</v>
      </c>
      <c r="C47" s="82">
        <f>C45/C43</f>
        <v>0</v>
      </c>
      <c r="D47" s="82">
        <f t="shared" ref="D47:G47" si="9">D45/D43</f>
        <v>0.11961517936380174</v>
      </c>
      <c r="E47" s="82">
        <f t="shared" si="9"/>
        <v>-4.2959603222892127E-2</v>
      </c>
      <c r="F47" s="82">
        <f t="shared" si="9"/>
        <v>0.21865373081842204</v>
      </c>
      <c r="G47" s="82">
        <f t="shared" si="9"/>
        <v>0.16325217451253002</v>
      </c>
    </row>
    <row r="48" spans="2:7" x14ac:dyDescent="0.25">
      <c r="F48" s="83" t="s">
        <v>325</v>
      </c>
      <c r="G48" s="49">
        <f>AVERAGE(D47:G47)</f>
        <v>0.11464037036796543</v>
      </c>
    </row>
    <row r="49" spans="2:7" x14ac:dyDescent="0.25">
      <c r="F49" s="83" t="s">
        <v>326</v>
      </c>
      <c r="G49" s="49">
        <f>MEDIAN(D47:G47)</f>
        <v>0.14143367693816589</v>
      </c>
    </row>
    <row r="51" spans="2:7" x14ac:dyDescent="0.25">
      <c r="B51" s="32" t="s">
        <v>327</v>
      </c>
      <c r="C51" s="33">
        <f>C36</f>
        <v>44286</v>
      </c>
      <c r="D51" s="33">
        <f t="shared" ref="D51:G51" si="10">D36</f>
        <v>44651</v>
      </c>
      <c r="E51" s="33">
        <f t="shared" si="10"/>
        <v>45016</v>
      </c>
      <c r="F51" s="33">
        <f t="shared" si="10"/>
        <v>45382</v>
      </c>
      <c r="G51" s="33">
        <f t="shared" si="10"/>
        <v>45747</v>
      </c>
    </row>
    <row r="53" spans="2:7" x14ac:dyDescent="0.25">
      <c r="B53" s="72" t="s">
        <v>324</v>
      </c>
      <c r="C53" s="98"/>
      <c r="D53" s="98">
        <f>D47</f>
        <v>0.11961517936380174</v>
      </c>
      <c r="E53" s="98">
        <f t="shared" ref="E53:G53" si="11">E47</f>
        <v>-4.2959603222892127E-2</v>
      </c>
      <c r="F53" s="98">
        <f t="shared" si="11"/>
        <v>0.21865373081842204</v>
      </c>
      <c r="G53" s="98">
        <f t="shared" si="11"/>
        <v>0.16325217451253002</v>
      </c>
    </row>
    <row r="54" spans="2:7" x14ac:dyDescent="0.25">
      <c r="B54" s="84" t="s">
        <v>318</v>
      </c>
      <c r="C54" s="84"/>
      <c r="D54" s="99">
        <f>D34</f>
        <v>0.56198893489683011</v>
      </c>
      <c r="E54" s="99">
        <f t="shared" ref="E54:G54" si="12">E34</f>
        <v>0.63512342498477681</v>
      </c>
      <c r="F54" s="99">
        <f t="shared" si="12"/>
        <v>0.63212473888391529</v>
      </c>
      <c r="G54" s="99">
        <f t="shared" si="12"/>
        <v>0.60374298312064179</v>
      </c>
    </row>
    <row r="56" spans="2:7" x14ac:dyDescent="0.25">
      <c r="B56" s="82" t="s">
        <v>328</v>
      </c>
      <c r="C56" s="82"/>
      <c r="D56" s="82">
        <f>D53*D54</f>
        <v>6.722240724815623E-2</v>
      </c>
      <c r="E56" s="82">
        <f t="shared" ref="E56:G56" si="13">E53*E54</f>
        <v>-2.7284650334910305E-2</v>
      </c>
      <c r="F56" s="82">
        <f t="shared" si="13"/>
        <v>0.13821643249958893</v>
      </c>
      <c r="G56" s="82">
        <f t="shared" si="13"/>
        <v>9.8562354841126479E-2</v>
      </c>
    </row>
    <row r="57" spans="2:7" x14ac:dyDescent="0.25">
      <c r="F57" s="83" t="s">
        <v>325</v>
      </c>
      <c r="G57" s="49">
        <f>AVERAGE(D56:G56)</f>
        <v>6.9179136063490326E-2</v>
      </c>
    </row>
    <row r="58" spans="2:7" x14ac:dyDescent="0.25">
      <c r="F58" s="83" t="s">
        <v>326</v>
      </c>
      <c r="G58" s="49">
        <f>MEDIAN(D56:G56)</f>
        <v>8.2892381044641361E-2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264C-81EE-43F2-B57B-75DBB9F2E2B5}">
  <sheetPr>
    <tabColor theme="2" tint="-0.499984740745262"/>
  </sheetPr>
  <dimension ref="B2:H43"/>
  <sheetViews>
    <sheetView showGridLines="0" tabSelected="1" topLeftCell="A4" workbookViewId="0">
      <selection activeCell="E31" sqref="E31"/>
    </sheetView>
  </sheetViews>
  <sheetFormatPr defaultRowHeight="15" x14ac:dyDescent="0.25"/>
  <cols>
    <col min="1" max="1" width="1.85546875" customWidth="1"/>
    <col min="2" max="2" width="34.42578125" bestFit="1" customWidth="1"/>
    <col min="3" max="3" width="13.28515625" bestFit="1" customWidth="1"/>
    <col min="4" max="4" width="10.7109375" bestFit="1" customWidth="1"/>
    <col min="5" max="5" width="12.28515625" bestFit="1" customWidth="1"/>
    <col min="6" max="8" width="10.7109375" bestFit="1" customWidth="1"/>
  </cols>
  <sheetData>
    <row r="2" spans="2:8" x14ac:dyDescent="0.25">
      <c r="B2" s="32" t="s">
        <v>329</v>
      </c>
      <c r="C2" s="39">
        <f>'Intrinsic Growth'!G36</f>
        <v>45747</v>
      </c>
      <c r="D2" s="41">
        <f>C2+365</f>
        <v>46112</v>
      </c>
      <c r="E2" s="41">
        <f t="shared" ref="E2:H2" si="0">D2+365</f>
        <v>46477</v>
      </c>
      <c r="F2" s="41">
        <f t="shared" si="0"/>
        <v>46842</v>
      </c>
      <c r="G2" s="41">
        <f t="shared" si="0"/>
        <v>47207</v>
      </c>
      <c r="H2" s="41">
        <f t="shared" si="0"/>
        <v>47572</v>
      </c>
    </row>
    <row r="4" spans="2:8" x14ac:dyDescent="0.25">
      <c r="B4" s="72" t="s">
        <v>317</v>
      </c>
      <c r="C4" s="100">
        <f>'Intrinsic Growth'!G41</f>
        <v>62165</v>
      </c>
      <c r="D4" s="97">
        <f>C4*(1+$C$16)</f>
        <v>67318.004867640135</v>
      </c>
      <c r="E4" s="97">
        <f t="shared" ref="E4:H4" si="1">D4*(1+$C$16)</f>
        <v>72898.154578293586</v>
      </c>
      <c r="F4" s="97">
        <f t="shared" si="1"/>
        <v>78940.856185048659</v>
      </c>
      <c r="G4" s="97">
        <f t="shared" si="1"/>
        <v>85484.451715929943</v>
      </c>
      <c r="H4" s="97">
        <f t="shared" si="1"/>
        <v>92570.46146095905</v>
      </c>
    </row>
    <row r="5" spans="2:8" x14ac:dyDescent="0.25">
      <c r="B5" s="84" t="s">
        <v>215</v>
      </c>
      <c r="C5" s="101">
        <v>0.3</v>
      </c>
      <c r="D5" s="96">
        <v>0.3</v>
      </c>
      <c r="E5" s="96">
        <v>0.3</v>
      </c>
      <c r="F5" s="96">
        <v>0.3</v>
      </c>
      <c r="G5" s="96">
        <v>0.3</v>
      </c>
      <c r="H5" s="96">
        <v>0.3</v>
      </c>
    </row>
    <row r="6" spans="2:8" x14ac:dyDescent="0.25">
      <c r="B6" s="84" t="s">
        <v>322</v>
      </c>
      <c r="C6" s="102">
        <f>C4*(1-C5)</f>
        <v>43515.5</v>
      </c>
      <c r="D6" s="93">
        <f>D4*(1-D5)</f>
        <v>47122.603407348091</v>
      </c>
      <c r="E6" s="93">
        <f t="shared" ref="E6:H6" si="2">E4*(1-E5)</f>
        <v>51028.708204805509</v>
      </c>
      <c r="F6" s="93">
        <f t="shared" si="2"/>
        <v>55258.59932953406</v>
      </c>
      <c r="G6" s="93">
        <f t="shared" si="2"/>
        <v>59839.116201150959</v>
      </c>
      <c r="H6" s="93">
        <f t="shared" si="2"/>
        <v>64799.323022671328</v>
      </c>
    </row>
    <row r="7" spans="2:8" x14ac:dyDescent="0.25">
      <c r="B7" s="80" t="s">
        <v>330</v>
      </c>
      <c r="C7" s="103">
        <f>'Intrinsic Growth'!G49</f>
        <v>0.14143367693816589</v>
      </c>
      <c r="D7" s="104">
        <f>C7</f>
        <v>0.14143367693816589</v>
      </c>
      <c r="E7" s="104">
        <f t="shared" ref="E7:H7" si="3">D7</f>
        <v>0.14143367693816589</v>
      </c>
      <c r="F7" s="104">
        <f t="shared" si="3"/>
        <v>0.14143367693816589</v>
      </c>
      <c r="G7" s="104">
        <f t="shared" si="3"/>
        <v>0.14143367693816589</v>
      </c>
      <c r="H7" s="104">
        <f t="shared" si="3"/>
        <v>0.14143367693816589</v>
      </c>
    </row>
    <row r="8" spans="2:8" x14ac:dyDescent="0.25">
      <c r="B8" s="84"/>
      <c r="C8" s="105"/>
      <c r="D8" s="84"/>
      <c r="E8" s="84"/>
      <c r="F8" s="84"/>
      <c r="G8" s="84"/>
      <c r="H8" s="84"/>
    </row>
    <row r="9" spans="2:8" x14ac:dyDescent="0.25">
      <c r="B9" s="80" t="s">
        <v>331</v>
      </c>
      <c r="C9" s="102">
        <f>C6*(1-C7)</f>
        <v>37360.942831197244</v>
      </c>
      <c r="D9" s="93">
        <f>D6*(1-D7)</f>
        <v>40457.880340547905</v>
      </c>
      <c r="E9" s="93">
        <f t="shared" ref="E9:H9" si="4">E6*(1-E7)</f>
        <v>43811.530373995112</v>
      </c>
      <c r="F9" s="93">
        <f t="shared" si="4"/>
        <v>47443.17244390519</v>
      </c>
      <c r="G9" s="93">
        <f t="shared" si="4"/>
        <v>51375.849972092008</v>
      </c>
      <c r="H9" s="93">
        <f t="shared" si="4"/>
        <v>55634.516504470979</v>
      </c>
    </row>
    <row r="10" spans="2:8" x14ac:dyDescent="0.25">
      <c r="B10" s="84"/>
      <c r="C10" s="105"/>
      <c r="D10" s="84"/>
      <c r="E10" s="84"/>
      <c r="F10" s="84"/>
      <c r="G10" s="84"/>
      <c r="H10" s="84"/>
    </row>
    <row r="11" spans="2:8" x14ac:dyDescent="0.25">
      <c r="B11" s="84" t="s">
        <v>332</v>
      </c>
      <c r="C11" s="105"/>
      <c r="D11" s="106">
        <v>0.5</v>
      </c>
      <c r="E11" s="84">
        <f>D11+1</f>
        <v>1.5</v>
      </c>
      <c r="F11" s="84">
        <f t="shared" ref="F11:H11" si="5">E11+1</f>
        <v>2.5</v>
      </c>
      <c r="G11" s="84">
        <f t="shared" si="5"/>
        <v>3.5</v>
      </c>
      <c r="H11" s="84">
        <f t="shared" si="5"/>
        <v>4.5</v>
      </c>
    </row>
    <row r="12" spans="2:8" x14ac:dyDescent="0.25">
      <c r="B12" s="84" t="s">
        <v>333</v>
      </c>
      <c r="C12" s="105"/>
      <c r="D12" s="107">
        <f>1/(1+$C$18)^D11</f>
        <v>0.92542523001487709</v>
      </c>
      <c r="E12" s="107">
        <f t="shared" ref="E12:H12" si="6">1/(1+$C$18)^E11</f>
        <v>0.7925451391483973</v>
      </c>
      <c r="F12" s="107">
        <f t="shared" si="6"/>
        <v>0.67874505385773265</v>
      </c>
      <c r="G12" s="107">
        <f t="shared" si="6"/>
        <v>0.58128531156138397</v>
      </c>
      <c r="H12" s="107">
        <f t="shared" si="6"/>
        <v>0.49781963274216146</v>
      </c>
    </row>
    <row r="13" spans="2:8" ht="6.75" customHeight="1" x14ac:dyDescent="0.25">
      <c r="C13" s="85"/>
    </row>
    <row r="14" spans="2:8" ht="15.75" thickBot="1" x14ac:dyDescent="0.3">
      <c r="B14" s="30" t="s">
        <v>334</v>
      </c>
      <c r="C14" s="87"/>
      <c r="D14" s="89">
        <f>D9*D12</f>
        <v>37440.743220065917</v>
      </c>
      <c r="E14" s="89">
        <f t="shared" ref="E14:H14" si="7">E9*E12</f>
        <v>34722.615436562191</v>
      </c>
      <c r="F14" s="89">
        <f t="shared" si="7"/>
        <v>32201.818635620126</v>
      </c>
      <c r="G14" s="89">
        <f t="shared" si="7"/>
        <v>29864.026957758422</v>
      </c>
      <c r="H14" s="89">
        <f t="shared" si="7"/>
        <v>27695.954574043462</v>
      </c>
    </row>
    <row r="16" spans="2:8" x14ac:dyDescent="0.25">
      <c r="B16" s="108" t="s">
        <v>335</v>
      </c>
      <c r="C16" s="109">
        <f>'Intrinsic Growth'!G58</f>
        <v>8.2892381044641361E-2</v>
      </c>
    </row>
    <row r="17" spans="2:5" x14ac:dyDescent="0.25">
      <c r="B17" s="86" t="s">
        <v>336</v>
      </c>
      <c r="C17" s="103">
        <v>0.04</v>
      </c>
    </row>
    <row r="18" spans="2:5" x14ac:dyDescent="0.25">
      <c r="B18" s="86" t="s">
        <v>308</v>
      </c>
      <c r="C18" s="103">
        <f>WACC!L22</f>
        <v>0.16766248924226779</v>
      </c>
    </row>
    <row r="20" spans="2:5" x14ac:dyDescent="0.25">
      <c r="B20" s="32" t="s">
        <v>337</v>
      </c>
      <c r="C20" s="32"/>
    </row>
    <row r="22" spans="2:5" x14ac:dyDescent="0.25">
      <c r="B22" s="72" t="s">
        <v>338</v>
      </c>
      <c r="C22" s="110">
        <f>H9*(1+C16)</f>
        <v>60246.194045793978</v>
      </c>
    </row>
    <row r="23" spans="2:5" x14ac:dyDescent="0.25">
      <c r="B23" s="84" t="s">
        <v>308</v>
      </c>
      <c r="C23" s="99">
        <f>C18</f>
        <v>0.16766248924226779</v>
      </c>
      <c r="E23" s="27"/>
    </row>
    <row r="24" spans="2:5" x14ac:dyDescent="0.25">
      <c r="B24" s="84" t="s">
        <v>339</v>
      </c>
      <c r="C24" s="99">
        <f>C17</f>
        <v>0.04</v>
      </c>
    </row>
    <row r="25" spans="2:5" ht="6" customHeight="1" x14ac:dyDescent="0.25"/>
    <row r="26" spans="2:5" x14ac:dyDescent="0.25">
      <c r="B26" s="80" t="s">
        <v>340</v>
      </c>
      <c r="C26" s="90">
        <f>C22/(C23-C24)</f>
        <v>471917.74501172005</v>
      </c>
    </row>
    <row r="28" spans="2:5" x14ac:dyDescent="0.25">
      <c r="B28" s="32" t="s">
        <v>346</v>
      </c>
      <c r="C28" s="32"/>
    </row>
    <row r="30" spans="2:5" x14ac:dyDescent="0.25">
      <c r="B30" s="72" t="s">
        <v>341</v>
      </c>
      <c r="C30" s="110">
        <f>SUM(D14:H14)</f>
        <v>161925.1588240501</v>
      </c>
    </row>
    <row r="31" spans="2:5" x14ac:dyDescent="0.25">
      <c r="B31" s="84" t="s">
        <v>342</v>
      </c>
      <c r="C31" s="111">
        <f>C26*H12</f>
        <v>234929.91850624347</v>
      </c>
    </row>
    <row r="32" spans="2:5" x14ac:dyDescent="0.25">
      <c r="B32" s="80" t="s">
        <v>343</v>
      </c>
      <c r="C32" s="90">
        <f>SUM(C30:C31)</f>
        <v>396855.0773302936</v>
      </c>
    </row>
    <row r="33" spans="2:4" x14ac:dyDescent="0.25">
      <c r="B33" s="2"/>
      <c r="C33" s="88"/>
    </row>
    <row r="34" spans="2:4" x14ac:dyDescent="0.25">
      <c r="B34" s="112" t="s">
        <v>344</v>
      </c>
      <c r="C34" s="113">
        <f>'Data Sheet'!K69</f>
        <v>15463</v>
      </c>
    </row>
    <row r="35" spans="2:4" x14ac:dyDescent="0.25">
      <c r="B35" s="84" t="s">
        <v>345</v>
      </c>
      <c r="C35" s="114">
        <f>SUM('Historical Financial Statement'!L54:L55)</f>
        <v>0</v>
      </c>
    </row>
    <row r="36" spans="2:4" x14ac:dyDescent="0.25">
      <c r="B36" s="80" t="s">
        <v>347</v>
      </c>
      <c r="C36" s="90">
        <f>C32+C34-C35</f>
        <v>412318.0773302936</v>
      </c>
    </row>
    <row r="37" spans="2:4" x14ac:dyDescent="0.25">
      <c r="B37" s="115" t="s">
        <v>348</v>
      </c>
      <c r="C37" s="116">
        <f>'Data Sheet'!B6</f>
        <v>361.80875087764088</v>
      </c>
    </row>
    <row r="38" spans="2:4" ht="6" customHeight="1" x14ac:dyDescent="0.25">
      <c r="B38" s="2"/>
      <c r="C38" s="88"/>
    </row>
    <row r="39" spans="2:4" x14ac:dyDescent="0.25">
      <c r="B39" s="80" t="s">
        <v>349</v>
      </c>
      <c r="C39" s="90">
        <f>C36/C37</f>
        <v>1139.6022797406974</v>
      </c>
    </row>
    <row r="41" spans="2:4" x14ac:dyDescent="0.25">
      <c r="B41" s="91" t="s">
        <v>350</v>
      </c>
      <c r="C41" s="90">
        <v>3169</v>
      </c>
    </row>
    <row r="42" spans="2:4" x14ac:dyDescent="0.25">
      <c r="B42" s="91" t="s">
        <v>351</v>
      </c>
      <c r="C42" s="92">
        <f>C41/C39</f>
        <v>2.780794717891462</v>
      </c>
      <c r="D42" s="2" t="str">
        <f>IF(C41&gt;C39,"Premium","Discount")</f>
        <v>Premium</v>
      </c>
    </row>
    <row r="43" spans="2:4" x14ac:dyDescent="0.25">
      <c r="C4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82DB-A864-444C-AF5C-C46EDA619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5BA8-5350-431C-87B7-120B30A1500D}">
  <dimension ref="B3:F30"/>
  <sheetViews>
    <sheetView workbookViewId="0">
      <selection activeCell="F10" sqref="F10"/>
    </sheetView>
  </sheetViews>
  <sheetFormatPr defaultRowHeight="15" x14ac:dyDescent="0.25"/>
  <cols>
    <col min="5" max="5" width="14" bestFit="1" customWidth="1"/>
  </cols>
  <sheetData>
    <row r="3" spans="2:6" x14ac:dyDescent="0.25">
      <c r="B3" t="s">
        <v>288</v>
      </c>
    </row>
    <row r="5" spans="2:6" x14ac:dyDescent="0.25">
      <c r="B5" t="s">
        <v>113</v>
      </c>
      <c r="C5" t="s">
        <v>289</v>
      </c>
    </row>
    <row r="6" spans="2:6" x14ac:dyDescent="0.25">
      <c r="B6">
        <v>2000</v>
      </c>
      <c r="C6" s="24">
        <v>-0.14649999999999999</v>
      </c>
      <c r="E6" t="s">
        <v>290</v>
      </c>
      <c r="F6" s="5">
        <f>AVERAGE(C6:C30)</f>
        <v>0.15334799999999998</v>
      </c>
    </row>
    <row r="7" spans="2:6" x14ac:dyDescent="0.25">
      <c r="B7">
        <v>2001</v>
      </c>
      <c r="C7" s="24">
        <v>-0.1618</v>
      </c>
      <c r="E7" t="s">
        <v>291</v>
      </c>
      <c r="F7" s="5">
        <v>1.38E-2</v>
      </c>
    </row>
    <row r="8" spans="2:6" x14ac:dyDescent="0.25">
      <c r="B8">
        <v>2002</v>
      </c>
      <c r="C8" s="24">
        <v>3.2500000000000001E-2</v>
      </c>
      <c r="E8" s="2" t="s">
        <v>292</v>
      </c>
      <c r="F8" s="16">
        <f>F6+F7</f>
        <v>0.16714799999999999</v>
      </c>
    </row>
    <row r="9" spans="2:6" x14ac:dyDescent="0.25">
      <c r="B9">
        <v>2003</v>
      </c>
      <c r="C9" s="24">
        <v>0.71900000000000008</v>
      </c>
    </row>
    <row r="10" spans="2:6" x14ac:dyDescent="0.25">
      <c r="B10">
        <v>2004</v>
      </c>
      <c r="C10" s="24">
        <v>0.10679999999999999</v>
      </c>
    </row>
    <row r="11" spans="2:6" x14ac:dyDescent="0.25">
      <c r="B11">
        <v>2005</v>
      </c>
      <c r="C11" s="24">
        <v>0.36340000000000006</v>
      </c>
    </row>
    <row r="12" spans="2:6" x14ac:dyDescent="0.25">
      <c r="B12">
        <v>2006</v>
      </c>
      <c r="C12" s="24">
        <v>0.39829999999999999</v>
      </c>
    </row>
    <row r="13" spans="2:6" x14ac:dyDescent="0.25">
      <c r="B13">
        <v>2007</v>
      </c>
      <c r="C13" s="24">
        <v>0.54770000000000008</v>
      </c>
    </row>
    <row r="14" spans="2:6" x14ac:dyDescent="0.25">
      <c r="B14">
        <v>2008</v>
      </c>
      <c r="C14" s="24">
        <v>-0.51790000000000003</v>
      </c>
    </row>
    <row r="15" spans="2:6" x14ac:dyDescent="0.25">
      <c r="B15">
        <v>2009</v>
      </c>
      <c r="C15" s="24">
        <v>0.75760000000000005</v>
      </c>
    </row>
    <row r="16" spans="2:6" x14ac:dyDescent="0.25">
      <c r="B16">
        <v>2010</v>
      </c>
      <c r="C16" s="24">
        <v>0.17949999999999999</v>
      </c>
    </row>
    <row r="17" spans="2:3" x14ac:dyDescent="0.25">
      <c r="B17">
        <v>2011</v>
      </c>
      <c r="C17" s="24">
        <v>-0.2462</v>
      </c>
    </row>
    <row r="18" spans="2:3" x14ac:dyDescent="0.25">
      <c r="B18">
        <v>2012</v>
      </c>
      <c r="C18" s="24">
        <v>0.27699999999999997</v>
      </c>
    </row>
    <row r="19" spans="2:3" x14ac:dyDescent="0.25">
      <c r="B19">
        <v>2013</v>
      </c>
      <c r="C19" s="24">
        <v>6.7599999999999993E-2</v>
      </c>
    </row>
    <row r="20" spans="2:3" x14ac:dyDescent="0.25">
      <c r="B20">
        <v>2014</v>
      </c>
      <c r="C20" s="24">
        <v>0.31390000000000001</v>
      </c>
    </row>
    <row r="21" spans="2:3" x14ac:dyDescent="0.25">
      <c r="B21">
        <v>2015</v>
      </c>
      <c r="C21" s="24">
        <v>-4.0599999999999997E-2</v>
      </c>
    </row>
    <row r="22" spans="2:3" x14ac:dyDescent="0.25">
      <c r="B22">
        <v>2016</v>
      </c>
      <c r="C22" s="24">
        <v>3.0099999999999998E-2</v>
      </c>
    </row>
    <row r="23" spans="2:3" x14ac:dyDescent="0.25">
      <c r="B23">
        <v>2017</v>
      </c>
      <c r="C23" s="24">
        <v>0.28649999999999998</v>
      </c>
    </row>
    <row r="24" spans="2:3" x14ac:dyDescent="0.25">
      <c r="B24">
        <v>2018</v>
      </c>
      <c r="C24" s="24">
        <v>3.15E-2</v>
      </c>
    </row>
    <row r="25" spans="2:3" x14ac:dyDescent="0.25">
      <c r="B25">
        <v>2019</v>
      </c>
      <c r="C25" s="24">
        <v>0.1202</v>
      </c>
    </row>
    <row r="26" spans="2:3" x14ac:dyDescent="0.25">
      <c r="B26">
        <v>2020</v>
      </c>
      <c r="C26" s="24">
        <v>0.14899999999999999</v>
      </c>
    </row>
    <row r="27" spans="2:3" x14ac:dyDescent="0.25">
      <c r="B27">
        <v>2021</v>
      </c>
      <c r="C27" s="24">
        <v>0.2412</v>
      </c>
    </row>
    <row r="28" spans="2:3" x14ac:dyDescent="0.25">
      <c r="B28">
        <v>2022</v>
      </c>
      <c r="C28" s="24">
        <v>4.3200000000000002E-2</v>
      </c>
    </row>
    <row r="29" spans="2:3" x14ac:dyDescent="0.25">
      <c r="B29">
        <v>2023</v>
      </c>
      <c r="C29" s="24">
        <v>0.19420000000000001</v>
      </c>
    </row>
    <row r="30" spans="2:3" x14ac:dyDescent="0.25">
      <c r="B30">
        <v>2024</v>
      </c>
      <c r="C30" s="24">
        <v>8.7499999999999994E-2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0588-BA34-445D-B36D-0ED70868094F}">
  <dimension ref="B2:BR29"/>
  <sheetViews>
    <sheetView topLeftCell="AP1" workbookViewId="0">
      <selection activeCell="BG2" sqref="BG2"/>
    </sheetView>
  </sheetViews>
  <sheetFormatPr defaultRowHeight="15" x14ac:dyDescent="0.25"/>
  <cols>
    <col min="2" max="2" width="10.42578125" bestFit="1" customWidth="1"/>
    <col min="3" max="3" width="12.28515625" bestFit="1" customWidth="1"/>
    <col min="6" max="6" width="12.7109375" bestFit="1" customWidth="1"/>
  </cols>
  <sheetData>
    <row r="2" spans="2:67" x14ac:dyDescent="0.25">
      <c r="B2" t="s">
        <v>233</v>
      </c>
      <c r="F2" t="s">
        <v>257</v>
      </c>
      <c r="AG2" t="s">
        <v>235</v>
      </c>
      <c r="AT2" t="s">
        <v>236</v>
      </c>
      <c r="BG2" t="s">
        <v>283</v>
      </c>
    </row>
    <row r="3" spans="2:67" x14ac:dyDescent="0.25">
      <c r="T3" t="s">
        <v>281</v>
      </c>
    </row>
    <row r="4" spans="2:67" x14ac:dyDescent="0.25">
      <c r="B4" t="s">
        <v>254</v>
      </c>
      <c r="C4" t="s">
        <v>255</v>
      </c>
      <c r="D4" t="s">
        <v>256</v>
      </c>
      <c r="F4" t="s">
        <v>254</v>
      </c>
      <c r="G4" t="s">
        <v>255</v>
      </c>
      <c r="H4" t="s">
        <v>256</v>
      </c>
      <c r="J4" t="s">
        <v>221</v>
      </c>
      <c r="K4" s="59">
        <f>K23</f>
        <v>0.74488831173541037</v>
      </c>
      <c r="T4" t="s">
        <v>255</v>
      </c>
      <c r="U4" t="s">
        <v>256</v>
      </c>
      <c r="W4" t="s">
        <v>221</v>
      </c>
      <c r="X4" s="59">
        <f>X23</f>
        <v>1.0303356252160298</v>
      </c>
      <c r="AG4" t="s">
        <v>255</v>
      </c>
      <c r="AH4" t="s">
        <v>256</v>
      </c>
      <c r="AJ4" t="s">
        <v>221</v>
      </c>
      <c r="AK4" s="25">
        <f>AK24</f>
        <v>1.0417354340279399</v>
      </c>
      <c r="AT4" t="s">
        <v>255</v>
      </c>
      <c r="AU4" t="s">
        <v>256</v>
      </c>
      <c r="AW4" t="s">
        <v>221</v>
      </c>
      <c r="AX4" s="25">
        <f>AX23</f>
        <v>1.2098553820762268</v>
      </c>
      <c r="BG4" t="s">
        <v>255</v>
      </c>
      <c r="BH4" t="s">
        <v>256</v>
      </c>
      <c r="BJ4" t="s">
        <v>282</v>
      </c>
      <c r="BK4" s="25">
        <f>BK23</f>
        <v>0.91903685371750221</v>
      </c>
    </row>
    <row r="5" spans="2:67" x14ac:dyDescent="0.25">
      <c r="B5" s="54">
        <v>45658</v>
      </c>
      <c r="C5" s="55">
        <v>3948.6</v>
      </c>
      <c r="D5" s="5">
        <v>0</v>
      </c>
      <c r="F5" s="54">
        <v>45658</v>
      </c>
      <c r="G5" s="55">
        <v>22786.9</v>
      </c>
      <c r="H5" s="5">
        <v>0</v>
      </c>
      <c r="T5" s="55">
        <v>1793.05</v>
      </c>
      <c r="U5" s="5">
        <v>0</v>
      </c>
      <c r="AG5" s="55">
        <v>1691</v>
      </c>
      <c r="AH5" s="5">
        <v>0</v>
      </c>
      <c r="AT5">
        <v>280.5</v>
      </c>
      <c r="AU5" s="5">
        <v>0</v>
      </c>
      <c r="BG5" s="55">
        <v>5602.75</v>
      </c>
      <c r="BH5" s="5">
        <v>0</v>
      </c>
    </row>
    <row r="6" spans="2:67" x14ac:dyDescent="0.25">
      <c r="B6" s="54">
        <v>45627</v>
      </c>
      <c r="C6" s="55">
        <v>3968.78</v>
      </c>
      <c r="D6" s="24">
        <f>C6/C5-1</f>
        <v>5.1106721369600372E-3</v>
      </c>
      <c r="F6" s="54">
        <v>45627</v>
      </c>
      <c r="G6" s="55">
        <v>23460.45</v>
      </c>
      <c r="H6" s="24">
        <f>G6/G5-1</f>
        <v>2.9558649926054059E-2</v>
      </c>
      <c r="J6" t="s">
        <v>258</v>
      </c>
      <c r="T6" s="55">
        <v>1835.2</v>
      </c>
      <c r="U6" s="52">
        <f>T6/T5-1</f>
        <v>2.3507431471515128E-2</v>
      </c>
      <c r="W6" t="s">
        <v>258</v>
      </c>
      <c r="AG6" s="55">
        <v>1829.3</v>
      </c>
      <c r="AH6" s="24">
        <f>AG6/AG5-1</f>
        <v>8.1785925487876998E-2</v>
      </c>
      <c r="AT6">
        <v>289.10000000000002</v>
      </c>
      <c r="AU6" s="24">
        <f>AT6/AT5-1</f>
        <v>3.0659536541889576E-2</v>
      </c>
      <c r="AW6" t="s">
        <v>258</v>
      </c>
      <c r="BG6" s="55">
        <v>5510</v>
      </c>
      <c r="BH6" s="24">
        <f>BG6/BG5-1</f>
        <v>-1.6554370621569725E-2</v>
      </c>
      <c r="BJ6" t="s">
        <v>258</v>
      </c>
    </row>
    <row r="7" spans="2:67" ht="15.75" thickBot="1" x14ac:dyDescent="0.3">
      <c r="B7" s="54">
        <v>45597</v>
      </c>
      <c r="C7" s="55">
        <v>3851.85</v>
      </c>
      <c r="D7" s="24">
        <f t="shared" ref="D7:D29" si="0">C7/C6-1</f>
        <v>-2.9462454457037213E-2</v>
      </c>
      <c r="F7" s="54">
        <v>45597</v>
      </c>
      <c r="G7" s="55">
        <v>23263.15</v>
      </c>
      <c r="H7" s="24">
        <f t="shared" ref="H7:H29" si="1">G7/G6-1</f>
        <v>-8.4098983608583699E-3</v>
      </c>
      <c r="T7" s="55">
        <v>1718</v>
      </c>
      <c r="U7" s="52">
        <f t="shared" ref="U7:U29" si="2">T7/T6-1</f>
        <v>-6.3862249346120392E-2</v>
      </c>
      <c r="AG7" s="55">
        <v>1739.16</v>
      </c>
      <c r="AH7" s="24">
        <f t="shared" ref="AH7:AH29" si="3">AG7/AG6-1</f>
        <v>-4.9275679221560065E-2</v>
      </c>
      <c r="AJ7" t="s">
        <v>258</v>
      </c>
      <c r="AT7">
        <v>267.10000000000002</v>
      </c>
      <c r="AU7" s="24">
        <f t="shared" ref="AU7:AU29" si="4">AT7/AT6-1</f>
        <v>-7.6098235904531353E-2</v>
      </c>
      <c r="BG7" s="55">
        <v>5572.65</v>
      </c>
      <c r="BH7" s="24">
        <f t="shared" ref="BH7:BH29" si="5">BG7/BG6-1</f>
        <v>1.137023593466413E-2</v>
      </c>
    </row>
    <row r="8" spans="2:67" ht="15.75" thickBot="1" x14ac:dyDescent="0.3">
      <c r="B8" s="54">
        <v>45566</v>
      </c>
      <c r="C8" s="55">
        <v>3897.86</v>
      </c>
      <c r="D8" s="24">
        <f t="shared" si="0"/>
        <v>1.1944909588898822E-2</v>
      </c>
      <c r="F8" s="54">
        <v>45566</v>
      </c>
      <c r="G8" s="55">
        <v>24073.9</v>
      </c>
      <c r="H8" s="24">
        <f t="shared" si="1"/>
        <v>3.4851256171240852E-2</v>
      </c>
      <c r="J8" s="58" t="s">
        <v>259</v>
      </c>
      <c r="K8" s="58"/>
      <c r="T8" s="55">
        <v>1746.5</v>
      </c>
      <c r="U8" s="52">
        <f t="shared" si="2"/>
        <v>1.6589057043073341E-2</v>
      </c>
      <c r="W8" s="58" t="s">
        <v>259</v>
      </c>
      <c r="X8" s="58"/>
      <c r="AG8" s="55">
        <v>1737.16</v>
      </c>
      <c r="AH8" s="24">
        <f t="shared" si="3"/>
        <v>-1.1499804503323219E-3</v>
      </c>
      <c r="AT8">
        <v>260.14999999999998</v>
      </c>
      <c r="AU8" s="24">
        <f t="shared" si="4"/>
        <v>-2.6020217147136093E-2</v>
      </c>
      <c r="AW8" s="58" t="s">
        <v>259</v>
      </c>
      <c r="AX8" s="58"/>
      <c r="BG8" s="55">
        <v>5621.2</v>
      </c>
      <c r="BH8" s="24">
        <f t="shared" si="5"/>
        <v>8.7121925834208191E-3</v>
      </c>
      <c r="BJ8" s="58" t="s">
        <v>259</v>
      </c>
      <c r="BK8" s="58"/>
    </row>
    <row r="9" spans="2:67" x14ac:dyDescent="0.25">
      <c r="B9" s="54">
        <v>45536</v>
      </c>
      <c r="C9" s="55">
        <v>4227.5</v>
      </c>
      <c r="D9" s="24">
        <f t="shared" si="0"/>
        <v>8.4569481715607964E-2</v>
      </c>
      <c r="F9" s="54">
        <v>45536</v>
      </c>
      <c r="G9" s="55">
        <v>24753.15</v>
      </c>
      <c r="H9" s="24">
        <f t="shared" si="1"/>
        <v>2.8215204017629114E-2</v>
      </c>
      <c r="J9" t="s">
        <v>260</v>
      </c>
      <c r="K9">
        <v>0.66105801769110206</v>
      </c>
      <c r="T9" s="55">
        <v>1867.4</v>
      </c>
      <c r="U9" s="52">
        <f t="shared" si="2"/>
        <v>6.9224162610936224E-2</v>
      </c>
      <c r="W9" t="s">
        <v>260</v>
      </c>
      <c r="X9">
        <v>0.5094123562721623</v>
      </c>
      <c r="AG9" s="55">
        <v>1721.4</v>
      </c>
      <c r="AH9" s="24">
        <f t="shared" si="3"/>
        <v>-9.0722788919845865E-3</v>
      </c>
      <c r="AJ9" s="58" t="s">
        <v>259</v>
      </c>
      <c r="AK9" s="58"/>
      <c r="AT9">
        <v>256.63</v>
      </c>
      <c r="AU9" s="24">
        <f t="shared" si="4"/>
        <v>-1.3530655391120416E-2</v>
      </c>
      <c r="AW9" t="s">
        <v>260</v>
      </c>
      <c r="AX9">
        <v>0.74430464559149623</v>
      </c>
      <c r="BG9" s="55">
        <v>5989.75</v>
      </c>
      <c r="BH9" s="24">
        <f t="shared" si="5"/>
        <v>6.5564292321924178E-2</v>
      </c>
      <c r="BJ9" t="s">
        <v>260</v>
      </c>
      <c r="BK9">
        <v>0.52382250717447909</v>
      </c>
    </row>
    <row r="10" spans="2:67" x14ac:dyDescent="0.25">
      <c r="B10" s="54">
        <v>45505</v>
      </c>
      <c r="C10" s="55">
        <v>4110.5</v>
      </c>
      <c r="D10" s="24">
        <f t="shared" si="0"/>
        <v>-2.7675931401537568E-2</v>
      </c>
      <c r="F10" s="54">
        <v>45505</v>
      </c>
      <c r="G10" s="55">
        <v>23893.7</v>
      </c>
      <c r="H10" s="24">
        <f t="shared" si="1"/>
        <v>-3.4720833510078597E-2</v>
      </c>
      <c r="J10" t="s">
        <v>261</v>
      </c>
      <c r="K10">
        <v>0.43699770275368943</v>
      </c>
      <c r="T10" s="55">
        <v>1718.55</v>
      </c>
      <c r="U10" s="52">
        <f t="shared" si="2"/>
        <v>-7.970975688122528E-2</v>
      </c>
      <c r="W10" t="s">
        <v>261</v>
      </c>
      <c r="X10">
        <v>0.25950094872275642</v>
      </c>
      <c r="AG10" s="55">
        <v>1537</v>
      </c>
      <c r="AH10" s="24">
        <f t="shared" si="3"/>
        <v>-0.10712210991053794</v>
      </c>
      <c r="AJ10" t="s">
        <v>260</v>
      </c>
      <c r="AK10">
        <v>0.5931341407376467</v>
      </c>
      <c r="AT10">
        <v>240.12</v>
      </c>
      <c r="AU10" s="24">
        <f t="shared" si="4"/>
        <v>-6.4333865876943452E-2</v>
      </c>
      <c r="AW10" t="s">
        <v>261</v>
      </c>
      <c r="AX10">
        <v>0.55398940544908282</v>
      </c>
      <c r="BG10" s="55">
        <v>5257.05</v>
      </c>
      <c r="BH10" s="24">
        <f t="shared" si="5"/>
        <v>-0.12232563963437537</v>
      </c>
      <c r="BJ10" t="s">
        <v>261</v>
      </c>
      <c r="BK10">
        <v>0.27439001902255716</v>
      </c>
    </row>
    <row r="11" spans="2:67" x14ac:dyDescent="0.25">
      <c r="B11" s="54">
        <v>45474</v>
      </c>
      <c r="C11" s="55">
        <v>3884</v>
      </c>
      <c r="D11" s="24">
        <f t="shared" si="0"/>
        <v>-5.5102785549203226E-2</v>
      </c>
      <c r="F11" s="54">
        <v>45474</v>
      </c>
      <c r="G11" s="55">
        <v>23992.7</v>
      </c>
      <c r="H11" s="24">
        <f t="shared" si="1"/>
        <v>4.1433515947717492E-3</v>
      </c>
      <c r="J11" t="s">
        <v>262</v>
      </c>
      <c r="K11">
        <v>0.41251934200384988</v>
      </c>
      <c r="T11" s="55">
        <v>1559.5</v>
      </c>
      <c r="U11" s="52">
        <f t="shared" si="2"/>
        <v>-9.2548951150679293E-2</v>
      </c>
      <c r="W11" t="s">
        <v>262</v>
      </c>
      <c r="X11">
        <v>0.22730533779765888</v>
      </c>
      <c r="AG11" s="55">
        <v>1455</v>
      </c>
      <c r="AH11" s="24">
        <f t="shared" si="3"/>
        <v>-5.3350683148991496E-2</v>
      </c>
      <c r="AJ11" t="s">
        <v>261</v>
      </c>
      <c r="AK11">
        <v>0.35180810890858649</v>
      </c>
      <c r="AT11">
        <v>243.18</v>
      </c>
      <c r="AU11" s="24">
        <f t="shared" si="4"/>
        <v>1.2743628185907019E-2</v>
      </c>
      <c r="AW11" t="s">
        <v>262</v>
      </c>
      <c r="AX11">
        <v>0.53459764046860814</v>
      </c>
      <c r="BG11" s="55">
        <v>5320.35</v>
      </c>
      <c r="BH11" s="24">
        <f t="shared" si="5"/>
        <v>1.2040973549804601E-2</v>
      </c>
      <c r="BJ11" t="s">
        <v>262</v>
      </c>
      <c r="BK11">
        <v>0.24284175898005964</v>
      </c>
    </row>
    <row r="12" spans="2:67" x14ac:dyDescent="0.25">
      <c r="B12" s="54">
        <v>45444</v>
      </c>
      <c r="C12" s="55">
        <v>3591.5</v>
      </c>
      <c r="D12" s="24">
        <f t="shared" si="0"/>
        <v>-7.5308959835221456E-2</v>
      </c>
      <c r="F12" s="54">
        <v>45444</v>
      </c>
      <c r="G12" s="55">
        <v>21281.45</v>
      </c>
      <c r="H12" s="24">
        <f t="shared" si="1"/>
        <v>-0.11300312178287564</v>
      </c>
      <c r="J12" t="s">
        <v>263</v>
      </c>
      <c r="K12">
        <v>2.8894561011424114E-2</v>
      </c>
      <c r="T12" s="55">
        <v>1358.35</v>
      </c>
      <c r="U12" s="52">
        <f t="shared" si="2"/>
        <v>-0.1289836486053223</v>
      </c>
      <c r="W12" t="s">
        <v>263</v>
      </c>
      <c r="X12">
        <v>5.9481365392183426E-2</v>
      </c>
      <c r="AG12" s="55">
        <v>1235</v>
      </c>
      <c r="AH12" s="24">
        <f t="shared" si="3"/>
        <v>-0.15120274914089349</v>
      </c>
      <c r="AJ12" t="s">
        <v>262</v>
      </c>
      <c r="AK12">
        <v>0.32362585277417721</v>
      </c>
      <c r="AT12">
        <v>208.5</v>
      </c>
      <c r="AU12" s="24">
        <f t="shared" si="4"/>
        <v>-0.14261041204046387</v>
      </c>
      <c r="AW12" t="s">
        <v>263</v>
      </c>
      <c r="AX12">
        <v>3.7099217814494524E-2</v>
      </c>
      <c r="BG12" s="55">
        <v>4513.55</v>
      </c>
      <c r="BH12" s="24">
        <f t="shared" si="5"/>
        <v>-0.15164415874895454</v>
      </c>
      <c r="BJ12" t="s">
        <v>263</v>
      </c>
      <c r="BK12">
        <v>5.1075171162980708E-2</v>
      </c>
    </row>
    <row r="13" spans="2:67" ht="15.75" thickBot="1" x14ac:dyDescent="0.3">
      <c r="B13" s="54">
        <v>45413</v>
      </c>
      <c r="C13" s="55">
        <v>3653.75</v>
      </c>
      <c r="D13" s="24">
        <f t="shared" si="0"/>
        <v>1.7332590839482132E-2</v>
      </c>
      <c r="F13" s="54">
        <v>45413</v>
      </c>
      <c r="G13" s="55">
        <v>21821.05</v>
      </c>
      <c r="H13" s="24">
        <f t="shared" si="1"/>
        <v>2.535541516203077E-2</v>
      </c>
      <c r="J13" s="56" t="s">
        <v>264</v>
      </c>
      <c r="K13" s="56">
        <v>25</v>
      </c>
      <c r="T13" s="55">
        <v>1395.34</v>
      </c>
      <c r="U13" s="52">
        <f t="shared" si="2"/>
        <v>2.7231567710825688E-2</v>
      </c>
      <c r="W13" s="56" t="s">
        <v>264</v>
      </c>
      <c r="X13" s="56">
        <v>25</v>
      </c>
      <c r="AG13" s="55">
        <v>1301.6500000000001</v>
      </c>
      <c r="AH13" s="24">
        <f t="shared" si="3"/>
        <v>5.3967611336032562E-2</v>
      </c>
      <c r="AJ13" t="s">
        <v>263</v>
      </c>
      <c r="AK13">
        <v>4.8324319314796575E-2</v>
      </c>
      <c r="AT13">
        <v>217.55</v>
      </c>
      <c r="AU13" s="24">
        <f t="shared" si="4"/>
        <v>4.3405275779376584E-2</v>
      </c>
      <c r="AW13" s="56" t="s">
        <v>264</v>
      </c>
      <c r="AX13" s="56">
        <v>25</v>
      </c>
      <c r="BG13" s="55">
        <v>4565.5</v>
      </c>
      <c r="BH13" s="24">
        <f t="shared" si="5"/>
        <v>1.1509787196331001E-2</v>
      </c>
      <c r="BJ13" s="56" t="s">
        <v>264</v>
      </c>
      <c r="BK13" s="56">
        <v>25</v>
      </c>
    </row>
    <row r="14" spans="2:67" ht="15.75" thickBot="1" x14ac:dyDescent="0.3">
      <c r="B14" s="54">
        <v>45383</v>
      </c>
      <c r="C14" s="55">
        <v>3800.9</v>
      </c>
      <c r="D14" s="24">
        <f t="shared" si="0"/>
        <v>4.0273691412932022E-2</v>
      </c>
      <c r="F14" s="54">
        <v>45383</v>
      </c>
      <c r="G14" s="55">
        <v>21777.65</v>
      </c>
      <c r="H14" s="24">
        <f t="shared" si="1"/>
        <v>-1.9889052085027004E-3</v>
      </c>
      <c r="T14" s="55">
        <v>1371.02</v>
      </c>
      <c r="U14" s="52">
        <f t="shared" si="2"/>
        <v>-1.7429443719810145E-2</v>
      </c>
      <c r="AG14" s="55">
        <v>1362.45</v>
      </c>
      <c r="AH14" s="24">
        <f t="shared" si="3"/>
        <v>4.6709945069719261E-2</v>
      </c>
      <c r="AJ14" s="56" t="s">
        <v>264</v>
      </c>
      <c r="AK14" s="56">
        <v>25</v>
      </c>
      <c r="AT14">
        <v>218.5</v>
      </c>
      <c r="AU14" s="24">
        <f t="shared" si="4"/>
        <v>4.366812227074135E-3</v>
      </c>
      <c r="BG14" s="55">
        <v>4591.5</v>
      </c>
      <c r="BH14" s="24">
        <f t="shared" si="5"/>
        <v>5.6948855547036548E-3</v>
      </c>
    </row>
    <row r="15" spans="2:67" ht="15.75" thickBot="1" x14ac:dyDescent="0.3">
      <c r="B15" s="54">
        <v>45352</v>
      </c>
      <c r="C15" s="55">
        <v>3829.4</v>
      </c>
      <c r="D15" s="24">
        <f t="shared" si="0"/>
        <v>7.4982241048173748E-3</v>
      </c>
      <c r="F15" s="54">
        <v>45352</v>
      </c>
      <c r="G15" s="55">
        <v>21710.2</v>
      </c>
      <c r="H15" s="24">
        <f t="shared" si="1"/>
        <v>-3.0972120499687117E-3</v>
      </c>
      <c r="J15" t="s">
        <v>265</v>
      </c>
      <c r="T15" s="55">
        <v>1473.25</v>
      </c>
      <c r="U15" s="52">
        <f t="shared" si="2"/>
        <v>7.4564922466484829E-2</v>
      </c>
      <c r="W15" t="s">
        <v>265</v>
      </c>
      <c r="AG15" s="55">
        <v>1508.2</v>
      </c>
      <c r="AH15" s="24">
        <f t="shared" si="3"/>
        <v>0.10697640280377252</v>
      </c>
      <c r="AT15">
        <v>235.62</v>
      </c>
      <c r="AU15" s="24">
        <f t="shared" si="4"/>
        <v>7.835240274599542E-2</v>
      </c>
      <c r="AW15" t="s">
        <v>265</v>
      </c>
      <c r="BG15" s="55">
        <v>4908.05</v>
      </c>
      <c r="BH15" s="24">
        <f t="shared" si="5"/>
        <v>6.8942611347054372E-2</v>
      </c>
      <c r="BJ15" t="s">
        <v>265</v>
      </c>
    </row>
    <row r="16" spans="2:67" ht="15.75" thickBot="1" x14ac:dyDescent="0.3">
      <c r="B16" s="54">
        <v>45323</v>
      </c>
      <c r="C16" s="55">
        <v>3805.05</v>
      </c>
      <c r="D16" s="24">
        <f t="shared" si="0"/>
        <v>-6.3586984906250921E-3</v>
      </c>
      <c r="F16" s="54">
        <v>45323</v>
      </c>
      <c r="G16" s="55">
        <v>21530.2</v>
      </c>
      <c r="H16" s="24">
        <f t="shared" si="1"/>
        <v>-8.2910337076581575E-3</v>
      </c>
      <c r="J16" s="57"/>
      <c r="K16" s="57" t="s">
        <v>269</v>
      </c>
      <c r="L16" s="57" t="s">
        <v>270</v>
      </c>
      <c r="M16" s="57" t="s">
        <v>271</v>
      </c>
      <c r="N16" s="57" t="s">
        <v>272</v>
      </c>
      <c r="O16" s="57" t="s">
        <v>273</v>
      </c>
      <c r="T16" s="55">
        <v>1626.33</v>
      </c>
      <c r="U16" s="52">
        <f t="shared" si="2"/>
        <v>0.10390632954352608</v>
      </c>
      <c r="W16" s="57"/>
      <c r="X16" s="57" t="s">
        <v>269</v>
      </c>
      <c r="Y16" s="57" t="s">
        <v>270</v>
      </c>
      <c r="Z16" s="57" t="s">
        <v>271</v>
      </c>
      <c r="AA16" s="57" t="s">
        <v>272</v>
      </c>
      <c r="AB16" s="57" t="s">
        <v>273</v>
      </c>
      <c r="AG16" s="55">
        <v>1551.45</v>
      </c>
      <c r="AH16" s="24">
        <f t="shared" si="3"/>
        <v>2.867656809441721E-2</v>
      </c>
      <c r="AJ16" t="s">
        <v>265</v>
      </c>
      <c r="AT16">
        <v>235.3</v>
      </c>
      <c r="AU16" s="24">
        <f t="shared" si="4"/>
        <v>-1.3581190051777936E-3</v>
      </c>
      <c r="AW16" s="57"/>
      <c r="AX16" s="57" t="s">
        <v>269</v>
      </c>
      <c r="AY16" s="57" t="s">
        <v>270</v>
      </c>
      <c r="AZ16" s="57" t="s">
        <v>271</v>
      </c>
      <c r="BA16" s="57" t="s">
        <v>272</v>
      </c>
      <c r="BB16" s="57" t="s">
        <v>273</v>
      </c>
      <c r="BG16" s="55">
        <v>5267</v>
      </c>
      <c r="BH16" s="24">
        <f t="shared" si="5"/>
        <v>7.3134951762920064E-2</v>
      </c>
      <c r="BJ16" s="57"/>
      <c r="BK16" s="57" t="s">
        <v>269</v>
      </c>
      <c r="BL16" s="57" t="s">
        <v>270</v>
      </c>
      <c r="BM16" s="57" t="s">
        <v>271</v>
      </c>
      <c r="BN16" s="57" t="s">
        <v>272</v>
      </c>
      <c r="BO16" s="57" t="s">
        <v>273</v>
      </c>
    </row>
    <row r="17" spans="2:70" x14ac:dyDescent="0.25">
      <c r="B17" s="54">
        <v>45292</v>
      </c>
      <c r="C17" s="55">
        <v>3634.16</v>
      </c>
      <c r="D17" s="24">
        <f t="shared" si="0"/>
        <v>-4.4911367787545564E-2</v>
      </c>
      <c r="F17" s="54">
        <v>45292</v>
      </c>
      <c r="G17" s="55">
        <v>21137.200000000001</v>
      </c>
      <c r="H17" s="24">
        <f t="shared" si="1"/>
        <v>-1.8253430065675147E-2</v>
      </c>
      <c r="J17" t="s">
        <v>266</v>
      </c>
      <c r="K17">
        <v>1</v>
      </c>
      <c r="L17">
        <v>1.4904898553395871E-2</v>
      </c>
      <c r="M17">
        <v>1.4904898553395871E-2</v>
      </c>
      <c r="N17">
        <v>17.852408795656512</v>
      </c>
      <c r="O17">
        <v>3.2120927270415969E-4</v>
      </c>
      <c r="T17" s="55">
        <v>1478.27</v>
      </c>
      <c r="U17" s="52">
        <f t="shared" si="2"/>
        <v>-9.1039333960512336E-2</v>
      </c>
      <c r="W17" t="s">
        <v>266</v>
      </c>
      <c r="X17">
        <v>1</v>
      </c>
      <c r="Y17">
        <v>2.8517019846356906E-2</v>
      </c>
      <c r="Z17">
        <v>2.8517019846356906E-2</v>
      </c>
      <c r="AA17">
        <v>8.0601343247214743</v>
      </c>
      <c r="AB17">
        <v>9.2956939416363633E-3</v>
      </c>
      <c r="AG17" s="55">
        <v>1417.15</v>
      </c>
      <c r="AH17" s="24">
        <f t="shared" si="3"/>
        <v>-8.6564181894356884E-2</v>
      </c>
      <c r="AJ17" s="57"/>
      <c r="AK17" s="57" t="s">
        <v>269</v>
      </c>
      <c r="AL17" s="57" t="s">
        <v>270</v>
      </c>
      <c r="AM17" s="57" t="s">
        <v>271</v>
      </c>
      <c r="AN17" s="57" t="s">
        <v>272</v>
      </c>
      <c r="AO17" s="57" t="s">
        <v>273</v>
      </c>
      <c r="AT17">
        <v>223.35</v>
      </c>
      <c r="AU17" s="24">
        <f t="shared" si="4"/>
        <v>-5.0786230344241456E-2</v>
      </c>
      <c r="AW17" t="s">
        <v>266</v>
      </c>
      <c r="AX17">
        <v>1</v>
      </c>
      <c r="AY17">
        <v>3.9320010640217604E-2</v>
      </c>
      <c r="AZ17">
        <v>3.9320010640217604E-2</v>
      </c>
      <c r="BA17">
        <v>28.568281742630873</v>
      </c>
      <c r="BB17">
        <v>1.9906665111194902E-5</v>
      </c>
      <c r="BG17" s="55">
        <v>5310.3</v>
      </c>
      <c r="BH17" s="24">
        <f t="shared" si="5"/>
        <v>8.2209986709702587E-3</v>
      </c>
      <c r="BJ17" t="s">
        <v>266</v>
      </c>
      <c r="BK17">
        <v>1</v>
      </c>
      <c r="BL17">
        <v>2.2688853937677132E-2</v>
      </c>
      <c r="BM17">
        <v>2.2688853937677132E-2</v>
      </c>
      <c r="BN17">
        <v>8.6974691679647744</v>
      </c>
      <c r="BO17">
        <v>7.1984756907790279E-3</v>
      </c>
    </row>
    <row r="18" spans="2:70" x14ac:dyDescent="0.25">
      <c r="B18" s="54">
        <v>45261</v>
      </c>
      <c r="C18" s="55">
        <v>3473.95</v>
      </c>
      <c r="D18" s="24">
        <f t="shared" si="0"/>
        <v>-4.4084465185902699E-2</v>
      </c>
      <c r="F18" s="54">
        <v>45261</v>
      </c>
      <c r="G18" s="55">
        <v>20183.7</v>
      </c>
      <c r="H18" s="24">
        <f t="shared" si="1"/>
        <v>-4.5110042957439922E-2</v>
      </c>
      <c r="J18" t="s">
        <v>267</v>
      </c>
      <c r="K18">
        <v>23</v>
      </c>
      <c r="L18">
        <v>1.9202600088986943E-2</v>
      </c>
      <c r="M18">
        <v>8.3489565604291053E-4</v>
      </c>
      <c r="T18" s="55">
        <v>1425.12</v>
      </c>
      <c r="U18" s="52">
        <f t="shared" si="2"/>
        <v>-3.5954189694710759E-2</v>
      </c>
      <c r="W18" t="s">
        <v>267</v>
      </c>
      <c r="X18">
        <v>23</v>
      </c>
      <c r="Y18">
        <v>8.1374755065124024E-2</v>
      </c>
      <c r="Z18">
        <v>3.538032828918436E-3</v>
      </c>
      <c r="AG18" s="55">
        <v>1308.3</v>
      </c>
      <c r="AH18" s="24">
        <f t="shared" si="3"/>
        <v>-7.6809088663867708E-2</v>
      </c>
      <c r="AJ18" t="s">
        <v>266</v>
      </c>
      <c r="AK18">
        <v>1</v>
      </c>
      <c r="AL18">
        <v>2.915154510939813E-2</v>
      </c>
      <c r="AM18">
        <v>2.915154510939813E-2</v>
      </c>
      <c r="AN18">
        <v>12.483319547970625</v>
      </c>
      <c r="AO18">
        <v>1.7781693685907799E-3</v>
      </c>
      <c r="AT18">
        <v>201.05</v>
      </c>
      <c r="AU18" s="24">
        <f t="shared" si="4"/>
        <v>-9.9843295276471844E-2</v>
      </c>
      <c r="AW18" t="s">
        <v>267</v>
      </c>
      <c r="AX18">
        <v>23</v>
      </c>
      <c r="AY18">
        <v>3.1656095136288087E-2</v>
      </c>
      <c r="AZ18">
        <v>1.3763519624473081E-3</v>
      </c>
      <c r="BG18" s="55">
        <v>5454</v>
      </c>
      <c r="BH18" s="24">
        <f t="shared" si="5"/>
        <v>2.7060618044178364E-2</v>
      </c>
      <c r="BJ18" t="s">
        <v>267</v>
      </c>
      <c r="BK18">
        <v>23</v>
      </c>
      <c r="BL18">
        <v>5.9999481514538856E-2</v>
      </c>
      <c r="BM18">
        <v>2.6086731093277762E-3</v>
      </c>
    </row>
    <row r="19" spans="2:70" ht="15.75" thickBot="1" x14ac:dyDescent="0.3">
      <c r="B19" s="54">
        <v>45231</v>
      </c>
      <c r="C19" s="55">
        <v>3295.73</v>
      </c>
      <c r="D19" s="24">
        <f t="shared" si="0"/>
        <v>-5.1301832208293097E-2</v>
      </c>
      <c r="F19" s="54">
        <v>45231</v>
      </c>
      <c r="G19" s="55">
        <v>18973.7</v>
      </c>
      <c r="H19" s="24">
        <f t="shared" si="1"/>
        <v>-5.9949365081724326E-2</v>
      </c>
      <c r="J19" s="56" t="s">
        <v>26</v>
      </c>
      <c r="K19" s="56">
        <v>24</v>
      </c>
      <c r="L19" s="56">
        <v>3.4107498642382814E-2</v>
      </c>
      <c r="M19" s="56"/>
      <c r="N19" s="56"/>
      <c r="O19" s="56"/>
      <c r="T19" s="55">
        <v>1344.07</v>
      </c>
      <c r="U19" s="52">
        <f t="shared" si="2"/>
        <v>-5.6872403727405429E-2</v>
      </c>
      <c r="W19" s="56" t="s">
        <v>26</v>
      </c>
      <c r="X19" s="56">
        <v>24</v>
      </c>
      <c r="Y19" s="56">
        <v>0.10989177491148093</v>
      </c>
      <c r="Z19" s="56"/>
      <c r="AA19" s="56"/>
      <c r="AB19" s="56"/>
      <c r="AG19" s="55">
        <v>1250.6500000000001</v>
      </c>
      <c r="AH19" s="24">
        <f t="shared" si="3"/>
        <v>-4.4064816938011009E-2</v>
      </c>
      <c r="AJ19" t="s">
        <v>267</v>
      </c>
      <c r="AK19">
        <v>23</v>
      </c>
      <c r="AL19">
        <v>5.3710516256483695E-2</v>
      </c>
      <c r="AM19">
        <v>2.3352398372384216E-3</v>
      </c>
      <c r="AT19">
        <v>188.5</v>
      </c>
      <c r="AU19" s="24">
        <f t="shared" si="4"/>
        <v>-6.2422283014175628E-2</v>
      </c>
      <c r="AW19" s="56" t="s">
        <v>26</v>
      </c>
      <c r="AX19" s="56">
        <v>24</v>
      </c>
      <c r="AY19" s="56">
        <v>7.0976105776505691E-2</v>
      </c>
      <c r="AZ19" s="56"/>
      <c r="BA19" s="56"/>
      <c r="BB19" s="56"/>
      <c r="BG19" s="55">
        <v>4989.05</v>
      </c>
      <c r="BH19" s="24">
        <f t="shared" si="5"/>
        <v>-8.5249358269160247E-2</v>
      </c>
      <c r="BJ19" s="56" t="s">
        <v>26</v>
      </c>
      <c r="BK19" s="56">
        <v>24</v>
      </c>
      <c r="BL19" s="56">
        <v>8.2688335452215989E-2</v>
      </c>
      <c r="BM19" s="56"/>
      <c r="BN19" s="56"/>
      <c r="BO19" s="56"/>
    </row>
    <row r="20" spans="2:70" ht="15.75" thickBot="1" x14ac:dyDescent="0.3">
      <c r="B20" s="54">
        <v>45200</v>
      </c>
      <c r="C20" s="55">
        <v>3314.64</v>
      </c>
      <c r="D20" s="24">
        <f t="shared" si="0"/>
        <v>5.7377273016903096E-3</v>
      </c>
      <c r="F20" s="54">
        <v>45200</v>
      </c>
      <c r="G20" s="55">
        <v>18837.849999999999</v>
      </c>
      <c r="H20" s="24">
        <f t="shared" si="1"/>
        <v>-7.1599108239300824E-3</v>
      </c>
      <c r="T20" s="55">
        <v>1345.52</v>
      </c>
      <c r="U20" s="52">
        <f t="shared" si="2"/>
        <v>1.0788128594492186E-3</v>
      </c>
      <c r="AG20" s="55">
        <v>1208.55</v>
      </c>
      <c r="AH20" s="24">
        <f t="shared" si="3"/>
        <v>-3.3662495502338907E-2</v>
      </c>
      <c r="AJ20" s="56" t="s">
        <v>26</v>
      </c>
      <c r="AK20" s="56">
        <v>24</v>
      </c>
      <c r="AL20" s="56">
        <v>8.2862061365881826E-2</v>
      </c>
      <c r="AM20" s="56"/>
      <c r="AN20" s="56"/>
      <c r="AO20" s="56"/>
      <c r="AT20">
        <v>187.53</v>
      </c>
      <c r="AU20" s="24">
        <f t="shared" si="4"/>
        <v>-5.1458885941644272E-3</v>
      </c>
      <c r="BG20" s="55">
        <v>5037.6499999999996</v>
      </c>
      <c r="BH20" s="24">
        <f t="shared" si="5"/>
        <v>9.7413335204095119E-3</v>
      </c>
    </row>
    <row r="21" spans="2:70" ht="15.75" thickBot="1" x14ac:dyDescent="0.3">
      <c r="B21" s="54">
        <v>45170</v>
      </c>
      <c r="C21" s="55">
        <v>3341.32</v>
      </c>
      <c r="D21" s="24">
        <f t="shared" si="0"/>
        <v>8.0491395747352978E-3</v>
      </c>
      <c r="F21" s="54">
        <v>45170</v>
      </c>
      <c r="G21" s="55">
        <v>19255.7</v>
      </c>
      <c r="H21" s="24">
        <f t="shared" si="1"/>
        <v>2.2181406052177E-2</v>
      </c>
      <c r="J21" s="57"/>
      <c r="K21" s="57" t="s">
        <v>274</v>
      </c>
      <c r="L21" s="57" t="s">
        <v>263</v>
      </c>
      <c r="M21" s="57" t="s">
        <v>275</v>
      </c>
      <c r="N21" s="57" t="s">
        <v>276</v>
      </c>
      <c r="O21" s="57" t="s">
        <v>277</v>
      </c>
      <c r="P21" s="57" t="s">
        <v>278</v>
      </c>
      <c r="Q21" s="57" t="s">
        <v>279</v>
      </c>
      <c r="R21" s="57" t="s">
        <v>280</v>
      </c>
      <c r="T21" s="55">
        <v>1408.06</v>
      </c>
      <c r="U21" s="52">
        <f t="shared" si="2"/>
        <v>4.648017123491277E-2</v>
      </c>
      <c r="W21" s="57"/>
      <c r="X21" s="57" t="s">
        <v>274</v>
      </c>
      <c r="Y21" s="57" t="s">
        <v>263</v>
      </c>
      <c r="Z21" s="57" t="s">
        <v>275</v>
      </c>
      <c r="AA21" s="57" t="s">
        <v>276</v>
      </c>
      <c r="AB21" s="57" t="s">
        <v>277</v>
      </c>
      <c r="AC21" s="57" t="s">
        <v>278</v>
      </c>
      <c r="AD21" s="57" t="s">
        <v>279</v>
      </c>
      <c r="AE21" s="57" t="s">
        <v>280</v>
      </c>
      <c r="AG21" s="55">
        <v>1171.0999999999999</v>
      </c>
      <c r="AH21" s="24">
        <f t="shared" si="3"/>
        <v>-3.0987547060527088E-2</v>
      </c>
      <c r="AT21">
        <v>200.75</v>
      </c>
      <c r="AU21" s="24">
        <f t="shared" si="4"/>
        <v>7.0495387404681864E-2</v>
      </c>
      <c r="AW21" s="57"/>
      <c r="AX21" s="57" t="s">
        <v>274</v>
      </c>
      <c r="AY21" s="57" t="s">
        <v>263</v>
      </c>
      <c r="AZ21" s="57" t="s">
        <v>275</v>
      </c>
      <c r="BA21" s="57" t="s">
        <v>276</v>
      </c>
      <c r="BB21" s="57" t="s">
        <v>277</v>
      </c>
      <c r="BC21" s="57" t="s">
        <v>278</v>
      </c>
      <c r="BD21" s="57" t="s">
        <v>279</v>
      </c>
      <c r="BE21" s="57" t="s">
        <v>280</v>
      </c>
      <c r="BG21" s="55">
        <v>5128</v>
      </c>
      <c r="BH21" s="24">
        <f t="shared" si="5"/>
        <v>1.7934949827796753E-2</v>
      </c>
      <c r="BJ21" s="57"/>
      <c r="BK21" s="57" t="s">
        <v>274</v>
      </c>
      <c r="BL21" s="57" t="s">
        <v>263</v>
      </c>
      <c r="BM21" s="57" t="s">
        <v>275</v>
      </c>
      <c r="BN21" s="57" t="s">
        <v>276</v>
      </c>
      <c r="BO21" s="57" t="s">
        <v>277</v>
      </c>
      <c r="BP21" s="57" t="s">
        <v>278</v>
      </c>
      <c r="BQ21" s="57" t="s">
        <v>279</v>
      </c>
      <c r="BR21" s="57" t="s">
        <v>280</v>
      </c>
    </row>
    <row r="22" spans="2:70" x14ac:dyDescent="0.25">
      <c r="B22" s="54">
        <v>45139</v>
      </c>
      <c r="C22" s="55">
        <v>3328.23</v>
      </c>
      <c r="D22" s="24">
        <f t="shared" si="0"/>
        <v>-3.9176133982977701E-3</v>
      </c>
      <c r="F22" s="54">
        <v>45139</v>
      </c>
      <c r="G22" s="55">
        <v>19223.650000000001</v>
      </c>
      <c r="H22" s="24">
        <f t="shared" si="1"/>
        <v>-1.6644422171097073E-3</v>
      </c>
      <c r="J22" t="s">
        <v>268</v>
      </c>
      <c r="K22">
        <v>-1.1034290783312403E-3</v>
      </c>
      <c r="L22">
        <v>6.0501604030482438E-3</v>
      </c>
      <c r="M22">
        <v>-0.18238013619858759</v>
      </c>
      <c r="N22">
        <v>0.85688238918980664</v>
      </c>
      <c r="O22">
        <v>-1.3619139440352972E-2</v>
      </c>
      <c r="P22">
        <v>1.1412281283690491E-2</v>
      </c>
      <c r="Q22">
        <v>-1.3619139440352972E-2</v>
      </c>
      <c r="R22">
        <v>1.1412281283690491E-2</v>
      </c>
      <c r="T22" s="55">
        <v>1340.89</v>
      </c>
      <c r="U22" s="52">
        <f t="shared" si="2"/>
        <v>-4.7703933071033822E-2</v>
      </c>
      <c r="W22" t="s">
        <v>268</v>
      </c>
      <c r="X22">
        <v>3.8699967222457707E-3</v>
      </c>
      <c r="Y22">
        <v>1.2454655444419071E-2</v>
      </c>
      <c r="Z22">
        <v>0.31072691970615018</v>
      </c>
      <c r="AA22">
        <v>0.75880673063933368</v>
      </c>
      <c r="AB22">
        <v>-2.1894421047998786E-2</v>
      </c>
      <c r="AC22">
        <v>2.9634414492490328E-2</v>
      </c>
      <c r="AD22">
        <v>-2.1894421047998786E-2</v>
      </c>
      <c r="AE22">
        <v>2.9634414492490328E-2</v>
      </c>
      <c r="AG22" s="55">
        <v>1111.9000000000001</v>
      </c>
      <c r="AH22" s="24">
        <f t="shared" si="3"/>
        <v>-5.0550764238749712E-2</v>
      </c>
      <c r="AJ22" s="57"/>
      <c r="AK22" s="57" t="s">
        <v>274</v>
      </c>
      <c r="AL22" s="57" t="s">
        <v>263</v>
      </c>
      <c r="AM22" s="57" t="s">
        <v>275</v>
      </c>
      <c r="AN22" s="57" t="s">
        <v>276</v>
      </c>
      <c r="AO22" s="57" t="s">
        <v>277</v>
      </c>
      <c r="AP22" s="57" t="s">
        <v>278</v>
      </c>
      <c r="AQ22" s="57" t="s">
        <v>279</v>
      </c>
      <c r="AR22" s="57" t="s">
        <v>280</v>
      </c>
      <c r="AT22">
        <v>198.53</v>
      </c>
      <c r="AU22" s="24">
        <f t="shared" si="4"/>
        <v>-1.1058530510585252E-2</v>
      </c>
      <c r="AW22" t="s">
        <v>268</v>
      </c>
      <c r="AX22">
        <v>-1.5676748574904378E-3</v>
      </c>
      <c r="AY22">
        <v>7.7681131240088059E-3</v>
      </c>
      <c r="AZ22">
        <v>-0.20180896344638</v>
      </c>
      <c r="BA22">
        <v>0.84184036663363337</v>
      </c>
      <c r="BB22">
        <v>-1.7637241190067349E-2</v>
      </c>
      <c r="BC22">
        <v>1.4501891475086473E-2</v>
      </c>
      <c r="BD22">
        <v>-1.7637241190067349E-2</v>
      </c>
      <c r="BE22">
        <v>1.4501891475086473E-2</v>
      </c>
      <c r="BG22" s="55">
        <v>4831.05</v>
      </c>
      <c r="BH22" s="24">
        <f t="shared" si="5"/>
        <v>-5.7907566302652036E-2</v>
      </c>
      <c r="BJ22" t="s">
        <v>268</v>
      </c>
      <c r="BK22">
        <v>-1.1575348808822543E-3</v>
      </c>
      <c r="BL22">
        <v>1.0694503302092121E-2</v>
      </c>
      <c r="BM22">
        <v>-0.10823643213573186</v>
      </c>
      <c r="BN22">
        <v>0.91474684903163228</v>
      </c>
      <c r="BO22">
        <v>-2.3280800526406773E-2</v>
      </c>
      <c r="BP22">
        <v>2.0965730764642265E-2</v>
      </c>
      <c r="BQ22">
        <v>-2.3280800526406773E-2</v>
      </c>
      <c r="BR22">
        <v>2.0965730764642265E-2</v>
      </c>
    </row>
    <row r="23" spans="2:70" ht="15.75" thickBot="1" x14ac:dyDescent="0.3">
      <c r="B23" s="54">
        <v>45108</v>
      </c>
      <c r="C23" s="55">
        <v>3235.11</v>
      </c>
      <c r="D23" s="24">
        <f t="shared" si="0"/>
        <v>-2.7978835597299412E-2</v>
      </c>
      <c r="F23" s="54">
        <v>45108</v>
      </c>
      <c r="G23" s="55">
        <v>19234.400000000001</v>
      </c>
      <c r="H23" s="24">
        <f t="shared" si="1"/>
        <v>5.5920701843814591E-4</v>
      </c>
      <c r="J23" s="56" t="s">
        <v>256</v>
      </c>
      <c r="K23" s="56">
        <v>0.74488831173541037</v>
      </c>
      <c r="L23" s="56">
        <v>0.17629611752449711</v>
      </c>
      <c r="M23" s="56">
        <v>4.2252110948041999</v>
      </c>
      <c r="N23" s="56">
        <v>3.2120927270416153E-4</v>
      </c>
      <c r="O23" s="56">
        <v>0.3801920065310283</v>
      </c>
      <c r="P23" s="56">
        <v>1.1095846169397925</v>
      </c>
      <c r="Q23" s="56">
        <v>0.3801920065310283</v>
      </c>
      <c r="R23" s="56">
        <v>1.1095846169397925</v>
      </c>
      <c r="T23" s="55">
        <v>1297.69</v>
      </c>
      <c r="U23" s="52">
        <f t="shared" si="2"/>
        <v>-3.2217407841060863E-2</v>
      </c>
      <c r="W23" s="56" t="s">
        <v>256</v>
      </c>
      <c r="X23" s="56">
        <v>1.0303356252160298</v>
      </c>
      <c r="Y23" s="56">
        <v>0.36291722097982099</v>
      </c>
      <c r="Z23" s="56">
        <v>2.8390375701496922</v>
      </c>
      <c r="AA23" s="56">
        <v>9.2956939416363842E-3</v>
      </c>
      <c r="AB23" s="56">
        <v>0.2795841540839914</v>
      </c>
      <c r="AC23" s="56">
        <v>1.7810870963480683</v>
      </c>
      <c r="AD23" s="56">
        <v>0.2795841540839914</v>
      </c>
      <c r="AE23" s="56">
        <v>1.7810870963480683</v>
      </c>
      <c r="AG23" s="55">
        <v>1087.05</v>
      </c>
      <c r="AH23" s="24">
        <f t="shared" si="3"/>
        <v>-2.2349132116197601E-2</v>
      </c>
      <c r="AJ23" t="s">
        <v>268</v>
      </c>
      <c r="AK23">
        <v>-7.5388162565850139E-3</v>
      </c>
      <c r="AL23">
        <v>1.0118509262246509E-2</v>
      </c>
      <c r="AM23">
        <v>-0.7450520685604678</v>
      </c>
      <c r="AN23">
        <v>0.46378622810133308</v>
      </c>
      <c r="AO23">
        <v>-2.8470547448026892E-2</v>
      </c>
      <c r="AP23">
        <v>1.3392914934856864E-2</v>
      </c>
      <c r="AQ23">
        <v>-2.8470547448026892E-2</v>
      </c>
      <c r="AR23">
        <v>1.3392914934856864E-2</v>
      </c>
      <c r="AT23">
        <v>193.93</v>
      </c>
      <c r="AU23" s="24">
        <f t="shared" si="4"/>
        <v>-2.3170301717624464E-2</v>
      </c>
      <c r="AW23" s="56" t="s">
        <v>256</v>
      </c>
      <c r="AX23" s="56">
        <v>1.2098553820762268</v>
      </c>
      <c r="AY23" s="56">
        <v>0.22635568200206022</v>
      </c>
      <c r="AZ23" s="56">
        <v>5.3449304712625461</v>
      </c>
      <c r="BA23" s="56">
        <v>1.9906665111194939E-5</v>
      </c>
      <c r="BB23" s="56">
        <v>0.74160297784107077</v>
      </c>
      <c r="BC23" s="56">
        <v>1.6781077863113829</v>
      </c>
      <c r="BD23" s="56">
        <v>0.74160297784107077</v>
      </c>
      <c r="BE23" s="56">
        <v>1.6781077863113829</v>
      </c>
      <c r="BG23" s="55">
        <v>4776.2</v>
      </c>
      <c r="BH23" s="24">
        <f t="shared" si="5"/>
        <v>-1.1353639477960309E-2</v>
      </c>
      <c r="BJ23" s="56" t="s">
        <v>256</v>
      </c>
      <c r="BK23" s="56">
        <v>0.91903685371750221</v>
      </c>
      <c r="BL23" s="56">
        <v>0.31162800412065716</v>
      </c>
      <c r="BM23" s="56">
        <v>2.9491471933365347</v>
      </c>
      <c r="BN23" s="56">
        <v>7.1984756907790669E-3</v>
      </c>
      <c r="BO23" s="56">
        <v>0.27438521137360594</v>
      </c>
      <c r="BP23" s="56">
        <v>1.5636884960613986</v>
      </c>
      <c r="BQ23" s="56">
        <v>0.27438521137360594</v>
      </c>
      <c r="BR23" s="56">
        <v>1.5636884960613986</v>
      </c>
    </row>
    <row r="24" spans="2:70" ht="15.75" thickBot="1" x14ac:dyDescent="0.3">
      <c r="B24" s="54">
        <v>45078</v>
      </c>
      <c r="C24" s="55">
        <v>3141.45</v>
      </c>
      <c r="D24" s="24">
        <f t="shared" si="0"/>
        <v>-2.8951102126357431E-2</v>
      </c>
      <c r="F24" s="54">
        <v>45078</v>
      </c>
      <c r="G24" s="55">
        <v>18464.55</v>
      </c>
      <c r="H24" s="24">
        <f t="shared" si="1"/>
        <v>-4.0024643347336131E-2</v>
      </c>
      <c r="T24" s="55">
        <v>1255.18</v>
      </c>
      <c r="U24" s="52">
        <f t="shared" si="2"/>
        <v>-3.2758208817205925E-2</v>
      </c>
      <c r="AG24" s="55">
        <v>1105.95</v>
      </c>
      <c r="AH24" s="24">
        <f t="shared" si="3"/>
        <v>1.7386504760590782E-2</v>
      </c>
      <c r="AJ24" s="56" t="s">
        <v>256</v>
      </c>
      <c r="AK24" s="56">
        <v>1.0417354340279399</v>
      </c>
      <c r="AL24" s="56">
        <v>0.29484406680704967</v>
      </c>
      <c r="AM24" s="56">
        <v>3.533174146284134</v>
      </c>
      <c r="AN24" s="56">
        <v>1.7781693685907868E-3</v>
      </c>
      <c r="AO24" s="56">
        <v>0.43180401134063406</v>
      </c>
      <c r="AP24" s="56">
        <v>1.6516668567152457</v>
      </c>
      <c r="AQ24" s="56">
        <v>0.43180401134063406</v>
      </c>
      <c r="AR24" s="56">
        <v>1.6516668567152457</v>
      </c>
      <c r="AT24">
        <v>188.55</v>
      </c>
      <c r="AU24" s="24">
        <f t="shared" si="4"/>
        <v>-2.774196875161139E-2</v>
      </c>
      <c r="BG24" s="55">
        <v>4776.1000000000004</v>
      </c>
      <c r="BH24" s="24">
        <f t="shared" si="5"/>
        <v>-2.0937146685495733E-5</v>
      </c>
    </row>
    <row r="25" spans="2:70" x14ac:dyDescent="0.25">
      <c r="B25" s="54">
        <v>45047</v>
      </c>
      <c r="C25" s="55">
        <v>3158.51</v>
      </c>
      <c r="D25" s="24">
        <f t="shared" si="0"/>
        <v>5.4306132518424644E-3</v>
      </c>
      <c r="F25" s="54">
        <v>45047</v>
      </c>
      <c r="G25" s="55">
        <v>18042.400000000001</v>
      </c>
      <c r="H25" s="24">
        <f t="shared" si="1"/>
        <v>-2.2862728850689407E-2</v>
      </c>
      <c r="T25" s="55">
        <v>1232.1099999999999</v>
      </c>
      <c r="U25" s="52">
        <f t="shared" si="2"/>
        <v>-1.8379833968036552E-2</v>
      </c>
      <c r="AG25" s="55">
        <v>1048.3</v>
      </c>
      <c r="AH25" s="24">
        <f t="shared" si="3"/>
        <v>-5.2127130521271381E-2</v>
      </c>
      <c r="AT25">
        <v>189.5</v>
      </c>
      <c r="AU25" s="24">
        <f t="shared" si="4"/>
        <v>5.0384513391672492E-3</v>
      </c>
      <c r="BG25" s="55">
        <v>4424.05</v>
      </c>
      <c r="BH25" s="24">
        <f t="shared" si="5"/>
        <v>-7.3710768199995891E-2</v>
      </c>
    </row>
    <row r="26" spans="2:70" x14ac:dyDescent="0.25">
      <c r="B26" s="54">
        <v>45017</v>
      </c>
      <c r="C26" s="55">
        <v>3056.09</v>
      </c>
      <c r="D26" s="24">
        <f t="shared" si="0"/>
        <v>-3.2426682201417756E-2</v>
      </c>
      <c r="F26" s="54">
        <v>45017</v>
      </c>
      <c r="G26" s="55">
        <v>17312.75</v>
      </c>
      <c r="H26" s="24">
        <f t="shared" si="1"/>
        <v>-4.0440850441183063E-2</v>
      </c>
      <c r="T26" s="55">
        <v>1178.6600000000001</v>
      </c>
      <c r="U26" s="52">
        <f t="shared" si="2"/>
        <v>-4.338086696804655E-2</v>
      </c>
      <c r="AG26" s="55">
        <v>1016.25</v>
      </c>
      <c r="AH26" s="24">
        <f t="shared" si="3"/>
        <v>-3.0573309167223117E-2</v>
      </c>
      <c r="AT26">
        <v>176</v>
      </c>
      <c r="AU26" s="24">
        <f t="shared" si="4"/>
        <v>-7.1240105540897103E-2</v>
      </c>
      <c r="BG26" s="55">
        <v>4132.2</v>
      </c>
      <c r="BH26" s="24">
        <f t="shared" si="5"/>
        <v>-6.5968965088550213E-2</v>
      </c>
    </row>
    <row r="27" spans="2:70" x14ac:dyDescent="0.25">
      <c r="B27" s="54">
        <v>44986</v>
      </c>
      <c r="C27" s="55">
        <v>3080.78</v>
      </c>
      <c r="D27" s="24">
        <f t="shared" si="0"/>
        <v>8.0789505544667239E-3</v>
      </c>
      <c r="F27" s="54">
        <v>44986</v>
      </c>
      <c r="G27" s="55">
        <v>16828.349999999999</v>
      </c>
      <c r="H27" s="24">
        <f t="shared" si="1"/>
        <v>-2.7979379359142964E-2</v>
      </c>
      <c r="T27" s="55">
        <v>1356.9</v>
      </c>
      <c r="U27" s="52">
        <f t="shared" si="2"/>
        <v>0.15122257478831891</v>
      </c>
      <c r="AG27" s="55">
        <v>1039.3499999999999</v>
      </c>
      <c r="AH27" s="24">
        <f t="shared" si="3"/>
        <v>2.2730627306273066E-2</v>
      </c>
      <c r="AT27">
        <v>177.5</v>
      </c>
      <c r="AU27" s="24">
        <f t="shared" si="4"/>
        <v>8.5227272727272929E-3</v>
      </c>
      <c r="BG27" s="55">
        <v>4480</v>
      </c>
      <c r="BH27" s="24">
        <f t="shared" si="5"/>
        <v>8.4168239678621637E-2</v>
      </c>
    </row>
    <row r="28" spans="2:70" x14ac:dyDescent="0.25">
      <c r="B28" s="54">
        <v>44958</v>
      </c>
      <c r="C28" s="55">
        <v>3284.68</v>
      </c>
      <c r="D28" s="24">
        <f t="shared" si="0"/>
        <v>6.6184537682015376E-2</v>
      </c>
      <c r="F28" s="54">
        <v>44958</v>
      </c>
      <c r="G28" s="55">
        <v>17255.2</v>
      </c>
      <c r="H28" s="24">
        <f t="shared" si="1"/>
        <v>2.5364934767817537E-2</v>
      </c>
      <c r="T28" s="55">
        <v>1473</v>
      </c>
      <c r="U28" s="52">
        <f t="shared" si="2"/>
        <v>8.5562679637408712E-2</v>
      </c>
      <c r="AG28" s="55">
        <v>1068.0999999999999</v>
      </c>
      <c r="AH28" s="24">
        <f t="shared" si="3"/>
        <v>2.7661519218742381E-2</v>
      </c>
      <c r="AT28">
        <v>192.72</v>
      </c>
      <c r="AU28" s="24">
        <f t="shared" si="4"/>
        <v>8.5746478873239385E-2</v>
      </c>
      <c r="BG28" s="55">
        <v>4331.05</v>
      </c>
      <c r="BH28" s="24">
        <f t="shared" si="5"/>
        <v>-3.3247767857142785E-2</v>
      </c>
    </row>
    <row r="29" spans="2:70" x14ac:dyDescent="0.25">
      <c r="B29" s="54">
        <v>44927</v>
      </c>
      <c r="C29" s="55">
        <v>3122</v>
      </c>
      <c r="D29" s="24">
        <f t="shared" si="0"/>
        <v>-4.9526894552893941E-2</v>
      </c>
      <c r="F29" s="54">
        <v>44927</v>
      </c>
      <c r="G29" s="55">
        <v>17405.55</v>
      </c>
      <c r="H29" s="24">
        <f t="shared" si="1"/>
        <v>8.7133154063701035E-3</v>
      </c>
      <c r="T29" s="55">
        <v>1438.39</v>
      </c>
      <c r="U29" s="52">
        <f t="shared" si="2"/>
        <v>-2.3496266123557263E-2</v>
      </c>
      <c r="AG29" s="55">
        <v>1025.25</v>
      </c>
      <c r="AH29" s="24">
        <f t="shared" si="3"/>
        <v>-4.0117966482538958E-2</v>
      </c>
      <c r="AT29">
        <v>190.7</v>
      </c>
      <c r="AU29" s="24">
        <f t="shared" si="4"/>
        <v>-1.0481527604815355E-2</v>
      </c>
      <c r="BG29" s="55">
        <v>4121</v>
      </c>
      <c r="BH29" s="24">
        <f t="shared" si="5"/>
        <v>-4.8498631971461981E-2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7B37-3F6E-451A-80ED-FBFD2B17A326}">
  <dimension ref="B3:G8"/>
  <sheetViews>
    <sheetView workbookViewId="0">
      <selection activeCell="E16" sqref="E16"/>
    </sheetView>
  </sheetViews>
  <sheetFormatPr defaultRowHeight="15" x14ac:dyDescent="0.25"/>
  <cols>
    <col min="3" max="3" width="16.5703125" bestFit="1" customWidth="1"/>
  </cols>
  <sheetData>
    <row r="3" spans="2:7" x14ac:dyDescent="0.25">
      <c r="B3" t="s">
        <v>223</v>
      </c>
      <c r="C3" t="s">
        <v>211</v>
      </c>
      <c r="D3" t="s">
        <v>224</v>
      </c>
      <c r="E3" t="s">
        <v>232</v>
      </c>
      <c r="F3" t="s">
        <v>226</v>
      </c>
      <c r="G3" t="s">
        <v>248</v>
      </c>
    </row>
    <row r="4" spans="2:7" x14ac:dyDescent="0.25">
      <c r="B4">
        <v>1</v>
      </c>
      <c r="C4" t="s">
        <v>233</v>
      </c>
      <c r="D4">
        <v>3133.4</v>
      </c>
      <c r="E4">
        <v>1133691.54</v>
      </c>
      <c r="F4">
        <v>9392</v>
      </c>
      <c r="G4">
        <v>0.1</v>
      </c>
    </row>
    <row r="5" spans="2:7" x14ac:dyDescent="0.25">
      <c r="B5">
        <v>2</v>
      </c>
      <c r="C5" t="s">
        <v>234</v>
      </c>
      <c r="D5">
        <v>1525.6</v>
      </c>
      <c r="E5">
        <v>633794.06999999995</v>
      </c>
      <c r="F5">
        <v>8485</v>
      </c>
      <c r="G5">
        <v>0.09</v>
      </c>
    </row>
    <row r="6" spans="2:7" x14ac:dyDescent="0.25">
      <c r="B6">
        <v>3</v>
      </c>
      <c r="C6" t="s">
        <v>235</v>
      </c>
      <c r="D6">
        <v>1467.2</v>
      </c>
      <c r="E6">
        <v>398148.94</v>
      </c>
      <c r="F6">
        <v>6276</v>
      </c>
      <c r="G6">
        <v>0.09</v>
      </c>
    </row>
    <row r="7" spans="2:7" x14ac:dyDescent="0.25">
      <c r="B7">
        <v>4</v>
      </c>
      <c r="C7" t="s">
        <v>236</v>
      </c>
      <c r="D7">
        <v>251.94</v>
      </c>
      <c r="E7">
        <v>264117.31</v>
      </c>
      <c r="F7">
        <v>19203.5</v>
      </c>
      <c r="G7">
        <v>0.23</v>
      </c>
    </row>
    <row r="8" spans="2:7" x14ac:dyDescent="0.25">
      <c r="B8">
        <v>5</v>
      </c>
      <c r="C8" t="s">
        <v>237</v>
      </c>
      <c r="D8">
        <v>5332.5</v>
      </c>
      <c r="E8">
        <v>158064.24</v>
      </c>
      <c r="F8">
        <v>2187.3000000000002</v>
      </c>
      <c r="G8">
        <v>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EB2B-2911-4585-9B48-1EDE93DB6243}">
  <dimension ref="B2:M17"/>
  <sheetViews>
    <sheetView workbookViewId="0">
      <selection activeCell="G21" sqref="G21"/>
    </sheetView>
  </sheetViews>
  <sheetFormatPr defaultRowHeight="15" x14ac:dyDescent="0.25"/>
  <sheetData>
    <row r="2" spans="2:13" x14ac:dyDescent="0.25">
      <c r="B2" t="s">
        <v>223</v>
      </c>
      <c r="C2" t="s">
        <v>211</v>
      </c>
      <c r="D2" t="s">
        <v>224</v>
      </c>
      <c r="E2" t="s">
        <v>225</v>
      </c>
      <c r="F2" t="s">
        <v>226</v>
      </c>
      <c r="G2" t="s">
        <v>227</v>
      </c>
      <c r="H2" t="s">
        <v>228</v>
      </c>
      <c r="I2" t="s">
        <v>229</v>
      </c>
      <c r="J2" t="s">
        <v>190</v>
      </c>
      <c r="K2" t="s">
        <v>230</v>
      </c>
      <c r="L2" t="s">
        <v>231</v>
      </c>
      <c r="M2" t="s">
        <v>232</v>
      </c>
    </row>
    <row r="3" spans="2:13" x14ac:dyDescent="0.25">
      <c r="B3">
        <v>1</v>
      </c>
      <c r="C3" t="s">
        <v>233</v>
      </c>
      <c r="D3">
        <v>3133.4</v>
      </c>
      <c r="E3">
        <v>361.81</v>
      </c>
      <c r="F3">
        <v>9392</v>
      </c>
      <c r="G3">
        <v>15463</v>
      </c>
      <c r="H3">
        <v>1127620.54</v>
      </c>
      <c r="I3">
        <v>256148</v>
      </c>
      <c r="J3">
        <v>0.28000000000000003</v>
      </c>
      <c r="K3">
        <v>49511</v>
      </c>
      <c r="L3">
        <v>5383</v>
      </c>
      <c r="M3">
        <v>1133691.54</v>
      </c>
    </row>
    <row r="4" spans="2:13" x14ac:dyDescent="0.25">
      <c r="B4">
        <v>2</v>
      </c>
      <c r="C4" t="s">
        <v>234</v>
      </c>
      <c r="D4">
        <v>1525.6</v>
      </c>
      <c r="E4">
        <v>415.44</v>
      </c>
      <c r="F4">
        <v>8485</v>
      </c>
      <c r="G4">
        <v>24455</v>
      </c>
      <c r="H4">
        <v>614820.06999999995</v>
      </c>
      <c r="I4">
        <v>165954</v>
      </c>
      <c r="J4">
        <v>0.26</v>
      </c>
      <c r="K4">
        <v>27300</v>
      </c>
      <c r="L4">
        <v>4802</v>
      </c>
      <c r="M4">
        <v>633794.06999999995</v>
      </c>
    </row>
    <row r="5" spans="2:13" x14ac:dyDescent="0.25">
      <c r="B5">
        <v>3</v>
      </c>
      <c r="C5" t="s">
        <v>235</v>
      </c>
      <c r="D5">
        <v>1467.2</v>
      </c>
      <c r="E5">
        <v>271.37</v>
      </c>
      <c r="F5">
        <v>6276</v>
      </c>
      <c r="G5">
        <v>21289</v>
      </c>
      <c r="H5">
        <v>383135.94</v>
      </c>
      <c r="I5">
        <v>119347</v>
      </c>
      <c r="J5">
        <v>0.23</v>
      </c>
      <c r="K5">
        <v>16984</v>
      </c>
      <c r="L5">
        <v>4179</v>
      </c>
      <c r="M5">
        <v>398148.94</v>
      </c>
    </row>
    <row r="6" spans="2:13" x14ac:dyDescent="0.25">
      <c r="B6">
        <v>4</v>
      </c>
      <c r="C6" t="s">
        <v>236</v>
      </c>
      <c r="D6">
        <v>251.94</v>
      </c>
      <c r="E6">
        <v>1048.3599999999999</v>
      </c>
      <c r="F6">
        <v>19203.5</v>
      </c>
      <c r="G6">
        <v>12197.4</v>
      </c>
      <c r="H6">
        <v>271123.40999999997</v>
      </c>
      <c r="I6">
        <v>89259.199999999997</v>
      </c>
      <c r="J6">
        <v>0.25</v>
      </c>
      <c r="K6">
        <v>13517.9</v>
      </c>
      <c r="L6">
        <v>2914.5</v>
      </c>
      <c r="M6">
        <v>264117.31</v>
      </c>
    </row>
    <row r="7" spans="2:13" x14ac:dyDescent="0.25">
      <c r="B7">
        <v>5</v>
      </c>
      <c r="C7" t="s">
        <v>237</v>
      </c>
      <c r="D7">
        <v>5332.5</v>
      </c>
      <c r="E7">
        <v>29.64</v>
      </c>
      <c r="F7">
        <v>2187.3000000000002</v>
      </c>
      <c r="G7">
        <v>3588.2</v>
      </c>
      <c r="H7">
        <v>156663.34</v>
      </c>
      <c r="I7">
        <v>38706.1</v>
      </c>
      <c r="J7">
        <v>0.2</v>
      </c>
      <c r="K7">
        <v>4721.5</v>
      </c>
      <c r="L7">
        <v>999.2</v>
      </c>
      <c r="M7">
        <v>158064.24</v>
      </c>
    </row>
    <row r="8" spans="2:13" x14ac:dyDescent="0.25">
      <c r="B8">
        <v>6</v>
      </c>
      <c r="C8" t="s">
        <v>238</v>
      </c>
      <c r="D8">
        <v>1525.5</v>
      </c>
      <c r="E8">
        <v>97.96</v>
      </c>
      <c r="F8">
        <v>2025.2</v>
      </c>
      <c r="G8">
        <v>4542.2</v>
      </c>
      <c r="H8">
        <v>146915.23000000001</v>
      </c>
      <c r="I8">
        <v>53334</v>
      </c>
      <c r="J8">
        <v>0.16</v>
      </c>
      <c r="K8">
        <v>4517</v>
      </c>
      <c r="L8">
        <v>1848.8</v>
      </c>
      <c r="M8">
        <v>149432.23000000001</v>
      </c>
    </row>
    <row r="9" spans="2:13" x14ac:dyDescent="0.25">
      <c r="B9">
        <v>7</v>
      </c>
      <c r="C9" t="s">
        <v>239</v>
      </c>
      <c r="D9">
        <v>5411</v>
      </c>
      <c r="E9">
        <v>15.64</v>
      </c>
      <c r="F9">
        <v>310.89999999999998</v>
      </c>
      <c r="G9">
        <v>1025.47</v>
      </c>
      <c r="H9">
        <v>83913.47</v>
      </c>
      <c r="I9">
        <v>12535.13</v>
      </c>
      <c r="J9">
        <v>0.19</v>
      </c>
      <c r="K9">
        <v>1518.69</v>
      </c>
      <c r="L9">
        <v>329.5</v>
      </c>
      <c r="M9">
        <v>84628.04</v>
      </c>
    </row>
    <row r="10" spans="2:13" x14ac:dyDescent="0.25">
      <c r="B10">
        <v>8</v>
      </c>
      <c r="C10" t="s">
        <v>240</v>
      </c>
      <c r="D10">
        <v>8979</v>
      </c>
      <c r="E10">
        <v>8.69</v>
      </c>
      <c r="F10">
        <v>45.6</v>
      </c>
      <c r="G10">
        <v>5951.4</v>
      </c>
      <c r="H10">
        <v>72132.06</v>
      </c>
      <c r="I10">
        <v>6957.6</v>
      </c>
      <c r="J10">
        <v>0.49</v>
      </c>
      <c r="K10">
        <v>2404.8000000000002</v>
      </c>
      <c r="L10">
        <v>69.3</v>
      </c>
      <c r="M10">
        <v>78037.86</v>
      </c>
    </row>
    <row r="11" spans="2:13" x14ac:dyDescent="0.25">
      <c r="B11">
        <v>9</v>
      </c>
      <c r="C11" t="s">
        <v>241</v>
      </c>
      <c r="D11">
        <v>1764</v>
      </c>
      <c r="E11">
        <v>33.450000000000003</v>
      </c>
      <c r="F11">
        <v>1070.4000000000001</v>
      </c>
      <c r="G11">
        <v>883.2</v>
      </c>
      <c r="H11">
        <v>59199.45</v>
      </c>
      <c r="I11">
        <v>13418.9</v>
      </c>
      <c r="J11">
        <v>0.16</v>
      </c>
      <c r="K11">
        <v>1153.2</v>
      </c>
      <c r="L11">
        <v>525.4</v>
      </c>
      <c r="M11">
        <v>59012.25</v>
      </c>
    </row>
    <row r="12" spans="2:13" x14ac:dyDescent="0.25">
      <c r="B12">
        <v>10</v>
      </c>
      <c r="C12" t="s">
        <v>242</v>
      </c>
      <c r="D12">
        <v>2904.2</v>
      </c>
      <c r="E12">
        <v>19.03</v>
      </c>
      <c r="F12">
        <v>1115.94</v>
      </c>
      <c r="G12">
        <v>1612.58</v>
      </c>
      <c r="H12">
        <v>54756.82</v>
      </c>
      <c r="I12">
        <v>14540.02</v>
      </c>
      <c r="J12">
        <v>0.21</v>
      </c>
      <c r="K12">
        <v>1739.33</v>
      </c>
      <c r="L12">
        <v>503.25</v>
      </c>
      <c r="M12">
        <v>55253.46</v>
      </c>
    </row>
    <row r="13" spans="2:13" x14ac:dyDescent="0.25">
      <c r="B13">
        <v>11</v>
      </c>
      <c r="C13" t="s">
        <v>243</v>
      </c>
      <c r="D13">
        <v>758.2</v>
      </c>
      <c r="E13">
        <v>60.88</v>
      </c>
      <c r="F13">
        <v>581.9</v>
      </c>
      <c r="G13">
        <v>1987.2</v>
      </c>
      <c r="H13">
        <v>44823.7</v>
      </c>
      <c r="I13">
        <v>12758.7</v>
      </c>
      <c r="J13">
        <v>0.17</v>
      </c>
      <c r="K13">
        <v>1327.2</v>
      </c>
      <c r="L13">
        <v>298.8</v>
      </c>
      <c r="M13">
        <v>46161.7</v>
      </c>
    </row>
    <row r="14" spans="2:13" x14ac:dyDescent="0.25">
      <c r="B14">
        <v>12</v>
      </c>
      <c r="C14" t="s">
        <v>244</v>
      </c>
      <c r="D14">
        <v>4216.6000000000004</v>
      </c>
      <c r="E14">
        <v>10.6</v>
      </c>
      <c r="F14">
        <v>577.6</v>
      </c>
      <c r="G14">
        <v>1565.8</v>
      </c>
      <c r="H14">
        <v>43698.87</v>
      </c>
      <c r="I14">
        <v>11074.3</v>
      </c>
      <c r="J14">
        <v>0.19</v>
      </c>
      <c r="K14">
        <v>1265.8</v>
      </c>
      <c r="L14">
        <v>313.8</v>
      </c>
      <c r="M14">
        <v>44687.07</v>
      </c>
    </row>
    <row r="15" spans="2:13" x14ac:dyDescent="0.25">
      <c r="B15">
        <v>13</v>
      </c>
      <c r="C15" t="s">
        <v>245</v>
      </c>
      <c r="D15">
        <v>5721.5</v>
      </c>
      <c r="E15">
        <v>6.23</v>
      </c>
      <c r="F15">
        <v>196.34</v>
      </c>
      <c r="G15">
        <v>1606.39</v>
      </c>
      <c r="H15">
        <v>34230.639999999999</v>
      </c>
      <c r="I15">
        <v>3694.7</v>
      </c>
      <c r="J15">
        <v>0.3</v>
      </c>
      <c r="K15">
        <v>745.23</v>
      </c>
      <c r="L15">
        <v>102.08</v>
      </c>
      <c r="M15">
        <v>35640.69</v>
      </c>
    </row>
    <row r="16" spans="2:13" x14ac:dyDescent="0.25">
      <c r="B16">
        <v>14</v>
      </c>
      <c r="C16" t="s">
        <v>246</v>
      </c>
      <c r="D16">
        <v>1252.9000000000001</v>
      </c>
      <c r="E16">
        <v>27.41</v>
      </c>
      <c r="F16">
        <v>344.87</v>
      </c>
      <c r="G16">
        <v>1268.08</v>
      </c>
      <c r="H16">
        <v>33424.269999999997</v>
      </c>
      <c r="I16">
        <v>6016.47</v>
      </c>
      <c r="J16">
        <v>0.23</v>
      </c>
      <c r="K16">
        <v>807.35</v>
      </c>
      <c r="L16">
        <v>235.32</v>
      </c>
      <c r="M16">
        <v>34347.480000000003</v>
      </c>
    </row>
    <row r="17" spans="2:13" x14ac:dyDescent="0.25">
      <c r="B17">
        <v>15</v>
      </c>
      <c r="C17" t="s">
        <v>247</v>
      </c>
      <c r="D17">
        <v>2075.9</v>
      </c>
      <c r="E17">
        <v>14.06</v>
      </c>
      <c r="F17">
        <v>82.1</v>
      </c>
      <c r="G17">
        <v>1391.7</v>
      </c>
      <c r="H17">
        <v>27885.9</v>
      </c>
      <c r="I17">
        <v>2367.54</v>
      </c>
      <c r="J17">
        <v>0.26</v>
      </c>
      <c r="K17">
        <v>400.78</v>
      </c>
      <c r="L17">
        <v>103.3</v>
      </c>
      <c r="M17">
        <v>29195.5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customWidth="1"/>
    <col min="2" max="11" width="13.42578125" bestFit="1" customWidth="1"/>
  </cols>
  <sheetData>
    <row r="1" spans="1:11" s="2" customFormat="1" x14ac:dyDescent="0.25">
      <c r="A1" s="2" t="str">
        <f>'Profit &amp; Loss'!A1</f>
        <v>TATA CONSULTANCY SERVICES LTD</v>
      </c>
      <c r="E1" t="str">
        <f>UPDATE</f>
        <v/>
      </c>
      <c r="J1" s="2" t="s">
        <v>1</v>
      </c>
    </row>
    <row r="3" spans="1:11" s="2" customFormat="1" x14ac:dyDescent="0.25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25">
      <c r="A4" s="2" t="s">
        <v>6</v>
      </c>
      <c r="B4" s="1">
        <f>'Data Sheet'!B42</f>
        <v>59162</v>
      </c>
      <c r="C4" s="1">
        <f>'Data Sheet'!C42</f>
        <v>59381</v>
      </c>
      <c r="D4" s="1">
        <f>'Data Sheet'!D42</f>
        <v>59692</v>
      </c>
      <c r="E4" s="1">
        <f>'Data Sheet'!E42</f>
        <v>60583</v>
      </c>
      <c r="F4" s="1">
        <f>'Data Sheet'!F42</f>
        <v>61237</v>
      </c>
      <c r="G4" s="1">
        <f>'Data Sheet'!G42</f>
        <v>62613</v>
      </c>
      <c r="H4" s="1">
        <f>'Data Sheet'!H42</f>
        <v>64259</v>
      </c>
      <c r="I4" s="1">
        <f>'Data Sheet'!I42</f>
        <v>63973</v>
      </c>
      <c r="J4" s="1">
        <f>'Data Sheet'!J42</f>
        <v>64479</v>
      </c>
      <c r="K4" s="1">
        <f>'Data Sheet'!K42</f>
        <v>63437</v>
      </c>
    </row>
    <row r="5" spans="1:11" x14ac:dyDescent="0.25">
      <c r="A5" t="s">
        <v>7</v>
      </c>
      <c r="B5" s="6">
        <f>'Data Sheet'!B43</f>
        <v>43388</v>
      </c>
      <c r="C5" s="6">
        <f>'Data Sheet'!C43</f>
        <v>44383</v>
      </c>
      <c r="D5" s="6">
        <f>'Data Sheet'!D43</f>
        <v>43946</v>
      </c>
      <c r="E5" s="6">
        <f>'Data Sheet'!E43</f>
        <v>44195</v>
      </c>
      <c r="F5" s="6">
        <f>'Data Sheet'!F43</f>
        <v>44073</v>
      </c>
      <c r="G5" s="6">
        <f>'Data Sheet'!G43</f>
        <v>45951</v>
      </c>
      <c r="H5" s="6">
        <f>'Data Sheet'!H43</f>
        <v>47528</v>
      </c>
      <c r="I5" s="6">
        <f>'Data Sheet'!I43</f>
        <v>46939</v>
      </c>
      <c r="J5" s="6">
        <f>'Data Sheet'!J43</f>
        <v>47499</v>
      </c>
      <c r="K5" s="6">
        <f>'Data Sheet'!K43</f>
        <v>46562</v>
      </c>
    </row>
    <row r="6" spans="1:11" s="2" customFormat="1" x14ac:dyDescent="0.25">
      <c r="A6" s="2" t="s">
        <v>8</v>
      </c>
      <c r="B6" s="1">
        <f>'Data Sheet'!B50</f>
        <v>15774</v>
      </c>
      <c r="C6" s="1">
        <f>'Data Sheet'!C50</f>
        <v>14998</v>
      </c>
      <c r="D6" s="1">
        <f>'Data Sheet'!D50</f>
        <v>15746</v>
      </c>
      <c r="E6" s="1">
        <f>'Data Sheet'!E50</f>
        <v>16388</v>
      </c>
      <c r="F6" s="1">
        <f>'Data Sheet'!F50</f>
        <v>17164</v>
      </c>
      <c r="G6" s="1">
        <f>'Data Sheet'!G50</f>
        <v>16662</v>
      </c>
      <c r="H6" s="1">
        <f>'Data Sheet'!H50</f>
        <v>16731</v>
      </c>
      <c r="I6" s="1">
        <f>'Data Sheet'!I50</f>
        <v>17034</v>
      </c>
      <c r="J6" s="1">
        <f>'Data Sheet'!J50</f>
        <v>16980</v>
      </c>
      <c r="K6" s="1">
        <f>'Data Sheet'!K50</f>
        <v>16875</v>
      </c>
    </row>
    <row r="7" spans="1:11" x14ac:dyDescent="0.25">
      <c r="A7" t="s">
        <v>9</v>
      </c>
      <c r="B7" s="6">
        <f>'Data Sheet'!B44</f>
        <v>1175</v>
      </c>
      <c r="C7" s="6">
        <f>'Data Sheet'!C44</f>
        <v>1397</v>
      </c>
      <c r="D7" s="6">
        <f>'Data Sheet'!D44</f>
        <v>1006</v>
      </c>
      <c r="E7" s="6">
        <f>'Data Sheet'!E44</f>
        <v>-96</v>
      </c>
      <c r="F7" s="6">
        <f>'Data Sheet'!F44</f>
        <v>1157</v>
      </c>
      <c r="G7" s="6">
        <f>'Data Sheet'!G44</f>
        <v>962</v>
      </c>
      <c r="H7" s="6">
        <f>'Data Sheet'!H44</f>
        <v>729</v>
      </c>
      <c r="I7" s="6">
        <f>'Data Sheet'!I44</f>
        <v>1243</v>
      </c>
      <c r="J7" s="6">
        <f>'Data Sheet'!J44</f>
        <v>1028</v>
      </c>
      <c r="K7" s="6">
        <f>'Data Sheet'!K44</f>
        <v>1660</v>
      </c>
    </row>
    <row r="8" spans="1:11" x14ac:dyDescent="0.25">
      <c r="A8" t="s">
        <v>10</v>
      </c>
      <c r="B8" s="6">
        <f>'Data Sheet'!B45</f>
        <v>1286</v>
      </c>
      <c r="C8" s="6">
        <f>'Data Sheet'!C45</f>
        <v>1243</v>
      </c>
      <c r="D8" s="6">
        <f>'Data Sheet'!D45</f>
        <v>1263</v>
      </c>
      <c r="E8" s="6">
        <f>'Data Sheet'!E45</f>
        <v>1233</v>
      </c>
      <c r="F8" s="6">
        <f>'Data Sheet'!F45</f>
        <v>1246</v>
      </c>
      <c r="G8" s="6">
        <f>'Data Sheet'!G45</f>
        <v>1220</v>
      </c>
      <c r="H8" s="6">
        <f>'Data Sheet'!H45</f>
        <v>1266</v>
      </c>
      <c r="I8" s="6">
        <f>'Data Sheet'!I45</f>
        <v>1377</v>
      </c>
      <c r="J8" s="6">
        <f>'Data Sheet'!J45</f>
        <v>1379</v>
      </c>
      <c r="K8" s="6">
        <f>'Data Sheet'!K45</f>
        <v>1361</v>
      </c>
    </row>
    <row r="9" spans="1:11" x14ac:dyDescent="0.25">
      <c r="A9" t="s">
        <v>11</v>
      </c>
      <c r="B9" s="6">
        <f>'Data Sheet'!B46</f>
        <v>272</v>
      </c>
      <c r="C9" s="6">
        <f>'Data Sheet'!C46</f>
        <v>163</v>
      </c>
      <c r="D9" s="6">
        <f>'Data Sheet'!D46</f>
        <v>159</v>
      </c>
      <c r="E9" s="6">
        <f>'Data Sheet'!E46</f>
        <v>230</v>
      </c>
      <c r="F9" s="6">
        <f>'Data Sheet'!F46</f>
        <v>226</v>
      </c>
      <c r="G9" s="6">
        <f>'Data Sheet'!G46</f>
        <v>173</v>
      </c>
      <c r="H9" s="6">
        <f>'Data Sheet'!H46</f>
        <v>162</v>
      </c>
      <c r="I9" s="6">
        <f>'Data Sheet'!I46</f>
        <v>234</v>
      </c>
      <c r="J9" s="6">
        <f>'Data Sheet'!J46</f>
        <v>227</v>
      </c>
      <c r="K9" s="6">
        <f>'Data Sheet'!K46</f>
        <v>195</v>
      </c>
    </row>
    <row r="10" spans="1:11" x14ac:dyDescent="0.25">
      <c r="A10" t="s">
        <v>12</v>
      </c>
      <c r="B10" s="6">
        <f>'Data Sheet'!B47</f>
        <v>15391</v>
      </c>
      <c r="C10" s="6">
        <f>'Data Sheet'!C47</f>
        <v>14989</v>
      </c>
      <c r="D10" s="6">
        <f>'Data Sheet'!D47</f>
        <v>15330</v>
      </c>
      <c r="E10" s="6">
        <f>'Data Sheet'!E47</f>
        <v>14829</v>
      </c>
      <c r="F10" s="6">
        <f>'Data Sheet'!F47</f>
        <v>16849</v>
      </c>
      <c r="G10" s="6">
        <f>'Data Sheet'!G47</f>
        <v>16231</v>
      </c>
      <c r="H10" s="6">
        <f>'Data Sheet'!H47</f>
        <v>16032</v>
      </c>
      <c r="I10" s="6">
        <f>'Data Sheet'!I47</f>
        <v>16666</v>
      </c>
      <c r="J10" s="6">
        <f>'Data Sheet'!J47</f>
        <v>16402</v>
      </c>
      <c r="K10" s="6">
        <f>'Data Sheet'!K47</f>
        <v>16979</v>
      </c>
    </row>
    <row r="11" spans="1:11" x14ac:dyDescent="0.25">
      <c r="A11" t="s">
        <v>13</v>
      </c>
      <c r="B11" s="6">
        <f>'Data Sheet'!B48</f>
        <v>3955</v>
      </c>
      <c r="C11" s="6">
        <f>'Data Sheet'!C48</f>
        <v>3869</v>
      </c>
      <c r="D11" s="6">
        <f>'Data Sheet'!D48</f>
        <v>3950</v>
      </c>
      <c r="E11" s="6">
        <f>'Data Sheet'!E48</f>
        <v>3732</v>
      </c>
      <c r="F11" s="6">
        <f>'Data Sheet'!F48</f>
        <v>4347</v>
      </c>
      <c r="G11" s="6">
        <f>'Data Sheet'!G48</f>
        <v>4126</v>
      </c>
      <c r="H11" s="6">
        <f>'Data Sheet'!H48</f>
        <v>4077</v>
      </c>
      <c r="I11" s="6">
        <f>'Data Sheet'!I48</f>
        <v>4222</v>
      </c>
      <c r="J11" s="6">
        <f>'Data Sheet'!J48</f>
        <v>4109</v>
      </c>
      <c r="K11" s="6">
        <f>'Data Sheet'!K48</f>
        <v>4160</v>
      </c>
    </row>
    <row r="12" spans="1:11" s="2" customFormat="1" x14ac:dyDescent="0.25">
      <c r="A12" s="2" t="s">
        <v>14</v>
      </c>
      <c r="B12" s="1">
        <f>'Data Sheet'!B49</f>
        <v>11392</v>
      </c>
      <c r="C12" s="1">
        <f>'Data Sheet'!C49</f>
        <v>11074</v>
      </c>
      <c r="D12" s="1">
        <f>'Data Sheet'!D49</f>
        <v>11342</v>
      </c>
      <c r="E12" s="1">
        <f>'Data Sheet'!E49</f>
        <v>11058</v>
      </c>
      <c r="F12" s="1">
        <f>'Data Sheet'!F49</f>
        <v>12434</v>
      </c>
      <c r="G12" s="1">
        <f>'Data Sheet'!G49</f>
        <v>12040</v>
      </c>
      <c r="H12" s="1">
        <f>'Data Sheet'!H49</f>
        <v>11909</v>
      </c>
      <c r="I12" s="1">
        <f>'Data Sheet'!I49</f>
        <v>12380</v>
      </c>
      <c r="J12" s="1">
        <f>'Data Sheet'!J49</f>
        <v>12224</v>
      </c>
      <c r="K12" s="1">
        <f>'Data Sheet'!K49</f>
        <v>12760</v>
      </c>
    </row>
    <row r="14" spans="1:11" s="2" customFormat="1" x14ac:dyDescent="0.25">
      <c r="A14" s="2" t="s">
        <v>18</v>
      </c>
      <c r="B14" s="10">
        <f>IF(B4&gt;0,B6/B4,"")</f>
        <v>0.26662384638788411</v>
      </c>
      <c r="C14" s="10">
        <f t="shared" ref="C14:K14" si="0">IF(C4&gt;0,C6/C4,"")</f>
        <v>0.25257237163402435</v>
      </c>
      <c r="D14" s="10">
        <f t="shared" si="0"/>
        <v>0.26378744220331035</v>
      </c>
      <c r="E14" s="10">
        <f t="shared" si="0"/>
        <v>0.27050492712477098</v>
      </c>
      <c r="F14" s="10">
        <f t="shared" si="0"/>
        <v>0.28028806113950716</v>
      </c>
      <c r="G14" s="10">
        <f t="shared" si="0"/>
        <v>0.26611087154424801</v>
      </c>
      <c r="H14" s="10">
        <f t="shared" si="0"/>
        <v>0.2603681974509407</v>
      </c>
      <c r="I14" s="10">
        <f t="shared" si="0"/>
        <v>0.26626858205805576</v>
      </c>
      <c r="J14" s="10">
        <f t="shared" si="0"/>
        <v>0.2633415530637882</v>
      </c>
      <c r="K14" s="10">
        <f t="shared" si="0"/>
        <v>0.26601194886265112</v>
      </c>
    </row>
    <row r="22" s="19" customFormat="1" x14ac:dyDescent="0.2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7"/>
  <sheetViews>
    <sheetView zoomScale="125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B15" sqref="B15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 x14ac:dyDescent="0.25">
      <c r="A1" s="2" t="str">
        <f>'Profit &amp; Loss'!A1</f>
        <v>TATA CONSULTANCY SERVICES LTD</v>
      </c>
      <c r="E1" t="str">
        <f>UPDATE</f>
        <v/>
      </c>
      <c r="G1"/>
      <c r="J1" s="2" t="s">
        <v>1</v>
      </c>
    </row>
    <row r="2" spans="1:11" x14ac:dyDescent="0.25">
      <c r="G2" s="2"/>
      <c r="H2" s="2"/>
    </row>
    <row r="3" spans="1:11" x14ac:dyDescent="0.25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25">
      <c r="A4" t="s">
        <v>24</v>
      </c>
      <c r="B4" s="14">
        <f>'Data Sheet'!B57</f>
        <v>197</v>
      </c>
      <c r="C4" s="14">
        <f>'Data Sheet'!C57</f>
        <v>197</v>
      </c>
      <c r="D4" s="14">
        <f>'Data Sheet'!D57</f>
        <v>191</v>
      </c>
      <c r="E4" s="14">
        <f>'Data Sheet'!E57</f>
        <v>375</v>
      </c>
      <c r="F4" s="14">
        <f>'Data Sheet'!F57</f>
        <v>375</v>
      </c>
      <c r="G4" s="14">
        <f>'Data Sheet'!G57</f>
        <v>370</v>
      </c>
      <c r="H4" s="14">
        <f>'Data Sheet'!H57</f>
        <v>366</v>
      </c>
      <c r="I4" s="14">
        <f>'Data Sheet'!I57</f>
        <v>366</v>
      </c>
      <c r="J4" s="14">
        <f>'Data Sheet'!J57</f>
        <v>362</v>
      </c>
      <c r="K4" s="14">
        <f>'Data Sheet'!K57</f>
        <v>362</v>
      </c>
    </row>
    <row r="5" spans="1:11" x14ac:dyDescent="0.25">
      <c r="A5" t="s">
        <v>25</v>
      </c>
      <c r="B5" s="14">
        <f>'Data Sheet'!B58</f>
        <v>70875</v>
      </c>
      <c r="C5" s="14">
        <f>'Data Sheet'!C58</f>
        <v>86017</v>
      </c>
      <c r="D5" s="14">
        <f>'Data Sheet'!D58</f>
        <v>84937</v>
      </c>
      <c r="E5" s="14">
        <f>'Data Sheet'!E58</f>
        <v>89071</v>
      </c>
      <c r="F5" s="14">
        <f>'Data Sheet'!F58</f>
        <v>83751</v>
      </c>
      <c r="G5" s="14">
        <f>'Data Sheet'!G58</f>
        <v>86063</v>
      </c>
      <c r="H5" s="14">
        <f>'Data Sheet'!H58</f>
        <v>88773</v>
      </c>
      <c r="I5" s="14">
        <f>'Data Sheet'!I58</f>
        <v>90058</v>
      </c>
      <c r="J5" s="14">
        <f>'Data Sheet'!J58</f>
        <v>90127</v>
      </c>
      <c r="K5" s="14">
        <f>'Data Sheet'!K58</f>
        <v>94394</v>
      </c>
    </row>
    <row r="6" spans="1:11" x14ac:dyDescent="0.25">
      <c r="A6" t="s">
        <v>62</v>
      </c>
      <c r="B6" s="14">
        <f>'Data Sheet'!B59</f>
        <v>245</v>
      </c>
      <c r="C6" s="14">
        <f>'Data Sheet'!C59</f>
        <v>289</v>
      </c>
      <c r="D6" s="14">
        <f>'Data Sheet'!D59</f>
        <v>247</v>
      </c>
      <c r="E6" s="14">
        <f>'Data Sheet'!E59</f>
        <v>62</v>
      </c>
      <c r="F6" s="14">
        <f>'Data Sheet'!F59</f>
        <v>8174</v>
      </c>
      <c r="G6" s="14">
        <f>'Data Sheet'!G59</f>
        <v>7795</v>
      </c>
      <c r="H6" s="14">
        <f>'Data Sheet'!H59</f>
        <v>7818</v>
      </c>
      <c r="I6" s="14">
        <f>'Data Sheet'!I59</f>
        <v>7688</v>
      </c>
      <c r="J6" s="14">
        <f>'Data Sheet'!J59</f>
        <v>8021</v>
      </c>
      <c r="K6" s="14">
        <f>'Data Sheet'!K59</f>
        <v>9392</v>
      </c>
    </row>
    <row r="7" spans="1:11" x14ac:dyDescent="0.25">
      <c r="A7" t="s">
        <v>63</v>
      </c>
      <c r="B7" s="14">
        <f>'Data Sheet'!B60</f>
        <v>16974</v>
      </c>
      <c r="C7" s="14">
        <f>'Data Sheet'!C60</f>
        <v>15830</v>
      </c>
      <c r="D7" s="14">
        <f>'Data Sheet'!D60</f>
        <v>19751</v>
      </c>
      <c r="E7" s="14">
        <f>'Data Sheet'!E60</f>
        <v>24393</v>
      </c>
      <c r="F7" s="14">
        <f>'Data Sheet'!F60</f>
        <v>27827</v>
      </c>
      <c r="G7" s="14">
        <f>'Data Sheet'!G60</f>
        <v>35764</v>
      </c>
      <c r="H7" s="14">
        <f>'Data Sheet'!H60</f>
        <v>43967</v>
      </c>
      <c r="I7" s="14">
        <f>'Data Sheet'!I60</f>
        <v>44747</v>
      </c>
      <c r="J7" s="14">
        <f>'Data Sheet'!J60</f>
        <v>46962</v>
      </c>
      <c r="K7" s="14">
        <f>'Data Sheet'!K60</f>
        <v>54501</v>
      </c>
    </row>
    <row r="8" spans="1:11" s="2" customFormat="1" x14ac:dyDescent="0.25">
      <c r="A8" s="2" t="s">
        <v>26</v>
      </c>
      <c r="B8" s="15">
        <f>'Data Sheet'!B61</f>
        <v>88291</v>
      </c>
      <c r="C8" s="15">
        <f>'Data Sheet'!C61</f>
        <v>102333</v>
      </c>
      <c r="D8" s="15">
        <f>'Data Sheet'!D61</f>
        <v>105126</v>
      </c>
      <c r="E8" s="15">
        <f>'Data Sheet'!E61</f>
        <v>113901</v>
      </c>
      <c r="F8" s="15">
        <f>'Data Sheet'!F61</f>
        <v>120127</v>
      </c>
      <c r="G8" s="15">
        <f>'Data Sheet'!G61</f>
        <v>129992</v>
      </c>
      <c r="H8" s="15">
        <f>'Data Sheet'!H61</f>
        <v>140924</v>
      </c>
      <c r="I8" s="15">
        <f>'Data Sheet'!I61</f>
        <v>142859</v>
      </c>
      <c r="J8" s="15">
        <f>'Data Sheet'!J61</f>
        <v>145472</v>
      </c>
      <c r="K8" s="15">
        <f>'Data Sheet'!K61</f>
        <v>158649</v>
      </c>
    </row>
    <row r="9" spans="1:11" s="2" customForma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t="s">
        <v>27</v>
      </c>
      <c r="B10" s="14">
        <f>'Data Sheet'!B62</f>
        <v>11774</v>
      </c>
      <c r="C10" s="14">
        <f>'Data Sheet'!C62</f>
        <v>11701</v>
      </c>
      <c r="D10" s="14">
        <f>'Data Sheet'!D62</f>
        <v>11973</v>
      </c>
      <c r="E10" s="14">
        <f>'Data Sheet'!E62</f>
        <v>12290</v>
      </c>
      <c r="F10" s="14">
        <f>'Data Sheet'!F62</f>
        <v>20928</v>
      </c>
      <c r="G10" s="14">
        <f>'Data Sheet'!G62</f>
        <v>21021</v>
      </c>
      <c r="H10" s="14">
        <f>'Data Sheet'!H62</f>
        <v>21298</v>
      </c>
      <c r="I10" s="14">
        <f>'Data Sheet'!I62</f>
        <v>20515</v>
      </c>
      <c r="J10" s="14">
        <f>'Data Sheet'!J62</f>
        <v>19604</v>
      </c>
      <c r="K10" s="14">
        <f>'Data Sheet'!K62</f>
        <v>23053</v>
      </c>
    </row>
    <row r="11" spans="1:11" x14ac:dyDescent="0.25">
      <c r="A11" t="s">
        <v>28</v>
      </c>
      <c r="B11" s="14">
        <f>'Data Sheet'!B63</f>
        <v>1670</v>
      </c>
      <c r="C11" s="14">
        <f>'Data Sheet'!C63</f>
        <v>1541</v>
      </c>
      <c r="D11" s="14">
        <f>'Data Sheet'!D63</f>
        <v>1278</v>
      </c>
      <c r="E11" s="14">
        <f>'Data Sheet'!E63</f>
        <v>963</v>
      </c>
      <c r="F11" s="14">
        <f>'Data Sheet'!F63</f>
        <v>906</v>
      </c>
      <c r="G11" s="14">
        <f>'Data Sheet'!G63</f>
        <v>926</v>
      </c>
      <c r="H11" s="14">
        <f>'Data Sheet'!H63</f>
        <v>1205</v>
      </c>
      <c r="I11" s="14">
        <f>'Data Sheet'!I63</f>
        <v>1234</v>
      </c>
      <c r="J11" s="14">
        <f>'Data Sheet'!J63</f>
        <v>1564</v>
      </c>
      <c r="K11" s="14">
        <f>'Data Sheet'!K63</f>
        <v>1546</v>
      </c>
    </row>
    <row r="12" spans="1:11" x14ac:dyDescent="0.25">
      <c r="A12" t="s">
        <v>29</v>
      </c>
      <c r="B12" s="14">
        <f>'Data Sheet'!B64</f>
        <v>22822</v>
      </c>
      <c r="C12" s="14">
        <f>'Data Sheet'!C64</f>
        <v>41980</v>
      </c>
      <c r="D12" s="14">
        <f>'Data Sheet'!D64</f>
        <v>36008</v>
      </c>
      <c r="E12" s="14">
        <f>'Data Sheet'!E64</f>
        <v>29330</v>
      </c>
      <c r="F12" s="14">
        <f>'Data Sheet'!F64</f>
        <v>26356</v>
      </c>
      <c r="G12" s="14">
        <f>'Data Sheet'!G64</f>
        <v>29373</v>
      </c>
      <c r="H12" s="14">
        <f>'Data Sheet'!H64</f>
        <v>30485</v>
      </c>
      <c r="I12" s="14">
        <f>'Data Sheet'!I64</f>
        <v>37163</v>
      </c>
      <c r="J12" s="14">
        <f>'Data Sheet'!J64</f>
        <v>31762</v>
      </c>
      <c r="K12" s="14">
        <f>'Data Sheet'!K64</f>
        <v>30964</v>
      </c>
    </row>
    <row r="13" spans="1:11" x14ac:dyDescent="0.25">
      <c r="A13" t="s">
        <v>64</v>
      </c>
      <c r="B13" s="14">
        <f>'Data Sheet'!B65</f>
        <v>52025</v>
      </c>
      <c r="C13" s="14">
        <f>'Data Sheet'!C65</f>
        <v>47111</v>
      </c>
      <c r="D13" s="14">
        <f>'Data Sheet'!D65</f>
        <v>55867</v>
      </c>
      <c r="E13" s="14">
        <f>'Data Sheet'!E65</f>
        <v>71318</v>
      </c>
      <c r="F13" s="14">
        <f>'Data Sheet'!F65</f>
        <v>71937</v>
      </c>
      <c r="G13" s="14">
        <f>'Data Sheet'!G65</f>
        <v>78672</v>
      </c>
      <c r="H13" s="14">
        <f>'Data Sheet'!H65</f>
        <v>87936</v>
      </c>
      <c r="I13" s="14">
        <f>'Data Sheet'!I65</f>
        <v>83947</v>
      </c>
      <c r="J13" s="14">
        <f>'Data Sheet'!J65</f>
        <v>92542</v>
      </c>
      <c r="K13" s="14">
        <f>'Data Sheet'!K65</f>
        <v>103086</v>
      </c>
    </row>
    <row r="14" spans="1:11" s="2" customFormat="1" x14ac:dyDescent="0.25">
      <c r="A14" s="2" t="s">
        <v>26</v>
      </c>
      <c r="B14" s="14">
        <f>'Data Sheet'!B66</f>
        <v>88291</v>
      </c>
      <c r="C14" s="14">
        <f>'Data Sheet'!C66</f>
        <v>102333</v>
      </c>
      <c r="D14" s="14">
        <f>'Data Sheet'!D66</f>
        <v>105126</v>
      </c>
      <c r="E14" s="14">
        <f>'Data Sheet'!E66</f>
        <v>113901</v>
      </c>
      <c r="F14" s="14">
        <f>'Data Sheet'!F66</f>
        <v>120127</v>
      </c>
      <c r="G14" s="14">
        <f>'Data Sheet'!G66</f>
        <v>129992</v>
      </c>
      <c r="H14" s="14">
        <f>'Data Sheet'!H66</f>
        <v>140924</v>
      </c>
      <c r="I14" s="14">
        <f>'Data Sheet'!I66</f>
        <v>142859</v>
      </c>
      <c r="J14" s="14">
        <f>'Data Sheet'!J66</f>
        <v>145472</v>
      </c>
      <c r="K14" s="14">
        <f>'Data Sheet'!K66</f>
        <v>158649</v>
      </c>
    </row>
    <row r="15" spans="1:1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t="s">
        <v>30</v>
      </c>
      <c r="B16" s="4">
        <f>B13-B7</f>
        <v>35051</v>
      </c>
      <c r="C16" s="4">
        <f t="shared" ref="C16:K16" si="0">C13-C7</f>
        <v>31281</v>
      </c>
      <c r="D16" s="4">
        <f t="shared" si="0"/>
        <v>36116</v>
      </c>
      <c r="E16" s="4">
        <f t="shared" si="0"/>
        <v>46925</v>
      </c>
      <c r="F16" s="4">
        <f t="shared" si="0"/>
        <v>44110</v>
      </c>
      <c r="G16" s="4">
        <f t="shared" si="0"/>
        <v>42908</v>
      </c>
      <c r="H16" s="4">
        <f t="shared" si="0"/>
        <v>43969</v>
      </c>
      <c r="I16" s="4">
        <f t="shared" si="0"/>
        <v>39200</v>
      </c>
      <c r="J16" s="4">
        <f t="shared" si="0"/>
        <v>45580</v>
      </c>
      <c r="K16" s="4">
        <f t="shared" si="0"/>
        <v>48585</v>
      </c>
    </row>
    <row r="17" spans="1:11" x14ac:dyDescent="0.25">
      <c r="A17" t="s">
        <v>44</v>
      </c>
      <c r="B17" s="4">
        <f>'Data Sheet'!B67</f>
        <v>24073</v>
      </c>
      <c r="C17" s="4">
        <f>'Data Sheet'!C67</f>
        <v>22617</v>
      </c>
      <c r="D17" s="4">
        <f>'Data Sheet'!D67</f>
        <v>24943</v>
      </c>
      <c r="E17" s="4">
        <f>'Data Sheet'!E67</f>
        <v>27346</v>
      </c>
      <c r="F17" s="4">
        <f>'Data Sheet'!F67</f>
        <v>30532</v>
      </c>
      <c r="G17" s="4">
        <f>'Data Sheet'!G67</f>
        <v>30079</v>
      </c>
      <c r="H17" s="4">
        <f>'Data Sheet'!H67</f>
        <v>41810</v>
      </c>
      <c r="I17" s="4">
        <f>'Data Sheet'!I67</f>
        <v>49954</v>
      </c>
      <c r="J17" s="4">
        <f>'Data Sheet'!J67</f>
        <v>53577</v>
      </c>
      <c r="K17" s="4">
        <f>'Data Sheet'!K67</f>
        <v>59046</v>
      </c>
    </row>
    <row r="18" spans="1:11" x14ac:dyDescent="0.25">
      <c r="A18" t="s">
        <v>45</v>
      </c>
      <c r="B18" s="4">
        <f>'Data Sheet'!B68</f>
        <v>16</v>
      </c>
      <c r="C18" s="4">
        <f>'Data Sheet'!C68</f>
        <v>21</v>
      </c>
      <c r="D18" s="4">
        <f>'Data Sheet'!D68</f>
        <v>26</v>
      </c>
      <c r="E18" s="4">
        <f>'Data Sheet'!E68</f>
        <v>10</v>
      </c>
      <c r="F18" s="4">
        <f>'Data Sheet'!F68</f>
        <v>5</v>
      </c>
      <c r="G18" s="4">
        <f>'Data Sheet'!G68</f>
        <v>8</v>
      </c>
      <c r="H18" s="4">
        <f>'Data Sheet'!H68</f>
        <v>20</v>
      </c>
      <c r="I18" s="4">
        <f>'Data Sheet'!I68</f>
        <v>28</v>
      </c>
      <c r="J18" s="4">
        <f>'Data Sheet'!J68</f>
        <v>28</v>
      </c>
      <c r="K18" s="4">
        <f>'Data Sheet'!K68</f>
        <v>21</v>
      </c>
    </row>
    <row r="20" spans="1:11" x14ac:dyDescent="0.25">
      <c r="A20" t="s">
        <v>46</v>
      </c>
      <c r="B20" s="4">
        <f>IF('Profit &amp; Loss'!B4&gt;0,'Balance Sheet'!B17/('Profit &amp; Loss'!B4/365),0)</f>
        <v>80.87407727850082</v>
      </c>
      <c r="C20" s="4">
        <f>IF('Profit &amp; Loss'!C4&gt;0,'Balance Sheet'!C17/('Profit &amp; Loss'!C4/365),0)</f>
        <v>69.979527999593103</v>
      </c>
      <c r="D20" s="4">
        <f>IF('Profit &amp; Loss'!D4&gt;0,'Balance Sheet'!D17/('Profit &amp; Loss'!D4/365),0)</f>
        <v>73.955314205874714</v>
      </c>
      <c r="E20" s="4">
        <f>IF('Profit &amp; Loss'!E4&gt;0,'Balance Sheet'!E17/('Profit &amp; Loss'!E4/365),0)</f>
        <v>68.148884018489312</v>
      </c>
      <c r="F20" s="4">
        <f>IF('Profit &amp; Loss'!F4&gt;0,'Balance Sheet'!F17/('Profit &amp; Loss'!F4/365),0)</f>
        <v>71.005103568675182</v>
      </c>
      <c r="G20" s="4">
        <f>IF('Profit &amp; Loss'!G4&gt;0,'Balance Sheet'!G17/('Profit &amp; Loss'!G4/365),0)</f>
        <v>66.871943085815914</v>
      </c>
      <c r="H20" s="4">
        <f>IF('Profit &amp; Loss'!H4&gt;0,'Balance Sheet'!H17/('Profit &amp; Loss'!H4/365),0)</f>
        <v>79.584519749262085</v>
      </c>
      <c r="I20" s="4">
        <f>IF('Profit &amp; Loss'!I4&gt;0,'Balance Sheet'!I17/('Profit &amp; Loss'!I4/365),0)</f>
        <v>80.871869705222252</v>
      </c>
      <c r="J20" s="4">
        <f>IF('Profit &amp; Loss'!J4&gt;0,'Balance Sheet'!J17/('Profit &amp; Loss'!J4/365),0)</f>
        <v>81.179631620678052</v>
      </c>
      <c r="K20" s="4">
        <f>IF('Profit &amp; Loss'!K4&gt;0,'Balance Sheet'!K17/('Profit &amp; Loss'!K4/365),0)</f>
        <v>84.409573718099367</v>
      </c>
    </row>
    <row r="21" spans="1:11" x14ac:dyDescent="0.25">
      <c r="A21" t="s">
        <v>47</v>
      </c>
      <c r="B21" s="4">
        <f>IF('Balance Sheet'!B18&gt;0,'Profit &amp; Loss'!B4/'Balance Sheet'!B18,0)</f>
        <v>6790.375</v>
      </c>
      <c r="C21" s="4">
        <f>IF('Balance Sheet'!C18&gt;0,'Profit &amp; Loss'!C4/'Balance Sheet'!C18,0)</f>
        <v>5617.4285714285716</v>
      </c>
      <c r="D21" s="4">
        <f>IF('Balance Sheet'!D18&gt;0,'Profit &amp; Loss'!D4/'Balance Sheet'!D18,0)</f>
        <v>4734.7692307692305</v>
      </c>
      <c r="E21" s="4">
        <f>IF('Balance Sheet'!E18&gt;0,'Profit &amp; Loss'!E4/'Balance Sheet'!E18,0)</f>
        <v>14646.3</v>
      </c>
      <c r="F21" s="4">
        <f>IF('Balance Sheet'!F18&gt;0,'Profit &amp; Loss'!F4/'Balance Sheet'!F18,0)</f>
        <v>31389.8</v>
      </c>
      <c r="G21" s="4">
        <f>IF('Balance Sheet'!G18&gt;0,'Profit &amp; Loss'!G4/'Balance Sheet'!G18,0)</f>
        <v>20522.125</v>
      </c>
      <c r="H21" s="4">
        <f>IF('Balance Sheet'!H18&gt;0,'Profit &amp; Loss'!H4/'Balance Sheet'!H18,0)</f>
        <v>9587.7000000000007</v>
      </c>
      <c r="I21" s="4">
        <f>IF('Balance Sheet'!I18&gt;0,'Profit &amp; Loss'!I4/'Balance Sheet'!I18,0)</f>
        <v>8052.0714285714284</v>
      </c>
      <c r="J21" s="4">
        <f>IF('Balance Sheet'!J18&gt;0,'Profit &amp; Loss'!J4/'Balance Sheet'!J18,0)</f>
        <v>8603.3214285714294</v>
      </c>
      <c r="K21" s="4">
        <f>IF('Balance Sheet'!K18&gt;0,'Profit &amp; Loss'!K4/'Balance Sheet'!K18,0)</f>
        <v>12158.285714285714</v>
      </c>
    </row>
    <row r="23" spans="1:11" s="2" customFormat="1" x14ac:dyDescent="0.25">
      <c r="A23" s="2" t="s">
        <v>50</v>
      </c>
      <c r="B23" s="10">
        <f>IF(SUM('Balance Sheet'!B4:B5)&gt;0,'Profit &amp; Loss'!B12/SUM('Balance Sheet'!B4:B5),"")</f>
        <v>0.3414846915803692</v>
      </c>
      <c r="C23" s="10">
        <f>IF(SUM('Balance Sheet'!C4:C5)&gt;0,'Profit &amp; Loss'!C12/SUM('Balance Sheet'!C4:C5),"")</f>
        <v>0.30492727399262298</v>
      </c>
      <c r="D23" s="10">
        <f>IF(SUM('Balance Sheet'!D4:D5)&gt;0,'Profit &amp; Loss'!D12/SUM('Balance Sheet'!D4:D5),"")</f>
        <v>0.30337844187576357</v>
      </c>
      <c r="E23" s="10">
        <f>IF(SUM('Balance Sheet'!E4:E5)&gt;0,'Profit &amp; Loss'!E12/SUM('Balance Sheet'!E4:E5),"")</f>
        <v>0.35185475035216779</v>
      </c>
      <c r="F23" s="10">
        <f>IF(SUM('Balance Sheet'!F4:F5)&gt;0,'Profit &amp; Loss'!F12/SUM('Balance Sheet'!F4:F5),"")</f>
        <v>0.38442336495257112</v>
      </c>
      <c r="G23" s="10">
        <f>IF(SUM('Balance Sheet'!G4:G5)&gt;0,'Profit &amp; Loss'!G12/SUM('Balance Sheet'!G4:G5),"")</f>
        <v>0.37520391517128876</v>
      </c>
      <c r="H23" s="10">
        <f>IF(SUM('Balance Sheet'!H4:H5)&gt;0,'Profit &amp; Loss'!H12/SUM('Balance Sheet'!H4:H5),"")</f>
        <v>0.42996892493745725</v>
      </c>
      <c r="I23" s="10">
        <f>IF(SUM('Balance Sheet'!I4:I5)&gt;0,'Profit &amp; Loss'!I12/SUM('Balance Sheet'!I4:I5),"")</f>
        <v>0.46610413164646552</v>
      </c>
      <c r="J23" s="10">
        <f>IF(SUM('Balance Sheet'!J4:J5)&gt;0,'Profit &amp; Loss'!J12/SUM('Balance Sheet'!J4:J5),"")</f>
        <v>0.50733238294157301</v>
      </c>
      <c r="K23" s="10">
        <f>IF(SUM('Balance Sheet'!K4:K5)&gt;0,'Profit &amp; Loss'!K12/SUM('Balance Sheet'!K4:K5),"")</f>
        <v>0.51240027016758838</v>
      </c>
    </row>
    <row r="24" spans="1:11" s="2" customFormat="1" x14ac:dyDescent="0.25">
      <c r="A24" s="2" t="s">
        <v>51</v>
      </c>
      <c r="B24" s="10"/>
      <c r="C24" s="10">
        <f>IF((B4+B5+B6+C4+C5+C6)&gt;0,('Profit &amp; Loss'!C10+'Profit &amp; Loss'!C9)*2/(B4+B5+B6+C4+C5+C6),"")</f>
        <v>0.4377772145482195</v>
      </c>
      <c r="D24" s="10">
        <f>IF((C4+C5+C6+D4+D5+D6)&gt;0,('Profit &amp; Loss'!D10+'Profit &amp; Loss'!D9)*2/(C4+C5+C6+D4+D5+D6),"")</f>
        <v>0.39730506522067977</v>
      </c>
      <c r="E24" s="10">
        <f>IF((D4+D5+D6+E4+E5+E6)&gt;0,('Profit &amp; Loss'!E10+'Profit &amp; Loss'!E9)*2/(D4+D5+D6+E4+E5+E6),"")</f>
        <v>0.47758787303511491</v>
      </c>
      <c r="F24" s="10">
        <f>IF((E4+E5+E6+F4+F5+F6)&gt;0,('Profit &amp; Loss'!F10+'Profit &amp; Loss'!F9)*2/(E4+E5+E6+F4+F5+F6),"")</f>
        <v>0.47491859544134474</v>
      </c>
      <c r="G24" s="10">
        <f>IF((F4+F5+F6+G4+G5+G6)&gt;0,('Profit &amp; Loss'!G10+'Profit &amp; Loss'!G9)*2/(F4+F5+F6+G4+G5+G6),"")</f>
        <v>0.4760357694287185</v>
      </c>
      <c r="H24" s="10">
        <f>IF((G4+G5+G6+H4+H5+H6)&gt;0,('Profit &amp; Loss'!H10+'Profit &amp; Loss'!H9)*2/(G4+G5+G6+H4+H5+H6),"")</f>
        <v>0.54890289510160317</v>
      </c>
      <c r="I24" s="10">
        <f>IF((H4+H5+H6+I4+I5+I6)&gt;0,('Profit &amp; Loss'!I10+'Profit &amp; Loss'!I9)*2/(H4+H5+H6+I4+I5+I6),"")</f>
        <v>0.59144200257344837</v>
      </c>
      <c r="J24" s="10">
        <f>IF((I4+I5+I6+J4+J5+J6)&gt;0,('Profit &amp; Loss'!J10+'Profit &amp; Loss'!J9)*2/(I4+I5+I6+J4+J5+J6),"")</f>
        <v>0.63853485367863205</v>
      </c>
      <c r="K24" s="10">
        <f>IF((J4+J5+J6+K4+K5+K6)&gt;0,('Profit &amp; Loss'!K10+'Profit &amp; Loss'!K9)*2/(J4+J5+J6+K4+K5+K6),"")</f>
        <v>0.65259698605532468</v>
      </c>
    </row>
    <row r="27" spans="1:11" x14ac:dyDescent="0.25">
      <c r="B27" s="36"/>
      <c r="C27" s="36"/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10" zoomScaleNormal="110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 x14ac:dyDescent="0.25">
      <c r="A1" s="2" t="str">
        <f>'Balance Sheet'!A1</f>
        <v>TATA CONSULTANCY SERVICES LTD</v>
      </c>
      <c r="E1" t="str">
        <f>UPDATE</f>
        <v/>
      </c>
      <c r="F1"/>
      <c r="J1" s="2" t="s">
        <v>1</v>
      </c>
    </row>
    <row r="3" spans="1:11" s="2" customFormat="1" x14ac:dyDescent="0.25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25">
      <c r="A4" s="2" t="s">
        <v>32</v>
      </c>
      <c r="B4" s="1">
        <f>'Data Sheet'!B82</f>
        <v>19109</v>
      </c>
      <c r="C4" s="1">
        <f>'Data Sheet'!C82</f>
        <v>25223</v>
      </c>
      <c r="D4" s="1">
        <f>'Data Sheet'!D82</f>
        <v>25067</v>
      </c>
      <c r="E4" s="1">
        <f>'Data Sheet'!E82</f>
        <v>28593</v>
      </c>
      <c r="F4" s="1">
        <f>'Data Sheet'!F82</f>
        <v>32369</v>
      </c>
      <c r="G4" s="1">
        <f>'Data Sheet'!G82</f>
        <v>38802</v>
      </c>
      <c r="H4" s="1">
        <f>'Data Sheet'!H82</f>
        <v>39949</v>
      </c>
      <c r="I4" s="1">
        <f>'Data Sheet'!I82</f>
        <v>41965</v>
      </c>
      <c r="J4" s="1">
        <f>'Data Sheet'!J82</f>
        <v>44338</v>
      </c>
      <c r="K4" s="1">
        <f>'Data Sheet'!K82</f>
        <v>48908</v>
      </c>
    </row>
    <row r="5" spans="1:11" x14ac:dyDescent="0.25">
      <c r="A5" t="s">
        <v>33</v>
      </c>
      <c r="B5" s="6">
        <f>'Data Sheet'!B83</f>
        <v>-5010</v>
      </c>
      <c r="C5" s="6">
        <f>'Data Sheet'!C83</f>
        <v>-16895</v>
      </c>
      <c r="D5" s="6">
        <f>'Data Sheet'!D83</f>
        <v>3104</v>
      </c>
      <c r="E5" s="6">
        <f>'Data Sheet'!E83</f>
        <v>1645</v>
      </c>
      <c r="F5" s="6">
        <f>'Data Sheet'!F83</f>
        <v>8968</v>
      </c>
      <c r="G5" s="6">
        <f>'Data Sheet'!G83</f>
        <v>-7956</v>
      </c>
      <c r="H5" s="6">
        <f>'Data Sheet'!H83</f>
        <v>-738</v>
      </c>
      <c r="I5" s="6">
        <f>'Data Sheet'!I83</f>
        <v>548</v>
      </c>
      <c r="J5" s="6">
        <f>'Data Sheet'!J83</f>
        <v>6091</v>
      </c>
      <c r="K5" s="6">
        <f>'Data Sheet'!K83</f>
        <v>-2144</v>
      </c>
    </row>
    <row r="6" spans="1:11" x14ac:dyDescent="0.25">
      <c r="A6" t="s">
        <v>34</v>
      </c>
      <c r="B6" s="6">
        <f>'Data Sheet'!B84</f>
        <v>-9666</v>
      </c>
      <c r="C6" s="6">
        <f>'Data Sheet'!C84</f>
        <v>-11026</v>
      </c>
      <c r="D6" s="6">
        <f>'Data Sheet'!D84</f>
        <v>-26885</v>
      </c>
      <c r="E6" s="6">
        <f>'Data Sheet'!E84</f>
        <v>-27897</v>
      </c>
      <c r="F6" s="6">
        <f>'Data Sheet'!F84</f>
        <v>-39915</v>
      </c>
      <c r="G6" s="6">
        <f>'Data Sheet'!G84</f>
        <v>-32634</v>
      </c>
      <c r="H6" s="6">
        <f>'Data Sheet'!H84</f>
        <v>-33581</v>
      </c>
      <c r="I6" s="6">
        <f>'Data Sheet'!I84</f>
        <v>-47878</v>
      </c>
      <c r="J6" s="6">
        <f>'Data Sheet'!J84</f>
        <v>-48536</v>
      </c>
      <c r="K6" s="6">
        <f>'Data Sheet'!K84</f>
        <v>-47438</v>
      </c>
    </row>
    <row r="7" spans="1:11" s="2" customFormat="1" x14ac:dyDescent="0.25">
      <c r="A7" s="2" t="s">
        <v>35</v>
      </c>
      <c r="B7" s="1">
        <f>'Data Sheet'!B85</f>
        <v>4433</v>
      </c>
      <c r="C7" s="1">
        <f>'Data Sheet'!C85</f>
        <v>-2698</v>
      </c>
      <c r="D7" s="1">
        <f>'Data Sheet'!D85</f>
        <v>1286</v>
      </c>
      <c r="E7" s="1">
        <f>'Data Sheet'!E85</f>
        <v>2341</v>
      </c>
      <c r="F7" s="1">
        <f>'Data Sheet'!F85</f>
        <v>1422</v>
      </c>
      <c r="G7" s="1">
        <f>'Data Sheet'!G85</f>
        <v>-1788</v>
      </c>
      <c r="H7" s="1">
        <f>'Data Sheet'!H85</f>
        <v>5630</v>
      </c>
      <c r="I7" s="1">
        <f>'Data Sheet'!I85</f>
        <v>-5365</v>
      </c>
      <c r="J7" s="1">
        <f>'Data Sheet'!J85</f>
        <v>1893</v>
      </c>
      <c r="K7" s="1">
        <f>'Data Sheet'!K85</f>
        <v>-674</v>
      </c>
    </row>
    <row r="8" spans="1:11" x14ac:dyDescent="0.2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2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6C9-F6F1-41C6-97C2-84AEEFC9C676}">
  <dimension ref="B2:N36"/>
  <sheetViews>
    <sheetView workbookViewId="0">
      <selection activeCell="E3" sqref="E3"/>
    </sheetView>
  </sheetViews>
  <sheetFormatPr defaultRowHeight="15" x14ac:dyDescent="0.25"/>
  <cols>
    <col min="2" max="2" width="24.85546875" bestFit="1" customWidth="1"/>
  </cols>
  <sheetData>
    <row r="2" spans="2:14" x14ac:dyDescent="0.25">
      <c r="C2" s="31">
        <v>41699</v>
      </c>
      <c r="D2" s="31">
        <v>42064</v>
      </c>
      <c r="E2" s="31">
        <v>42430</v>
      </c>
      <c r="F2" s="31">
        <v>42795</v>
      </c>
      <c r="G2" s="31">
        <v>43160</v>
      </c>
      <c r="H2" s="31">
        <v>43525</v>
      </c>
      <c r="I2" s="31">
        <v>43891</v>
      </c>
      <c r="J2" s="31">
        <v>44256</v>
      </c>
      <c r="K2" s="31">
        <v>44621</v>
      </c>
      <c r="L2" s="31">
        <v>44986</v>
      </c>
      <c r="M2" s="31">
        <v>45352</v>
      </c>
      <c r="N2" s="31">
        <v>45717</v>
      </c>
    </row>
    <row r="3" spans="2:14" x14ac:dyDescent="0.25">
      <c r="B3" t="s">
        <v>114</v>
      </c>
      <c r="C3">
        <v>196</v>
      </c>
      <c r="D3">
        <v>196</v>
      </c>
      <c r="E3">
        <v>197</v>
      </c>
      <c r="F3">
        <v>197</v>
      </c>
      <c r="G3">
        <v>191</v>
      </c>
      <c r="H3">
        <v>375</v>
      </c>
      <c r="I3">
        <v>375</v>
      </c>
      <c r="J3">
        <v>370</v>
      </c>
      <c r="K3">
        <v>366</v>
      </c>
      <c r="L3">
        <v>366</v>
      </c>
      <c r="M3">
        <v>362</v>
      </c>
      <c r="N3">
        <v>362</v>
      </c>
    </row>
    <row r="4" spans="2:14" x14ac:dyDescent="0.25">
      <c r="B4" t="s">
        <v>25</v>
      </c>
      <c r="C4" s="28">
        <v>48999</v>
      </c>
      <c r="D4" s="28">
        <v>50439</v>
      </c>
      <c r="E4" s="28">
        <v>70875</v>
      </c>
      <c r="F4" s="28">
        <v>86017</v>
      </c>
      <c r="G4" s="28">
        <v>84937</v>
      </c>
      <c r="H4" s="28">
        <v>89071</v>
      </c>
      <c r="I4" s="28">
        <v>83751</v>
      </c>
      <c r="J4" s="28">
        <v>86063</v>
      </c>
      <c r="K4" s="28">
        <v>88773</v>
      </c>
      <c r="L4" s="28">
        <v>90058</v>
      </c>
      <c r="M4" s="28">
        <v>90127</v>
      </c>
      <c r="N4" s="28">
        <v>94394</v>
      </c>
    </row>
    <row r="5" spans="2:14" x14ac:dyDescent="0.25">
      <c r="B5" t="s">
        <v>152</v>
      </c>
      <c r="C5">
        <v>297</v>
      </c>
      <c r="D5">
        <v>358</v>
      </c>
      <c r="E5">
        <v>245</v>
      </c>
      <c r="F5">
        <v>289</v>
      </c>
      <c r="G5">
        <v>247</v>
      </c>
      <c r="H5">
        <v>62</v>
      </c>
      <c r="I5" s="28">
        <v>8174</v>
      </c>
      <c r="J5" s="28">
        <v>7795</v>
      </c>
      <c r="K5" s="28">
        <v>7818</v>
      </c>
      <c r="L5" s="28">
        <v>7688</v>
      </c>
      <c r="M5" s="28">
        <v>8021</v>
      </c>
      <c r="N5" s="28">
        <v>9392</v>
      </c>
    </row>
    <row r="6" spans="2:14" x14ac:dyDescent="0.25">
      <c r="B6" t="s">
        <v>153</v>
      </c>
      <c r="C6">
        <v>127</v>
      </c>
      <c r="D6">
        <v>114</v>
      </c>
      <c r="E6">
        <v>83</v>
      </c>
      <c r="F6">
        <v>71</v>
      </c>
      <c r="G6">
        <v>54</v>
      </c>
      <c r="H6">
        <v>44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25">
      <c r="B7" t="s">
        <v>154</v>
      </c>
      <c r="C7">
        <v>127</v>
      </c>
      <c r="D7">
        <v>186</v>
      </c>
      <c r="E7">
        <v>113</v>
      </c>
      <c r="F7">
        <v>200</v>
      </c>
      <c r="G7">
        <v>181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5">
      <c r="B8" t="s">
        <v>155</v>
      </c>
      <c r="C8">
        <v>0</v>
      </c>
      <c r="D8">
        <v>0</v>
      </c>
      <c r="E8">
        <v>0</v>
      </c>
      <c r="F8">
        <v>0</v>
      </c>
      <c r="G8">
        <v>0</v>
      </c>
      <c r="H8">
        <v>44</v>
      </c>
      <c r="I8" s="28">
        <v>8174</v>
      </c>
      <c r="J8" s="28">
        <v>7795</v>
      </c>
      <c r="K8" s="28">
        <v>7818</v>
      </c>
      <c r="L8" s="28">
        <v>7688</v>
      </c>
      <c r="M8" s="28">
        <v>8021</v>
      </c>
      <c r="N8" s="28">
        <v>9392</v>
      </c>
    </row>
    <row r="9" spans="2:14" x14ac:dyDescent="0.25">
      <c r="B9" t="s">
        <v>156</v>
      </c>
      <c r="C9">
        <v>43</v>
      </c>
      <c r="D9">
        <v>58</v>
      </c>
      <c r="E9">
        <v>49</v>
      </c>
      <c r="F9">
        <v>18</v>
      </c>
      <c r="G9">
        <v>12</v>
      </c>
      <c r="H9">
        <v>-26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25">
      <c r="B10" t="s">
        <v>115</v>
      </c>
      <c r="C10" s="28">
        <v>17337</v>
      </c>
      <c r="D10" s="28">
        <v>22325</v>
      </c>
      <c r="E10" s="28">
        <v>16974</v>
      </c>
      <c r="F10" s="28">
        <v>15830</v>
      </c>
      <c r="G10" s="28">
        <v>19751</v>
      </c>
      <c r="H10" s="28">
        <v>24393</v>
      </c>
      <c r="I10" s="28">
        <v>27827</v>
      </c>
      <c r="J10" s="28">
        <v>35764</v>
      </c>
      <c r="K10" s="28">
        <v>43967</v>
      </c>
      <c r="L10" s="28">
        <v>44747</v>
      </c>
      <c r="M10" s="28">
        <v>46962</v>
      </c>
      <c r="N10" s="28">
        <v>54501</v>
      </c>
    </row>
    <row r="11" spans="2:14" x14ac:dyDescent="0.25">
      <c r="B11" t="s">
        <v>116</v>
      </c>
      <c r="C11">
        <v>708</v>
      </c>
      <c r="D11" s="28">
        <v>1128</v>
      </c>
      <c r="E11">
        <v>355</v>
      </c>
      <c r="F11">
        <v>366</v>
      </c>
      <c r="G11">
        <v>402</v>
      </c>
      <c r="H11">
        <v>453</v>
      </c>
      <c r="I11">
        <v>623</v>
      </c>
      <c r="J11">
        <v>675</v>
      </c>
      <c r="K11">
        <v>707</v>
      </c>
      <c r="L11">
        <v>782</v>
      </c>
      <c r="M11">
        <v>830</v>
      </c>
      <c r="N11" s="28">
        <v>1015</v>
      </c>
    </row>
    <row r="12" spans="2:14" x14ac:dyDescent="0.25">
      <c r="B12" t="s">
        <v>117</v>
      </c>
      <c r="C12" s="28">
        <v>5536</v>
      </c>
      <c r="D12" s="28">
        <v>8831</v>
      </c>
      <c r="E12" s="28">
        <v>7541</v>
      </c>
      <c r="F12" s="28">
        <v>4905</v>
      </c>
      <c r="G12" s="28">
        <v>5094</v>
      </c>
      <c r="H12" s="28">
        <v>6292</v>
      </c>
      <c r="I12" s="28">
        <v>6740</v>
      </c>
      <c r="J12" s="28">
        <v>7860</v>
      </c>
      <c r="K12" s="28">
        <v>8045</v>
      </c>
      <c r="L12" s="28">
        <v>10515</v>
      </c>
      <c r="M12" s="28">
        <v>9981</v>
      </c>
      <c r="N12" s="28">
        <v>13909</v>
      </c>
    </row>
    <row r="13" spans="2:14" x14ac:dyDescent="0.25">
      <c r="B13" t="s">
        <v>157</v>
      </c>
      <c r="C13">
        <v>63</v>
      </c>
      <c r="D13">
        <v>131</v>
      </c>
      <c r="E13">
        <v>164</v>
      </c>
      <c r="F13">
        <v>330</v>
      </c>
      <c r="G13">
        <v>796</v>
      </c>
      <c r="H13">
        <v>575</v>
      </c>
      <c r="I13">
        <v>345</v>
      </c>
      <c r="J13">
        <v>312</v>
      </c>
      <c r="K13">
        <v>468</v>
      </c>
      <c r="L13">
        <v>543</v>
      </c>
      <c r="M13" s="28">
        <v>1841</v>
      </c>
      <c r="N13" s="28">
        <v>1896</v>
      </c>
    </row>
    <row r="14" spans="2:14" x14ac:dyDescent="0.25">
      <c r="B14" t="s">
        <v>118</v>
      </c>
      <c r="C14" s="28">
        <v>11031</v>
      </c>
      <c r="D14" s="28">
        <v>12236</v>
      </c>
      <c r="E14" s="28">
        <v>8914</v>
      </c>
      <c r="F14" s="28">
        <v>10229</v>
      </c>
      <c r="G14" s="28">
        <v>13459</v>
      </c>
      <c r="H14" s="28">
        <v>17073</v>
      </c>
      <c r="I14" s="28">
        <v>20119</v>
      </c>
      <c r="J14" s="28">
        <v>26917</v>
      </c>
      <c r="K14" s="28">
        <v>34747</v>
      </c>
      <c r="L14" s="28">
        <v>32907</v>
      </c>
      <c r="M14" s="28">
        <v>34310</v>
      </c>
      <c r="N14" s="28">
        <v>37681</v>
      </c>
    </row>
    <row r="15" spans="2:14" x14ac:dyDescent="0.25">
      <c r="B15" t="s">
        <v>89</v>
      </c>
      <c r="C15" s="28">
        <v>66829</v>
      </c>
      <c r="D15" s="28">
        <v>73318</v>
      </c>
      <c r="E15" s="28">
        <v>88291</v>
      </c>
      <c r="F15" s="28">
        <v>102333</v>
      </c>
      <c r="G15" s="28">
        <v>105126</v>
      </c>
      <c r="H15" s="28">
        <v>113901</v>
      </c>
      <c r="I15" s="28">
        <v>120127</v>
      </c>
      <c r="J15" s="28">
        <v>129992</v>
      </c>
      <c r="K15" s="28">
        <v>140924</v>
      </c>
      <c r="L15" s="28">
        <v>142859</v>
      </c>
      <c r="M15" s="28">
        <v>145472</v>
      </c>
      <c r="N15" s="28">
        <v>158649</v>
      </c>
    </row>
    <row r="16" spans="2:14" x14ac:dyDescent="0.25">
      <c r="B16" t="s">
        <v>119</v>
      </c>
      <c r="C16" s="28">
        <v>9544</v>
      </c>
      <c r="D16" s="28">
        <v>11638</v>
      </c>
      <c r="E16" s="28">
        <v>11774</v>
      </c>
      <c r="F16" s="28">
        <v>11701</v>
      </c>
      <c r="G16" s="28">
        <v>11973</v>
      </c>
      <c r="H16" s="28">
        <v>12290</v>
      </c>
      <c r="I16" s="28">
        <v>20928</v>
      </c>
      <c r="J16" s="28">
        <v>21021</v>
      </c>
      <c r="K16" s="28">
        <v>21298</v>
      </c>
      <c r="L16" s="28">
        <v>20515</v>
      </c>
      <c r="M16" s="28">
        <v>19604</v>
      </c>
      <c r="N16" s="28">
        <v>23053</v>
      </c>
    </row>
    <row r="17" spans="2:14" x14ac:dyDescent="0.25">
      <c r="B17" t="s">
        <v>158</v>
      </c>
      <c r="C17">
        <v>563</v>
      </c>
      <c r="D17">
        <v>565</v>
      </c>
      <c r="E17">
        <v>348</v>
      </c>
      <c r="F17">
        <v>348</v>
      </c>
      <c r="G17">
        <v>348</v>
      </c>
      <c r="H17">
        <v>345</v>
      </c>
      <c r="I17" s="28">
        <v>1041</v>
      </c>
      <c r="J17" s="28">
        <v>1041</v>
      </c>
      <c r="K17" s="28">
        <v>1126</v>
      </c>
      <c r="L17" s="28">
        <v>1304</v>
      </c>
      <c r="M17" s="28">
        <v>1294</v>
      </c>
      <c r="N17" s="28">
        <v>2885</v>
      </c>
    </row>
    <row r="18" spans="2:14" x14ac:dyDescent="0.25">
      <c r="B18" t="s">
        <v>120</v>
      </c>
      <c r="C18" s="28">
        <v>4815</v>
      </c>
      <c r="D18" s="28">
        <v>6508</v>
      </c>
      <c r="E18" s="28">
        <v>7959</v>
      </c>
      <c r="F18" s="28">
        <v>8681</v>
      </c>
      <c r="G18" s="28">
        <v>9359</v>
      </c>
      <c r="H18" s="28">
        <v>9832</v>
      </c>
      <c r="I18" s="28">
        <v>18645</v>
      </c>
      <c r="J18" s="28">
        <v>18524</v>
      </c>
      <c r="K18" s="28">
        <v>17007</v>
      </c>
      <c r="L18" s="28">
        <v>18635</v>
      </c>
      <c r="M18" s="28">
        <v>19314</v>
      </c>
      <c r="N18" s="28">
        <v>21379</v>
      </c>
    </row>
    <row r="19" spans="2:14" x14ac:dyDescent="0.25">
      <c r="B19" t="s">
        <v>159</v>
      </c>
      <c r="C19">
        <v>10</v>
      </c>
      <c r="D19">
        <v>127</v>
      </c>
      <c r="E19">
        <v>322</v>
      </c>
      <c r="F19">
        <v>395</v>
      </c>
      <c r="G19">
        <v>501</v>
      </c>
      <c r="H19">
        <v>552</v>
      </c>
      <c r="I19">
        <v>681</v>
      </c>
      <c r="J19">
        <v>737</v>
      </c>
      <c r="K19">
        <v>770</v>
      </c>
      <c r="L19">
        <v>828</v>
      </c>
      <c r="M19">
        <v>878</v>
      </c>
      <c r="N19">
        <v>993</v>
      </c>
    </row>
    <row r="20" spans="2:14" x14ac:dyDescent="0.25">
      <c r="B20" t="s">
        <v>160</v>
      </c>
      <c r="C20" s="28">
        <v>1513</v>
      </c>
      <c r="D20" s="28">
        <v>1769</v>
      </c>
      <c r="E20" s="28">
        <v>2004</v>
      </c>
      <c r="F20" s="28">
        <v>2112</v>
      </c>
      <c r="G20" s="28">
        <v>2221</v>
      </c>
      <c r="H20" s="28">
        <v>2377</v>
      </c>
      <c r="I20" s="28">
        <v>2522</v>
      </c>
      <c r="J20" s="28">
        <v>2587</v>
      </c>
      <c r="K20" s="28">
        <v>2693</v>
      </c>
      <c r="L20" s="28">
        <v>2823</v>
      </c>
      <c r="M20" s="28">
        <v>2982</v>
      </c>
      <c r="N20" s="28">
        <v>3169</v>
      </c>
    </row>
    <row r="21" spans="2:14" x14ac:dyDescent="0.25">
      <c r="B21" t="s">
        <v>161</v>
      </c>
      <c r="C21" s="28">
        <v>4307</v>
      </c>
      <c r="D21" s="28">
        <v>5073</v>
      </c>
      <c r="E21" s="28">
        <v>5591</v>
      </c>
      <c r="F21" s="28">
        <v>6082</v>
      </c>
      <c r="G21" s="28">
        <v>6786</v>
      </c>
      <c r="H21" s="28">
        <v>7687</v>
      </c>
      <c r="I21" s="28">
        <v>8824</v>
      </c>
      <c r="J21" s="28">
        <v>10873</v>
      </c>
      <c r="K21" s="28">
        <v>12301</v>
      </c>
      <c r="L21" s="28">
        <v>13725</v>
      </c>
      <c r="M21" s="28">
        <v>14544</v>
      </c>
      <c r="N21" s="28">
        <v>15212</v>
      </c>
    </row>
    <row r="22" spans="2:14" x14ac:dyDescent="0.25">
      <c r="B22" t="s">
        <v>121</v>
      </c>
      <c r="C22" s="28">
        <v>2067</v>
      </c>
      <c r="D22" s="28">
        <v>2554</v>
      </c>
      <c r="E22" s="28">
        <v>3052</v>
      </c>
      <c r="F22" s="28">
        <v>3241</v>
      </c>
      <c r="G22" s="28">
        <v>3471</v>
      </c>
      <c r="H22" s="28">
        <v>3690</v>
      </c>
      <c r="I22" s="28">
        <v>3925</v>
      </c>
      <c r="J22" s="28">
        <v>3943</v>
      </c>
      <c r="K22" s="28">
        <v>3968</v>
      </c>
      <c r="L22" s="28">
        <v>4130</v>
      </c>
      <c r="M22" s="28">
        <v>4346</v>
      </c>
      <c r="N22" s="28">
        <v>4628</v>
      </c>
    </row>
    <row r="23" spans="2:14" x14ac:dyDescent="0.25">
      <c r="B23" t="s">
        <v>162</v>
      </c>
      <c r="C23">
        <v>28</v>
      </c>
      <c r="D23">
        <v>28</v>
      </c>
      <c r="E23">
        <v>32</v>
      </c>
      <c r="F23">
        <v>32</v>
      </c>
      <c r="G23">
        <v>34</v>
      </c>
      <c r="H23">
        <v>39</v>
      </c>
      <c r="I23">
        <v>68</v>
      </c>
      <c r="J23">
        <v>86</v>
      </c>
      <c r="K23">
        <v>71</v>
      </c>
      <c r="L23">
        <v>93</v>
      </c>
      <c r="M23">
        <v>97</v>
      </c>
      <c r="N23">
        <v>106</v>
      </c>
    </row>
    <row r="24" spans="2:14" x14ac:dyDescent="0.25">
      <c r="B24" t="s">
        <v>163</v>
      </c>
      <c r="C24" s="28">
        <v>2863</v>
      </c>
      <c r="D24" s="28">
        <v>2785</v>
      </c>
      <c r="E24" s="28">
        <v>2192</v>
      </c>
      <c r="F24" s="28">
        <v>2016</v>
      </c>
      <c r="G24" s="28">
        <v>2194</v>
      </c>
      <c r="H24" s="28">
        <v>1956</v>
      </c>
      <c r="I24" s="28">
        <v>2158</v>
      </c>
      <c r="J24" s="28">
        <v>2538</v>
      </c>
      <c r="K24" s="28">
        <v>3484</v>
      </c>
      <c r="L24" s="28">
        <v>3750</v>
      </c>
      <c r="M24" s="28">
        <v>3836</v>
      </c>
      <c r="N24" s="28">
        <v>4865</v>
      </c>
    </row>
    <row r="25" spans="2:14" x14ac:dyDescent="0.25">
      <c r="B25" t="s">
        <v>122</v>
      </c>
      <c r="C25">
        <v>0</v>
      </c>
      <c r="D25">
        <v>0</v>
      </c>
      <c r="E25">
        <v>86</v>
      </c>
      <c r="F25">
        <v>81</v>
      </c>
      <c r="G25">
        <v>89</v>
      </c>
      <c r="H25">
        <v>115</v>
      </c>
      <c r="I25">
        <v>120</v>
      </c>
      <c r="J25">
        <v>122</v>
      </c>
      <c r="K25">
        <v>121</v>
      </c>
      <c r="L25">
        <v>126</v>
      </c>
      <c r="M25">
        <v>127</v>
      </c>
      <c r="N25">
        <v>129</v>
      </c>
    </row>
    <row r="26" spans="2:14" x14ac:dyDescent="0.25">
      <c r="B26" t="s">
        <v>123</v>
      </c>
      <c r="C26" s="28">
        <v>16166</v>
      </c>
      <c r="D26" s="28">
        <v>19409</v>
      </c>
      <c r="E26" s="28">
        <v>21586</v>
      </c>
      <c r="F26" s="28">
        <v>22988</v>
      </c>
      <c r="G26" s="28">
        <v>25003</v>
      </c>
      <c r="H26" s="28">
        <v>26593</v>
      </c>
      <c r="I26" s="28">
        <v>37984</v>
      </c>
      <c r="J26" s="28">
        <v>40451</v>
      </c>
      <c r="K26" s="28">
        <v>41541</v>
      </c>
      <c r="L26" s="28">
        <v>45414</v>
      </c>
      <c r="M26" s="28">
        <v>47418</v>
      </c>
      <c r="N26" s="28">
        <v>53366</v>
      </c>
    </row>
    <row r="27" spans="2:14" x14ac:dyDescent="0.25">
      <c r="B27" t="s">
        <v>124</v>
      </c>
      <c r="C27" s="28">
        <v>6622</v>
      </c>
      <c r="D27" s="28">
        <v>7771</v>
      </c>
      <c r="E27" s="28">
        <v>9812</v>
      </c>
      <c r="F27" s="28">
        <v>11287</v>
      </c>
      <c r="G27" s="28">
        <v>13030</v>
      </c>
      <c r="H27" s="28">
        <v>14303</v>
      </c>
      <c r="I27" s="28">
        <v>17056</v>
      </c>
      <c r="J27" s="28">
        <v>19430</v>
      </c>
      <c r="K27" s="28">
        <v>20243</v>
      </c>
      <c r="L27" s="28">
        <v>24899</v>
      </c>
      <c r="M27" s="28">
        <v>27814</v>
      </c>
      <c r="N27" s="28">
        <v>30313</v>
      </c>
    </row>
    <row r="28" spans="2:14" x14ac:dyDescent="0.25">
      <c r="B28" t="s">
        <v>125</v>
      </c>
      <c r="C28" s="28">
        <v>3168</v>
      </c>
      <c r="D28" s="28">
        <v>2766</v>
      </c>
      <c r="E28" s="28">
        <v>1670</v>
      </c>
      <c r="F28" s="28">
        <v>1541</v>
      </c>
      <c r="G28" s="28">
        <v>1278</v>
      </c>
      <c r="H28">
        <v>963</v>
      </c>
      <c r="I28">
        <v>906</v>
      </c>
      <c r="J28">
        <v>926</v>
      </c>
      <c r="K28" s="28">
        <v>1205</v>
      </c>
      <c r="L28" s="28">
        <v>1234</v>
      </c>
      <c r="M28" s="28">
        <v>1564</v>
      </c>
      <c r="N28" s="28">
        <v>1546</v>
      </c>
    </row>
    <row r="29" spans="2:14" x14ac:dyDescent="0.25">
      <c r="B29" t="s">
        <v>29</v>
      </c>
      <c r="C29" s="28">
        <v>3434</v>
      </c>
      <c r="D29" s="28">
        <v>1662</v>
      </c>
      <c r="E29" s="28">
        <v>22822</v>
      </c>
      <c r="F29" s="28">
        <v>41980</v>
      </c>
      <c r="G29" s="28">
        <v>36008</v>
      </c>
      <c r="H29" s="28">
        <v>29330</v>
      </c>
      <c r="I29" s="28">
        <v>26356</v>
      </c>
      <c r="J29" s="28">
        <v>29373</v>
      </c>
      <c r="K29" s="28">
        <v>30485</v>
      </c>
      <c r="L29" s="28">
        <v>37163</v>
      </c>
      <c r="M29" s="28">
        <v>31762</v>
      </c>
      <c r="N29" s="28">
        <v>30964</v>
      </c>
    </row>
    <row r="30" spans="2:14" x14ac:dyDescent="0.25">
      <c r="B30" t="s">
        <v>126</v>
      </c>
      <c r="C30" s="28">
        <v>50682</v>
      </c>
      <c r="D30" s="28">
        <v>57252</v>
      </c>
      <c r="E30" s="28">
        <v>52025</v>
      </c>
      <c r="F30" s="28">
        <v>47111</v>
      </c>
      <c r="G30" s="28">
        <v>55867</v>
      </c>
      <c r="H30" s="28">
        <v>71318</v>
      </c>
      <c r="I30" s="28">
        <v>71937</v>
      </c>
      <c r="J30" s="28">
        <v>78672</v>
      </c>
      <c r="K30" s="28">
        <v>87936</v>
      </c>
      <c r="L30" s="28">
        <v>83947</v>
      </c>
      <c r="M30" s="28">
        <v>92542</v>
      </c>
      <c r="N30" s="28">
        <v>103086</v>
      </c>
    </row>
    <row r="31" spans="2:14" x14ac:dyDescent="0.25">
      <c r="B31" t="s">
        <v>164</v>
      </c>
      <c r="C31">
        <v>15</v>
      </c>
      <c r="D31">
        <v>16</v>
      </c>
      <c r="E31">
        <v>16</v>
      </c>
      <c r="F31">
        <v>21</v>
      </c>
      <c r="G31">
        <v>26</v>
      </c>
      <c r="H31">
        <v>10</v>
      </c>
      <c r="I31">
        <v>5</v>
      </c>
      <c r="J31">
        <v>8</v>
      </c>
      <c r="K31">
        <v>20</v>
      </c>
      <c r="L31">
        <v>28</v>
      </c>
      <c r="M31">
        <v>28</v>
      </c>
      <c r="N31">
        <v>21</v>
      </c>
    </row>
    <row r="32" spans="2:14" x14ac:dyDescent="0.25">
      <c r="B32" t="s">
        <v>165</v>
      </c>
      <c r="C32" s="28">
        <v>18230</v>
      </c>
      <c r="D32" s="28">
        <v>20438</v>
      </c>
      <c r="E32" s="28">
        <v>24073</v>
      </c>
      <c r="F32" s="28">
        <v>22617</v>
      </c>
      <c r="G32" s="28">
        <v>24943</v>
      </c>
      <c r="H32" s="28">
        <v>27346</v>
      </c>
      <c r="I32" s="28">
        <v>30532</v>
      </c>
      <c r="J32" s="28">
        <v>30079</v>
      </c>
      <c r="K32" s="28">
        <v>41810</v>
      </c>
      <c r="L32" s="28">
        <v>49954</v>
      </c>
      <c r="M32" s="28">
        <v>53577</v>
      </c>
      <c r="N32" s="28">
        <v>59046</v>
      </c>
    </row>
    <row r="33" spans="2:14" x14ac:dyDescent="0.25">
      <c r="B33" t="s">
        <v>127</v>
      </c>
      <c r="C33" s="28">
        <v>14442</v>
      </c>
      <c r="D33" s="28">
        <v>18556</v>
      </c>
      <c r="E33" s="28">
        <v>6788</v>
      </c>
      <c r="F33" s="28">
        <v>4149</v>
      </c>
      <c r="G33" s="28">
        <v>7161</v>
      </c>
      <c r="H33" s="28">
        <v>12848</v>
      </c>
      <c r="I33" s="28">
        <v>9666</v>
      </c>
      <c r="J33" s="28">
        <v>9329</v>
      </c>
      <c r="K33" s="28">
        <v>18221</v>
      </c>
      <c r="L33" s="28">
        <v>11032</v>
      </c>
      <c r="M33" s="28">
        <v>13286</v>
      </c>
      <c r="N33" s="28">
        <v>15463</v>
      </c>
    </row>
    <row r="34" spans="2:14" x14ac:dyDescent="0.25">
      <c r="B34" t="s">
        <v>128</v>
      </c>
      <c r="C34" s="28">
        <v>1768</v>
      </c>
      <c r="D34" s="28">
        <v>2028</v>
      </c>
      <c r="E34" s="28">
        <v>3010</v>
      </c>
      <c r="F34" s="28">
        <v>2063</v>
      </c>
      <c r="G34" s="28">
        <v>1696</v>
      </c>
      <c r="H34" s="28">
        <v>3012</v>
      </c>
      <c r="I34" s="28">
        <v>1967</v>
      </c>
      <c r="J34" s="28">
        <v>5107</v>
      </c>
      <c r="K34" s="28">
        <v>3600</v>
      </c>
      <c r="L34" s="28">
        <v>2097</v>
      </c>
      <c r="M34" s="28">
        <v>3989</v>
      </c>
      <c r="N34" s="28">
        <v>4612</v>
      </c>
    </row>
    <row r="35" spans="2:14" x14ac:dyDescent="0.25">
      <c r="B35" t="s">
        <v>129</v>
      </c>
      <c r="C35" s="28">
        <v>16227</v>
      </c>
      <c r="D35" s="28">
        <v>16214</v>
      </c>
      <c r="E35" s="28">
        <v>18138</v>
      </c>
      <c r="F35" s="28">
        <v>18261</v>
      </c>
      <c r="G35" s="28">
        <v>22041</v>
      </c>
      <c r="H35" s="28">
        <v>28102</v>
      </c>
      <c r="I35" s="28">
        <v>29767</v>
      </c>
      <c r="J35" s="28">
        <v>34149</v>
      </c>
      <c r="K35" s="28">
        <v>24285</v>
      </c>
      <c r="L35" s="28">
        <v>20836</v>
      </c>
      <c r="M35" s="28">
        <v>21662</v>
      </c>
      <c r="N35" s="28">
        <v>23944</v>
      </c>
    </row>
    <row r="36" spans="2:14" x14ac:dyDescent="0.25">
      <c r="B36" t="s">
        <v>130</v>
      </c>
      <c r="C36" s="28">
        <v>66829</v>
      </c>
      <c r="D36" s="28">
        <v>73318</v>
      </c>
      <c r="E36" s="28">
        <v>88291</v>
      </c>
      <c r="F36" s="28">
        <v>102333</v>
      </c>
      <c r="G36" s="28">
        <v>105126</v>
      </c>
      <c r="H36" s="28">
        <v>113901</v>
      </c>
      <c r="I36" s="28">
        <v>120127</v>
      </c>
      <c r="J36" s="28">
        <v>129992</v>
      </c>
      <c r="K36" s="28">
        <v>140924</v>
      </c>
      <c r="L36" s="28">
        <v>142859</v>
      </c>
      <c r="M36" s="28">
        <v>145472</v>
      </c>
      <c r="N36" s="28">
        <v>158649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20A9-F876-42AE-8448-C119D7E90BE8}">
  <dimension ref="B2:N30"/>
  <sheetViews>
    <sheetView workbookViewId="0">
      <selection activeCell="H12" sqref="H12"/>
    </sheetView>
  </sheetViews>
  <sheetFormatPr defaultRowHeight="15" x14ac:dyDescent="0.25"/>
  <cols>
    <col min="2" max="2" width="28" bestFit="1" customWidth="1"/>
  </cols>
  <sheetData>
    <row r="2" spans="2:14" x14ac:dyDescent="0.25">
      <c r="C2" s="31">
        <v>41699</v>
      </c>
      <c r="D2" s="31">
        <v>42064</v>
      </c>
      <c r="E2" s="31">
        <v>42430</v>
      </c>
      <c r="F2" s="31">
        <v>42795</v>
      </c>
      <c r="G2" s="31">
        <v>43160</v>
      </c>
      <c r="H2" s="31">
        <v>43525</v>
      </c>
      <c r="I2" s="31">
        <v>43891</v>
      </c>
      <c r="J2" s="31">
        <v>44256</v>
      </c>
      <c r="K2" s="31">
        <v>44621</v>
      </c>
      <c r="L2" s="31">
        <v>44986</v>
      </c>
      <c r="M2" s="31">
        <v>45352</v>
      </c>
      <c r="N2" s="31">
        <v>45717</v>
      </c>
    </row>
    <row r="3" spans="2:14" x14ac:dyDescent="0.25">
      <c r="B3" t="s">
        <v>131</v>
      </c>
      <c r="C3" s="28">
        <v>14751</v>
      </c>
      <c r="D3" s="28">
        <v>19369</v>
      </c>
      <c r="E3" s="28">
        <v>19109</v>
      </c>
      <c r="F3" s="28">
        <v>25223</v>
      </c>
      <c r="G3" s="28">
        <v>25067</v>
      </c>
      <c r="H3" s="28">
        <v>28593</v>
      </c>
      <c r="I3" s="28">
        <v>32369</v>
      </c>
      <c r="J3" s="28">
        <v>38802</v>
      </c>
      <c r="K3" s="28">
        <v>39949</v>
      </c>
      <c r="L3" s="28">
        <v>41965</v>
      </c>
      <c r="M3" s="28">
        <v>44338</v>
      </c>
      <c r="N3" s="28">
        <v>48908</v>
      </c>
    </row>
    <row r="4" spans="2:14" x14ac:dyDescent="0.25">
      <c r="B4" t="s">
        <v>90</v>
      </c>
      <c r="C4" s="28">
        <v>25246</v>
      </c>
      <c r="D4" s="28">
        <v>26103</v>
      </c>
      <c r="E4" s="28">
        <v>31631</v>
      </c>
      <c r="F4" s="28">
        <v>33800</v>
      </c>
      <c r="G4" s="28">
        <v>32885</v>
      </c>
      <c r="H4" s="28">
        <v>40720</v>
      </c>
      <c r="I4" s="28">
        <v>42882</v>
      </c>
      <c r="J4" s="28">
        <v>47031</v>
      </c>
      <c r="K4" s="28">
        <v>54204</v>
      </c>
      <c r="L4" s="28">
        <v>59148</v>
      </c>
      <c r="M4" s="28">
        <v>63709</v>
      </c>
      <c r="N4" s="28">
        <v>67853</v>
      </c>
    </row>
    <row r="5" spans="2:14" x14ac:dyDescent="0.25">
      <c r="B5" t="s">
        <v>69</v>
      </c>
      <c r="C5" s="28">
        <v>-4016</v>
      </c>
      <c r="D5" s="28">
        <v>-2158</v>
      </c>
      <c r="E5" s="28">
        <v>-2936</v>
      </c>
      <c r="F5">
        <v>680</v>
      </c>
      <c r="G5" s="28">
        <v>-1833</v>
      </c>
      <c r="H5" s="28">
        <v>-2883</v>
      </c>
      <c r="I5" s="28">
        <v>-3295</v>
      </c>
      <c r="J5" s="28">
        <v>1059</v>
      </c>
      <c r="K5" s="28">
        <v>-5144</v>
      </c>
      <c r="L5" s="28">
        <v>-7683</v>
      </c>
      <c r="M5" s="28">
        <v>-3332</v>
      </c>
      <c r="N5" s="28">
        <v>-5228</v>
      </c>
    </row>
    <row r="6" spans="2:14" x14ac:dyDescent="0.25">
      <c r="B6" t="s">
        <v>45</v>
      </c>
      <c r="C6">
        <v>6</v>
      </c>
      <c r="D6">
        <v>-1</v>
      </c>
      <c r="E6">
        <v>0</v>
      </c>
      <c r="F6">
        <v>0</v>
      </c>
      <c r="G6">
        <v>-5</v>
      </c>
      <c r="H6">
        <v>16</v>
      </c>
      <c r="I6">
        <v>5</v>
      </c>
      <c r="J6">
        <v>-3</v>
      </c>
      <c r="K6">
        <v>-12</v>
      </c>
      <c r="L6">
        <v>-8</v>
      </c>
      <c r="M6">
        <v>0</v>
      </c>
      <c r="N6">
        <v>7</v>
      </c>
    </row>
    <row r="7" spans="2:14" x14ac:dyDescent="0.25">
      <c r="B7" t="s">
        <v>91</v>
      </c>
      <c r="C7" s="28">
        <v>1667</v>
      </c>
      <c r="D7">
        <v>0</v>
      </c>
      <c r="E7" s="28">
        <v>-2039</v>
      </c>
      <c r="F7">
        <v>-201</v>
      </c>
      <c r="G7">
        <v>-346</v>
      </c>
      <c r="H7" s="28">
        <v>1496</v>
      </c>
      <c r="I7">
        <v>446</v>
      </c>
      <c r="J7">
        <v>-93</v>
      </c>
      <c r="K7">
        <v>186</v>
      </c>
      <c r="L7" s="28">
        <v>2036</v>
      </c>
      <c r="M7">
        <v>-632</v>
      </c>
      <c r="N7" s="28">
        <v>3718</v>
      </c>
    </row>
    <row r="8" spans="2:14" x14ac:dyDescent="0.25">
      <c r="B8" t="s">
        <v>92</v>
      </c>
      <c r="C8">
        <v>-296</v>
      </c>
      <c r="D8">
        <v>-712</v>
      </c>
      <c r="E8">
        <v>-798</v>
      </c>
      <c r="F8">
        <v>0</v>
      </c>
      <c r="G8">
        <v>0</v>
      </c>
      <c r="H8">
        <v>-499</v>
      </c>
      <c r="I8">
        <v>0</v>
      </c>
      <c r="J8">
        <v>-17</v>
      </c>
      <c r="K8">
        <v>-116</v>
      </c>
      <c r="L8">
        <v>261</v>
      </c>
      <c r="M8">
        <v>-301</v>
      </c>
      <c r="N8">
        <v>-738</v>
      </c>
    </row>
    <row r="9" spans="2:14" x14ac:dyDescent="0.25">
      <c r="B9" t="s">
        <v>93</v>
      </c>
      <c r="C9">
        <v>-812</v>
      </c>
      <c r="D9" s="28">
        <v>3618</v>
      </c>
      <c r="E9">
        <v>829</v>
      </c>
      <c r="F9" s="28">
        <v>-1110</v>
      </c>
      <c r="G9" s="28">
        <v>1975</v>
      </c>
      <c r="H9">
        <v>-299</v>
      </c>
      <c r="I9" s="28">
        <v>-1823</v>
      </c>
      <c r="J9">
        <v>-83</v>
      </c>
      <c r="K9" s="28">
        <v>2317</v>
      </c>
      <c r="L9" s="28">
        <v>1177</v>
      </c>
      <c r="M9" s="28">
        <v>-2617</v>
      </c>
      <c r="N9" s="28">
        <v>-1118</v>
      </c>
    </row>
    <row r="10" spans="2:14" x14ac:dyDescent="0.25">
      <c r="B10" t="s">
        <v>94</v>
      </c>
      <c r="C10" s="28">
        <v>-3451</v>
      </c>
      <c r="D10">
        <v>747</v>
      </c>
      <c r="E10" s="28">
        <v>-4944</v>
      </c>
      <c r="F10">
        <v>-631</v>
      </c>
      <c r="G10">
        <v>-209</v>
      </c>
      <c r="H10" s="28">
        <v>-2169</v>
      </c>
      <c r="I10" s="28">
        <v>-4667</v>
      </c>
      <c r="J10">
        <v>863</v>
      </c>
      <c r="K10" s="28">
        <v>-2769</v>
      </c>
      <c r="L10" s="28">
        <v>-4217</v>
      </c>
      <c r="M10" s="28">
        <v>-6882</v>
      </c>
      <c r="N10" s="28">
        <v>-3359</v>
      </c>
    </row>
    <row r="11" spans="2:14" x14ac:dyDescent="0.25">
      <c r="B11" t="s">
        <v>95</v>
      </c>
      <c r="C11" s="28">
        <v>-7044</v>
      </c>
      <c r="D11" s="28">
        <v>-7482</v>
      </c>
      <c r="E11" s="28">
        <v>-7578</v>
      </c>
      <c r="F11" s="28">
        <v>-7946</v>
      </c>
      <c r="G11" s="28">
        <v>-7609</v>
      </c>
      <c r="H11" s="28">
        <v>-9958</v>
      </c>
      <c r="I11" s="28">
        <v>-5846</v>
      </c>
      <c r="J11" s="28">
        <v>-9092</v>
      </c>
      <c r="K11" s="28">
        <v>-11486</v>
      </c>
      <c r="L11" s="28">
        <v>-12966</v>
      </c>
      <c r="M11" s="28">
        <v>-12489</v>
      </c>
      <c r="N11" s="28">
        <v>-15586</v>
      </c>
    </row>
    <row r="12" spans="2:14" x14ac:dyDescent="0.25">
      <c r="B12" t="s">
        <v>132</v>
      </c>
      <c r="C12" s="28">
        <v>-9452</v>
      </c>
      <c r="D12" s="28">
        <v>-1807</v>
      </c>
      <c r="E12" s="28">
        <v>-5010</v>
      </c>
      <c r="F12" s="28">
        <v>-16895</v>
      </c>
      <c r="G12" s="28">
        <v>3104</v>
      </c>
      <c r="H12" s="28">
        <v>1645</v>
      </c>
      <c r="I12" s="28">
        <v>8968</v>
      </c>
      <c r="J12" s="28">
        <v>-7956</v>
      </c>
      <c r="K12">
        <v>-738</v>
      </c>
      <c r="L12">
        <v>548</v>
      </c>
      <c r="M12" s="28">
        <v>6091</v>
      </c>
      <c r="N12" s="28">
        <v>-2144</v>
      </c>
    </row>
    <row r="13" spans="2:14" x14ac:dyDescent="0.25">
      <c r="B13" t="s">
        <v>96</v>
      </c>
      <c r="C13" s="28">
        <v>-3126</v>
      </c>
      <c r="D13" s="28">
        <v>-2949</v>
      </c>
      <c r="E13" s="28">
        <v>-1987</v>
      </c>
      <c r="F13" s="28">
        <v>-1989</v>
      </c>
      <c r="G13" s="28">
        <v>-1862</v>
      </c>
      <c r="H13" s="28">
        <v>-2231</v>
      </c>
      <c r="I13" s="28">
        <v>-3249</v>
      </c>
      <c r="J13" s="28">
        <v>-3176</v>
      </c>
      <c r="K13" s="28">
        <v>-2995</v>
      </c>
      <c r="L13" s="28">
        <v>-3100</v>
      </c>
      <c r="M13" s="28">
        <v>-2674</v>
      </c>
      <c r="N13" s="28">
        <v>-3937</v>
      </c>
    </row>
    <row r="14" spans="2:14" x14ac:dyDescent="0.25">
      <c r="B14" t="s">
        <v>97</v>
      </c>
      <c r="C14">
        <v>14</v>
      </c>
      <c r="D14">
        <v>7</v>
      </c>
      <c r="E14">
        <v>22</v>
      </c>
      <c r="F14">
        <v>36</v>
      </c>
      <c r="G14">
        <v>58</v>
      </c>
      <c r="H14">
        <v>99</v>
      </c>
      <c r="I14">
        <v>161</v>
      </c>
      <c r="J14">
        <v>37</v>
      </c>
      <c r="K14">
        <v>31</v>
      </c>
      <c r="L14">
        <v>37</v>
      </c>
      <c r="M14">
        <v>24</v>
      </c>
      <c r="N14">
        <v>23</v>
      </c>
    </row>
    <row r="15" spans="2:14" x14ac:dyDescent="0.25">
      <c r="B15" t="s">
        <v>98</v>
      </c>
      <c r="C15" s="28">
        <v>-82613</v>
      </c>
      <c r="D15" s="28">
        <v>-67371</v>
      </c>
      <c r="E15" s="28">
        <v>-116847</v>
      </c>
      <c r="F15" s="28">
        <v>-121423</v>
      </c>
      <c r="G15" s="28">
        <v>-97473</v>
      </c>
      <c r="H15" s="28">
        <v>-96751</v>
      </c>
      <c r="I15" s="28">
        <v>-80002</v>
      </c>
      <c r="J15" s="28">
        <v>-54462</v>
      </c>
      <c r="K15" s="28">
        <v>-75374</v>
      </c>
      <c r="L15" s="28">
        <v>-129745</v>
      </c>
      <c r="M15" s="28">
        <v>-141011</v>
      </c>
      <c r="N15" s="28">
        <v>-145962</v>
      </c>
    </row>
    <row r="16" spans="2:14" x14ac:dyDescent="0.25">
      <c r="B16" t="s">
        <v>99</v>
      </c>
      <c r="C16" s="28">
        <v>81327</v>
      </c>
      <c r="D16" s="28">
        <v>69361</v>
      </c>
      <c r="E16" s="28">
        <v>97154</v>
      </c>
      <c r="F16" s="28">
        <v>102798</v>
      </c>
      <c r="G16" s="28">
        <v>103482</v>
      </c>
      <c r="H16" s="28">
        <v>104133</v>
      </c>
      <c r="I16" s="28">
        <v>84089</v>
      </c>
      <c r="J16" s="28">
        <v>51630</v>
      </c>
      <c r="K16" s="28">
        <v>73852</v>
      </c>
      <c r="L16" s="28">
        <v>122687</v>
      </c>
      <c r="M16" s="28">
        <v>147204</v>
      </c>
      <c r="N16" s="28">
        <v>147695</v>
      </c>
    </row>
    <row r="17" spans="2:14" x14ac:dyDescent="0.25">
      <c r="B17" t="s">
        <v>100</v>
      </c>
      <c r="C17" s="28">
        <v>1368</v>
      </c>
      <c r="D17" s="28">
        <v>1994</v>
      </c>
      <c r="E17" s="28">
        <v>1816</v>
      </c>
      <c r="F17" s="28">
        <v>1788</v>
      </c>
      <c r="G17" s="28">
        <v>2623</v>
      </c>
      <c r="H17" s="28">
        <v>2619</v>
      </c>
      <c r="I17" s="28">
        <v>3729</v>
      </c>
      <c r="J17" s="28">
        <v>2730</v>
      </c>
      <c r="K17" s="28">
        <v>2700</v>
      </c>
      <c r="L17" s="28">
        <v>3080</v>
      </c>
      <c r="M17" s="28">
        <v>2990</v>
      </c>
      <c r="N17" s="28">
        <v>3056</v>
      </c>
    </row>
    <row r="18" spans="2:14" x14ac:dyDescent="0.25">
      <c r="B18" t="s">
        <v>101</v>
      </c>
      <c r="C18">
        <v>9</v>
      </c>
      <c r="D18">
        <v>9</v>
      </c>
      <c r="E18">
        <v>11</v>
      </c>
      <c r="F18">
        <v>1</v>
      </c>
      <c r="G18">
        <v>9</v>
      </c>
      <c r="H18">
        <v>18</v>
      </c>
      <c r="I18">
        <v>8</v>
      </c>
      <c r="J18">
        <v>8</v>
      </c>
      <c r="K18">
        <v>4</v>
      </c>
      <c r="L18">
        <v>13</v>
      </c>
      <c r="M18">
        <v>26</v>
      </c>
      <c r="N18">
        <v>40</v>
      </c>
    </row>
    <row r="19" spans="2:14" x14ac:dyDescent="0.25">
      <c r="B19" t="s">
        <v>102</v>
      </c>
      <c r="C19">
        <v>-452</v>
      </c>
      <c r="D19">
        <v>-264</v>
      </c>
      <c r="E19">
        <v>0</v>
      </c>
      <c r="F19">
        <v>0</v>
      </c>
      <c r="G19">
        <v>0</v>
      </c>
      <c r="H19">
        <v>-50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5">
      <c r="B20" t="s">
        <v>103</v>
      </c>
      <c r="C20">
        <v>875</v>
      </c>
      <c r="D20">
        <v>155</v>
      </c>
      <c r="E20" s="28">
        <v>-1460</v>
      </c>
      <c r="F20" s="28">
        <v>1619</v>
      </c>
      <c r="G20" s="28">
        <v>-2230</v>
      </c>
      <c r="H20" s="28">
        <v>-2927</v>
      </c>
      <c r="I20">
        <v>-473</v>
      </c>
      <c r="J20" s="28">
        <v>-3058</v>
      </c>
      <c r="K20" s="28">
        <v>4879</v>
      </c>
      <c r="L20" s="28">
        <v>5361</v>
      </c>
      <c r="M20">
        <v>846</v>
      </c>
      <c r="N20">
        <v>170</v>
      </c>
    </row>
    <row r="21" spans="2:14" x14ac:dyDescent="0.25">
      <c r="B21" t="s">
        <v>104</v>
      </c>
      <c r="C21" s="28">
        <v>-6852</v>
      </c>
      <c r="D21" s="28">
        <v>-2750</v>
      </c>
      <c r="E21" s="28">
        <v>16281</v>
      </c>
      <c r="F21">
        <v>275</v>
      </c>
      <c r="G21" s="28">
        <v>-1503</v>
      </c>
      <c r="H21" s="28">
        <v>-3265</v>
      </c>
      <c r="I21" s="28">
        <v>4705</v>
      </c>
      <c r="J21" s="28">
        <v>-1665</v>
      </c>
      <c r="K21" s="28">
        <v>-3835</v>
      </c>
      <c r="L21" s="28">
        <v>2215</v>
      </c>
      <c r="M21" s="28">
        <v>-1314</v>
      </c>
      <c r="N21" s="28">
        <v>-3229</v>
      </c>
    </row>
    <row r="22" spans="2:14" x14ac:dyDescent="0.25">
      <c r="B22" t="s">
        <v>133</v>
      </c>
      <c r="C22" s="28">
        <v>-5673</v>
      </c>
      <c r="D22" s="28">
        <v>-17168</v>
      </c>
      <c r="E22" s="28">
        <v>-9666</v>
      </c>
      <c r="F22" s="28">
        <v>-11026</v>
      </c>
      <c r="G22" s="28">
        <v>-26885</v>
      </c>
      <c r="H22" s="28">
        <v>-27897</v>
      </c>
      <c r="I22" s="28">
        <v>-39915</v>
      </c>
      <c r="J22" s="28">
        <v>-32634</v>
      </c>
      <c r="K22" s="28">
        <v>-33581</v>
      </c>
      <c r="L22" s="28">
        <v>-47878</v>
      </c>
      <c r="M22" s="28">
        <v>-48536</v>
      </c>
      <c r="N22" s="28">
        <v>-47438</v>
      </c>
    </row>
    <row r="23" spans="2:14" x14ac:dyDescent="0.25">
      <c r="B23" t="s">
        <v>105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</v>
      </c>
      <c r="M23">
        <v>425</v>
      </c>
      <c r="N23">
        <v>0</v>
      </c>
    </row>
    <row r="24" spans="2:14" x14ac:dyDescent="0.25">
      <c r="B24" t="s">
        <v>106</v>
      </c>
      <c r="C24">
        <v>8</v>
      </c>
      <c r="D24">
        <v>43</v>
      </c>
      <c r="E24">
        <v>0</v>
      </c>
      <c r="F24">
        <v>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25">
      <c r="B25" t="s">
        <v>107</v>
      </c>
      <c r="C25">
        <v>-1</v>
      </c>
      <c r="D25">
        <v>0</v>
      </c>
      <c r="E25">
        <v>-73</v>
      </c>
      <c r="F25">
        <v>0</v>
      </c>
      <c r="G25">
        <v>-19</v>
      </c>
      <c r="H25">
        <v>-181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 x14ac:dyDescent="0.25">
      <c r="B26" t="s">
        <v>108</v>
      </c>
      <c r="C26">
        <v>-38</v>
      </c>
      <c r="D26">
        <v>-105</v>
      </c>
      <c r="E26">
        <v>-20</v>
      </c>
      <c r="F26">
        <v>-20</v>
      </c>
      <c r="G26">
        <v>-40</v>
      </c>
      <c r="H26">
        <v>-186</v>
      </c>
      <c r="I26">
        <v>-924</v>
      </c>
      <c r="J26">
        <v>-634</v>
      </c>
      <c r="K26">
        <v>-698</v>
      </c>
      <c r="L26">
        <v>-779</v>
      </c>
      <c r="M26">
        <v>-699</v>
      </c>
      <c r="N26">
        <v>-840</v>
      </c>
    </row>
    <row r="27" spans="2:14" x14ac:dyDescent="0.25">
      <c r="B27" t="s">
        <v>109</v>
      </c>
      <c r="C27" s="28">
        <v>-5520</v>
      </c>
      <c r="D27" s="28">
        <v>-17106</v>
      </c>
      <c r="E27" s="28">
        <v>-9515</v>
      </c>
      <c r="F27" s="28">
        <v>-10973</v>
      </c>
      <c r="G27" s="28">
        <v>-10760</v>
      </c>
      <c r="H27" s="28">
        <v>-11472</v>
      </c>
      <c r="I27" s="28">
        <v>-37702</v>
      </c>
      <c r="J27" s="28">
        <v>-10907</v>
      </c>
      <c r="K27" s="28">
        <v>-13375</v>
      </c>
      <c r="L27" s="28">
        <v>-41410</v>
      </c>
      <c r="M27" s="28">
        <v>-25218</v>
      </c>
      <c r="N27" s="28">
        <v>-44962</v>
      </c>
    </row>
    <row r="28" spans="2:14" x14ac:dyDescent="0.25">
      <c r="B28" t="s">
        <v>110</v>
      </c>
      <c r="C28">
        <v>0</v>
      </c>
      <c r="D28">
        <v>0</v>
      </c>
      <c r="E28">
        <v>-60</v>
      </c>
      <c r="F28">
        <v>-66</v>
      </c>
      <c r="G28">
        <v>-24</v>
      </c>
      <c r="H28">
        <v>-13</v>
      </c>
      <c r="I28" s="28">
        <v>-1062</v>
      </c>
      <c r="J28" s="28">
        <v>-1336</v>
      </c>
      <c r="K28" s="28">
        <v>-1417</v>
      </c>
      <c r="L28" s="28">
        <v>-1515</v>
      </c>
      <c r="M28" s="28">
        <v>-1614</v>
      </c>
      <c r="N28" s="28">
        <v>-1664</v>
      </c>
    </row>
    <row r="29" spans="2:14" x14ac:dyDescent="0.25">
      <c r="B29" t="s">
        <v>111</v>
      </c>
      <c r="C29">
        <v>-122</v>
      </c>
      <c r="D29">
        <v>0</v>
      </c>
      <c r="E29">
        <v>0</v>
      </c>
      <c r="F29">
        <v>-54</v>
      </c>
      <c r="G29" s="28">
        <v>-16042</v>
      </c>
      <c r="H29" s="28">
        <v>-16045</v>
      </c>
      <c r="I29">
        <v>-227</v>
      </c>
      <c r="J29" s="28">
        <v>-19757</v>
      </c>
      <c r="K29" s="28">
        <v>-18091</v>
      </c>
      <c r="L29" s="28">
        <v>-4192</v>
      </c>
      <c r="M29" s="28">
        <v>-21430</v>
      </c>
      <c r="N29">
        <v>28</v>
      </c>
    </row>
    <row r="30" spans="2:14" x14ac:dyDescent="0.25">
      <c r="B30" t="s">
        <v>35</v>
      </c>
      <c r="C30">
        <v>-374</v>
      </c>
      <c r="D30">
        <v>394</v>
      </c>
      <c r="E30" s="28">
        <v>4433</v>
      </c>
      <c r="F30" s="28">
        <v>-2698</v>
      </c>
      <c r="G30" s="28">
        <v>1286</v>
      </c>
      <c r="H30" s="28">
        <v>2341</v>
      </c>
      <c r="I30" s="28">
        <v>1422</v>
      </c>
      <c r="J30" s="28">
        <v>-1788</v>
      </c>
      <c r="K30" s="28">
        <v>5630</v>
      </c>
      <c r="L30" s="28">
        <v>-5365</v>
      </c>
      <c r="M30" s="28">
        <v>1893</v>
      </c>
      <c r="N30">
        <v>-674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749992370372631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N50" sqref="N50"/>
    </sheetView>
  </sheetViews>
  <sheetFormatPr defaultColWidth="8.85546875" defaultRowHeight="15" x14ac:dyDescent="0.25"/>
  <cols>
    <col min="1" max="1" width="27.7109375" style="4" bestFit="1" customWidth="1"/>
    <col min="2" max="11" width="13.42578125" style="4" bestFit="1" customWidth="1"/>
    <col min="12" max="13" width="8.85546875" style="4"/>
    <col min="14" max="14" width="12.140625" style="4" bestFit="1" customWidth="1"/>
    <col min="15" max="16384" width="8.85546875" style="4"/>
  </cols>
  <sheetData>
    <row r="1" spans="1:11" s="1" customFormat="1" x14ac:dyDescent="0.25">
      <c r="A1" s="1" t="s">
        <v>0</v>
      </c>
      <c r="B1" s="1" t="s">
        <v>54</v>
      </c>
      <c r="E1" s="74" t="str">
        <f>IF(B2&lt;&gt;B3, "A NEW VERSION OF THE WORKSHEET IS AVAILABLE", "")</f>
        <v/>
      </c>
      <c r="F1" s="74"/>
      <c r="G1" s="74"/>
      <c r="H1" s="74"/>
      <c r="I1" s="74"/>
      <c r="J1" s="74"/>
      <c r="K1" s="74"/>
    </row>
    <row r="2" spans="1:11" x14ac:dyDescent="0.25">
      <c r="A2" s="1" t="s">
        <v>52</v>
      </c>
      <c r="B2" s="4">
        <v>2.1</v>
      </c>
      <c r="E2" s="75" t="s">
        <v>36</v>
      </c>
      <c r="F2" s="75"/>
      <c r="G2" s="75"/>
      <c r="H2" s="75"/>
      <c r="I2" s="75"/>
      <c r="J2" s="75"/>
      <c r="K2" s="75"/>
    </row>
    <row r="3" spans="1:11" x14ac:dyDescent="0.25">
      <c r="A3" s="1" t="s">
        <v>53</v>
      </c>
      <c r="B3" s="4">
        <v>2.1</v>
      </c>
    </row>
    <row r="4" spans="1:11" x14ac:dyDescent="0.25">
      <c r="A4" s="1"/>
    </row>
    <row r="5" spans="1:11" x14ac:dyDescent="0.25">
      <c r="A5" s="1" t="s">
        <v>55</v>
      </c>
    </row>
    <row r="6" spans="1:11" x14ac:dyDescent="0.25">
      <c r="A6" s="4" t="s">
        <v>42</v>
      </c>
      <c r="B6" s="4">
        <f>IF(B9&gt;0, B9/B8, 0)</f>
        <v>361.80875087764088</v>
      </c>
    </row>
    <row r="7" spans="1:11" x14ac:dyDescent="0.25">
      <c r="A7" s="4" t="s">
        <v>31</v>
      </c>
      <c r="B7">
        <v>1</v>
      </c>
    </row>
    <row r="8" spans="1:11" x14ac:dyDescent="0.25">
      <c r="A8" s="4" t="s">
        <v>43</v>
      </c>
      <c r="B8">
        <v>3133.4</v>
      </c>
    </row>
    <row r="9" spans="1:11" x14ac:dyDescent="0.25">
      <c r="A9" s="4" t="s">
        <v>70</v>
      </c>
      <c r="B9">
        <v>1133691.54</v>
      </c>
    </row>
    <row r="15" spans="1:11" x14ac:dyDescent="0.25">
      <c r="A15" s="1" t="s">
        <v>37</v>
      </c>
    </row>
    <row r="16" spans="1:11" s="18" customFormat="1" x14ac:dyDescent="0.25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25">
      <c r="A17" s="6" t="s">
        <v>6</v>
      </c>
      <c r="B17">
        <v>108646</v>
      </c>
      <c r="C17">
        <v>117966</v>
      </c>
      <c r="D17">
        <v>123104</v>
      </c>
      <c r="E17">
        <v>146463</v>
      </c>
      <c r="F17">
        <v>156949</v>
      </c>
      <c r="G17">
        <v>164177</v>
      </c>
      <c r="H17">
        <v>191754</v>
      </c>
      <c r="I17">
        <v>225458</v>
      </c>
      <c r="J17">
        <v>240893</v>
      </c>
      <c r="K17">
        <v>255324</v>
      </c>
    </row>
    <row r="18" spans="1:11" s="6" customFormat="1" x14ac:dyDescent="0.25">
      <c r="A18" s="4" t="s">
        <v>71</v>
      </c>
      <c r="B18"/>
      <c r="C18">
        <v>94</v>
      </c>
      <c r="D18">
        <v>86</v>
      </c>
      <c r="E18">
        <v>40</v>
      </c>
      <c r="F18">
        <v>18</v>
      </c>
      <c r="G18">
        <v>14</v>
      </c>
      <c r="H18">
        <v>29</v>
      </c>
      <c r="I18">
        <v>37</v>
      </c>
      <c r="J18">
        <v>42</v>
      </c>
      <c r="K18">
        <v>49</v>
      </c>
    </row>
    <row r="19" spans="1:11" s="6" customFormat="1" x14ac:dyDescent="0.25">
      <c r="A19" s="4" t="s">
        <v>72</v>
      </c>
      <c r="B19"/>
      <c r="C19">
        <v>1</v>
      </c>
      <c r="D19"/>
      <c r="E19"/>
      <c r="F19"/>
      <c r="G19"/>
      <c r="H19"/>
      <c r="I19"/>
      <c r="J19"/>
      <c r="K19"/>
    </row>
    <row r="20" spans="1:11" s="6" customFormat="1" x14ac:dyDescent="0.25">
      <c r="A20" s="4" t="s">
        <v>73</v>
      </c>
      <c r="B20"/>
      <c r="C20"/>
      <c r="D20"/>
      <c r="E20"/>
      <c r="F20"/>
      <c r="G20"/>
      <c r="H20"/>
      <c r="I20"/>
      <c r="J20"/>
      <c r="K20"/>
    </row>
    <row r="21" spans="1:11" s="6" customFormat="1" x14ac:dyDescent="0.25">
      <c r="A21" s="4" t="s">
        <v>74</v>
      </c>
      <c r="B21">
        <v>2571</v>
      </c>
      <c r="C21">
        <v>2715</v>
      </c>
      <c r="D21">
        <v>2614</v>
      </c>
      <c r="E21">
        <v>2230</v>
      </c>
      <c r="F21">
        <v>1887</v>
      </c>
      <c r="G21">
        <v>1448</v>
      </c>
      <c r="H21">
        <v>1134</v>
      </c>
      <c r="I21">
        <v>1844</v>
      </c>
      <c r="J21">
        <v>3660</v>
      </c>
      <c r="K21">
        <v>11599</v>
      </c>
    </row>
    <row r="22" spans="1:11" s="6" customFormat="1" x14ac:dyDescent="0.25">
      <c r="A22" s="4" t="s">
        <v>75</v>
      </c>
      <c r="B22">
        <v>55348</v>
      </c>
      <c r="C22">
        <v>61621</v>
      </c>
      <c r="D22">
        <v>66396</v>
      </c>
      <c r="E22">
        <v>78246</v>
      </c>
      <c r="F22">
        <v>85952</v>
      </c>
      <c r="G22">
        <v>91814</v>
      </c>
      <c r="H22">
        <v>107554</v>
      </c>
      <c r="I22">
        <v>127522</v>
      </c>
      <c r="J22">
        <v>140131</v>
      </c>
      <c r="K22">
        <v>145788</v>
      </c>
    </row>
    <row r="23" spans="1:11" s="6" customFormat="1" x14ac:dyDescent="0.25">
      <c r="A23" s="4" t="s">
        <v>76</v>
      </c>
      <c r="B23">
        <v>15589</v>
      </c>
      <c r="C23">
        <v>16392</v>
      </c>
      <c r="D23">
        <v>16808</v>
      </c>
      <c r="E23">
        <v>20387</v>
      </c>
      <c r="F23">
        <v>20527</v>
      </c>
      <c r="G23">
        <v>18322</v>
      </c>
      <c r="H23">
        <v>23187</v>
      </c>
      <c r="I23">
        <v>28913</v>
      </c>
      <c r="J23">
        <v>24151</v>
      </c>
      <c r="K23">
        <v>20729</v>
      </c>
    </row>
    <row r="24" spans="1:11" s="6" customFormat="1" x14ac:dyDescent="0.25">
      <c r="A24" s="4" t="s">
        <v>77</v>
      </c>
      <c r="B24">
        <v>4461</v>
      </c>
      <c r="C24">
        <v>4834</v>
      </c>
      <c r="D24">
        <v>4684</v>
      </c>
      <c r="E24">
        <v>6054</v>
      </c>
      <c r="F24">
        <v>6456</v>
      </c>
      <c r="G24">
        <v>6033</v>
      </c>
      <c r="H24">
        <v>6793</v>
      </c>
      <c r="I24">
        <v>7883</v>
      </c>
      <c r="J24">
        <v>8613</v>
      </c>
      <c r="K24">
        <v>9752</v>
      </c>
    </row>
    <row r="25" spans="1:11" s="6" customFormat="1" x14ac:dyDescent="0.25">
      <c r="A25" s="6" t="s">
        <v>9</v>
      </c>
      <c r="B25">
        <v>3084</v>
      </c>
      <c r="C25">
        <v>4221</v>
      </c>
      <c r="D25">
        <v>3642</v>
      </c>
      <c r="E25">
        <v>4311</v>
      </c>
      <c r="F25">
        <v>4592</v>
      </c>
      <c r="G25">
        <v>1916</v>
      </c>
      <c r="H25">
        <v>4018</v>
      </c>
      <c r="I25">
        <v>3449</v>
      </c>
      <c r="J25">
        <v>3464</v>
      </c>
      <c r="K25">
        <v>3962</v>
      </c>
    </row>
    <row r="26" spans="1:11" s="6" customFormat="1" x14ac:dyDescent="0.25">
      <c r="A26" s="6" t="s">
        <v>10</v>
      </c>
      <c r="B26">
        <v>1888</v>
      </c>
      <c r="C26">
        <v>1987</v>
      </c>
      <c r="D26">
        <v>2014</v>
      </c>
      <c r="E26">
        <v>2056</v>
      </c>
      <c r="F26">
        <v>3529</v>
      </c>
      <c r="G26">
        <v>4065</v>
      </c>
      <c r="H26">
        <v>4604</v>
      </c>
      <c r="I26">
        <v>5022</v>
      </c>
      <c r="J26">
        <v>4985</v>
      </c>
      <c r="K26">
        <v>5242</v>
      </c>
    </row>
    <row r="27" spans="1:11" s="6" customFormat="1" x14ac:dyDescent="0.25">
      <c r="A27" s="6" t="s">
        <v>11</v>
      </c>
      <c r="B27">
        <v>33</v>
      </c>
      <c r="C27">
        <v>32</v>
      </c>
      <c r="D27">
        <v>52</v>
      </c>
      <c r="E27">
        <v>198</v>
      </c>
      <c r="F27">
        <v>924</v>
      </c>
      <c r="G27">
        <v>637</v>
      </c>
      <c r="H27">
        <v>784</v>
      </c>
      <c r="I27">
        <v>779</v>
      </c>
      <c r="J27">
        <v>778</v>
      </c>
      <c r="K27">
        <v>796</v>
      </c>
    </row>
    <row r="28" spans="1:11" s="6" customFormat="1" x14ac:dyDescent="0.25">
      <c r="A28" s="6" t="s">
        <v>12</v>
      </c>
      <c r="B28">
        <v>31840</v>
      </c>
      <c r="C28">
        <v>34513</v>
      </c>
      <c r="D28">
        <v>34092</v>
      </c>
      <c r="E28">
        <v>41563</v>
      </c>
      <c r="F28">
        <v>42248</v>
      </c>
      <c r="G28">
        <v>43760</v>
      </c>
      <c r="H28">
        <v>51687</v>
      </c>
      <c r="I28">
        <v>56907</v>
      </c>
      <c r="J28">
        <v>61997</v>
      </c>
      <c r="K28">
        <v>65331</v>
      </c>
    </row>
    <row r="29" spans="1:11" s="6" customFormat="1" x14ac:dyDescent="0.25">
      <c r="A29" s="6" t="s">
        <v>13</v>
      </c>
      <c r="B29">
        <v>7502</v>
      </c>
      <c r="C29">
        <v>8156</v>
      </c>
      <c r="D29">
        <v>8212</v>
      </c>
      <c r="E29">
        <v>10001</v>
      </c>
      <c r="F29">
        <v>9801</v>
      </c>
      <c r="G29">
        <v>11198</v>
      </c>
      <c r="H29">
        <v>13238</v>
      </c>
      <c r="I29">
        <v>14604</v>
      </c>
      <c r="J29">
        <v>15898</v>
      </c>
      <c r="K29">
        <v>16534</v>
      </c>
    </row>
    <row r="30" spans="1:11" s="6" customFormat="1" x14ac:dyDescent="0.25">
      <c r="A30" s="6" t="s">
        <v>14</v>
      </c>
      <c r="B30">
        <v>24270</v>
      </c>
      <c r="C30">
        <v>26289</v>
      </c>
      <c r="D30">
        <v>25826</v>
      </c>
      <c r="E30">
        <v>31472</v>
      </c>
      <c r="F30">
        <v>32340</v>
      </c>
      <c r="G30">
        <v>32430</v>
      </c>
      <c r="H30">
        <v>38327</v>
      </c>
      <c r="I30">
        <v>42147</v>
      </c>
      <c r="J30">
        <v>45908</v>
      </c>
      <c r="K30">
        <v>48553</v>
      </c>
    </row>
    <row r="31" spans="1:11" s="6" customFormat="1" x14ac:dyDescent="0.25">
      <c r="A31" s="6" t="s">
        <v>61</v>
      </c>
      <c r="B31">
        <v>8569.5</v>
      </c>
      <c r="C31">
        <v>9259</v>
      </c>
      <c r="D31">
        <v>9550</v>
      </c>
      <c r="E31">
        <v>11250</v>
      </c>
      <c r="F31">
        <v>27375</v>
      </c>
      <c r="G31">
        <v>14060</v>
      </c>
      <c r="H31">
        <v>15738</v>
      </c>
      <c r="I31">
        <v>42090</v>
      </c>
      <c r="J31">
        <v>26426</v>
      </c>
      <c r="K31">
        <v>45612</v>
      </c>
    </row>
    <row r="32" spans="1:11" s="6" customFormat="1" x14ac:dyDescent="0.25"/>
    <row r="33" spans="1:11" x14ac:dyDescent="0.25">
      <c r="A33" s="6"/>
    </row>
    <row r="34" spans="1:11" x14ac:dyDescent="0.25">
      <c r="A34" s="6"/>
    </row>
    <row r="35" spans="1:11" x14ac:dyDescent="0.25">
      <c r="A35" s="6"/>
    </row>
    <row r="36" spans="1:11" x14ac:dyDescent="0.25">
      <c r="A36" s="6"/>
    </row>
    <row r="37" spans="1:11" x14ac:dyDescent="0.25">
      <c r="A37" s="6"/>
    </row>
    <row r="38" spans="1:11" x14ac:dyDescent="0.25">
      <c r="A38" s="6"/>
    </row>
    <row r="39" spans="1:11" x14ac:dyDescent="0.25">
      <c r="A39" s="6"/>
    </row>
    <row r="40" spans="1:11" x14ac:dyDescent="0.25">
      <c r="A40" s="1" t="s">
        <v>39</v>
      </c>
    </row>
    <row r="41" spans="1:11" s="18" customFormat="1" x14ac:dyDescent="0.25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25">
      <c r="A42" s="6" t="s">
        <v>6</v>
      </c>
      <c r="B42">
        <v>59162</v>
      </c>
      <c r="C42">
        <v>59381</v>
      </c>
      <c r="D42">
        <v>59692</v>
      </c>
      <c r="E42">
        <v>60583</v>
      </c>
      <c r="F42">
        <v>61237</v>
      </c>
      <c r="G42">
        <v>62613</v>
      </c>
      <c r="H42">
        <v>64259</v>
      </c>
      <c r="I42">
        <v>63973</v>
      </c>
      <c r="J42">
        <v>64479</v>
      </c>
      <c r="K42">
        <v>63437</v>
      </c>
    </row>
    <row r="43" spans="1:11" s="6" customFormat="1" x14ac:dyDescent="0.25">
      <c r="A43" s="6" t="s">
        <v>7</v>
      </c>
      <c r="B43">
        <v>43388</v>
      </c>
      <c r="C43">
        <v>44383</v>
      </c>
      <c r="D43">
        <v>43946</v>
      </c>
      <c r="E43">
        <v>44195</v>
      </c>
      <c r="F43">
        <v>44073</v>
      </c>
      <c r="G43">
        <v>45951</v>
      </c>
      <c r="H43">
        <v>47528</v>
      </c>
      <c r="I43">
        <v>46939</v>
      </c>
      <c r="J43">
        <v>47499</v>
      </c>
      <c r="K43">
        <v>46562</v>
      </c>
    </row>
    <row r="44" spans="1:11" s="6" customFormat="1" x14ac:dyDescent="0.25">
      <c r="A44" s="6" t="s">
        <v>9</v>
      </c>
      <c r="B44">
        <v>1175</v>
      </c>
      <c r="C44">
        <v>1397</v>
      </c>
      <c r="D44">
        <v>1006</v>
      </c>
      <c r="E44">
        <v>-96</v>
      </c>
      <c r="F44">
        <v>1157</v>
      </c>
      <c r="G44">
        <v>962</v>
      </c>
      <c r="H44">
        <v>729</v>
      </c>
      <c r="I44">
        <v>1243</v>
      </c>
      <c r="J44">
        <v>1028</v>
      </c>
      <c r="K44">
        <v>1660</v>
      </c>
    </row>
    <row r="45" spans="1:11" s="6" customFormat="1" x14ac:dyDescent="0.25">
      <c r="A45" s="6" t="s">
        <v>10</v>
      </c>
      <c r="B45">
        <v>1286</v>
      </c>
      <c r="C45">
        <v>1243</v>
      </c>
      <c r="D45">
        <v>1263</v>
      </c>
      <c r="E45">
        <v>1233</v>
      </c>
      <c r="F45">
        <v>1246</v>
      </c>
      <c r="G45">
        <v>1220</v>
      </c>
      <c r="H45">
        <v>1266</v>
      </c>
      <c r="I45">
        <v>1377</v>
      </c>
      <c r="J45">
        <v>1379</v>
      </c>
      <c r="K45">
        <v>1361</v>
      </c>
    </row>
    <row r="46" spans="1:11" s="6" customFormat="1" x14ac:dyDescent="0.25">
      <c r="A46" s="6" t="s">
        <v>11</v>
      </c>
      <c r="B46">
        <v>272</v>
      </c>
      <c r="C46">
        <v>163</v>
      </c>
      <c r="D46">
        <v>159</v>
      </c>
      <c r="E46">
        <v>230</v>
      </c>
      <c r="F46">
        <v>226</v>
      </c>
      <c r="G46">
        <v>173</v>
      </c>
      <c r="H46">
        <v>162</v>
      </c>
      <c r="I46">
        <v>234</v>
      </c>
      <c r="J46">
        <v>227</v>
      </c>
      <c r="K46">
        <v>195</v>
      </c>
    </row>
    <row r="47" spans="1:11" s="6" customFormat="1" x14ac:dyDescent="0.25">
      <c r="A47" s="6" t="s">
        <v>12</v>
      </c>
      <c r="B47">
        <v>15391</v>
      </c>
      <c r="C47">
        <v>14989</v>
      </c>
      <c r="D47">
        <v>15330</v>
      </c>
      <c r="E47">
        <v>14829</v>
      </c>
      <c r="F47">
        <v>16849</v>
      </c>
      <c r="G47">
        <v>16231</v>
      </c>
      <c r="H47">
        <v>16032</v>
      </c>
      <c r="I47">
        <v>16666</v>
      </c>
      <c r="J47">
        <v>16402</v>
      </c>
      <c r="K47">
        <v>16979</v>
      </c>
    </row>
    <row r="48" spans="1:11" s="6" customFormat="1" x14ac:dyDescent="0.25">
      <c r="A48" s="6" t="s">
        <v>13</v>
      </c>
      <c r="B48">
        <v>3955</v>
      </c>
      <c r="C48">
        <v>3869</v>
      </c>
      <c r="D48">
        <v>3950</v>
      </c>
      <c r="E48">
        <v>3732</v>
      </c>
      <c r="F48">
        <v>4347</v>
      </c>
      <c r="G48">
        <v>4126</v>
      </c>
      <c r="H48">
        <v>4077</v>
      </c>
      <c r="I48">
        <v>4222</v>
      </c>
      <c r="J48">
        <v>4109</v>
      </c>
      <c r="K48">
        <v>4160</v>
      </c>
    </row>
    <row r="49" spans="1:11" s="6" customFormat="1" x14ac:dyDescent="0.25">
      <c r="A49" s="6" t="s">
        <v>14</v>
      </c>
      <c r="B49">
        <v>11392</v>
      </c>
      <c r="C49">
        <v>11074</v>
      </c>
      <c r="D49">
        <v>11342</v>
      </c>
      <c r="E49">
        <v>11058</v>
      </c>
      <c r="F49">
        <v>12434</v>
      </c>
      <c r="G49">
        <v>12040</v>
      </c>
      <c r="H49">
        <v>11909</v>
      </c>
      <c r="I49">
        <v>12380</v>
      </c>
      <c r="J49">
        <v>12224</v>
      </c>
      <c r="K49">
        <v>12760</v>
      </c>
    </row>
    <row r="50" spans="1:11" x14ac:dyDescent="0.25">
      <c r="A50" s="6" t="s">
        <v>8</v>
      </c>
      <c r="B50">
        <v>15774</v>
      </c>
      <c r="C50">
        <v>14998</v>
      </c>
      <c r="D50">
        <v>15746</v>
      </c>
      <c r="E50">
        <v>16388</v>
      </c>
      <c r="F50">
        <v>17164</v>
      </c>
      <c r="G50">
        <v>16662</v>
      </c>
      <c r="H50">
        <v>16731</v>
      </c>
      <c r="I50">
        <v>17034</v>
      </c>
      <c r="J50">
        <v>16980</v>
      </c>
      <c r="K50">
        <v>16875</v>
      </c>
    </row>
    <row r="51" spans="1:11" x14ac:dyDescent="0.25">
      <c r="A51" s="6"/>
    </row>
    <row r="52" spans="1:11" x14ac:dyDescent="0.25">
      <c r="A52" s="6"/>
    </row>
    <row r="53" spans="1:11" x14ac:dyDescent="0.25">
      <c r="A53" s="6"/>
    </row>
    <row r="54" spans="1:11" x14ac:dyDescent="0.25">
      <c r="A54" s="6"/>
    </row>
    <row r="55" spans="1:11" x14ac:dyDescent="0.25">
      <c r="A55" s="1" t="s">
        <v>40</v>
      </c>
    </row>
    <row r="56" spans="1:11" s="18" customFormat="1" x14ac:dyDescent="0.25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25">
      <c r="A57" s="6" t="s">
        <v>24</v>
      </c>
      <c r="B57">
        <v>197</v>
      </c>
      <c r="C57">
        <v>197</v>
      </c>
      <c r="D57">
        <v>191</v>
      </c>
      <c r="E57">
        <v>375</v>
      </c>
      <c r="F57">
        <v>375</v>
      </c>
      <c r="G57">
        <v>370</v>
      </c>
      <c r="H57">
        <v>366</v>
      </c>
      <c r="I57">
        <v>366</v>
      </c>
      <c r="J57">
        <v>362</v>
      </c>
      <c r="K57">
        <v>362</v>
      </c>
    </row>
    <row r="58" spans="1:11" x14ac:dyDescent="0.25">
      <c r="A58" s="6" t="s">
        <v>25</v>
      </c>
      <c r="B58">
        <v>70875</v>
      </c>
      <c r="C58">
        <v>86017</v>
      </c>
      <c r="D58">
        <v>84937</v>
      </c>
      <c r="E58">
        <v>89071</v>
      </c>
      <c r="F58">
        <v>83751</v>
      </c>
      <c r="G58">
        <v>86063</v>
      </c>
      <c r="H58">
        <v>88773</v>
      </c>
      <c r="I58">
        <v>90058</v>
      </c>
      <c r="J58">
        <v>90127</v>
      </c>
      <c r="K58">
        <v>94394</v>
      </c>
    </row>
    <row r="59" spans="1:11" x14ac:dyDescent="0.25">
      <c r="A59" s="6" t="s">
        <v>62</v>
      </c>
      <c r="B59">
        <v>245</v>
      </c>
      <c r="C59">
        <v>289</v>
      </c>
      <c r="D59">
        <v>247</v>
      </c>
      <c r="E59">
        <v>62</v>
      </c>
      <c r="F59">
        <v>8174</v>
      </c>
      <c r="G59">
        <v>7795</v>
      </c>
      <c r="H59">
        <v>7818</v>
      </c>
      <c r="I59">
        <v>7688</v>
      </c>
      <c r="J59">
        <v>8021</v>
      </c>
      <c r="K59">
        <v>9392</v>
      </c>
    </row>
    <row r="60" spans="1:11" x14ac:dyDescent="0.25">
      <c r="A60" s="6" t="s">
        <v>63</v>
      </c>
      <c r="B60">
        <v>16974</v>
      </c>
      <c r="C60">
        <v>15830</v>
      </c>
      <c r="D60">
        <v>19751</v>
      </c>
      <c r="E60">
        <v>24393</v>
      </c>
      <c r="F60">
        <v>27827</v>
      </c>
      <c r="G60">
        <v>35764</v>
      </c>
      <c r="H60">
        <v>43967</v>
      </c>
      <c r="I60">
        <v>44747</v>
      </c>
      <c r="J60">
        <v>46962</v>
      </c>
      <c r="K60">
        <v>54501</v>
      </c>
    </row>
    <row r="61" spans="1:11" s="1" customFormat="1" x14ac:dyDescent="0.25">
      <c r="A61" s="1" t="s">
        <v>26</v>
      </c>
      <c r="B61">
        <v>88291</v>
      </c>
      <c r="C61">
        <v>102333</v>
      </c>
      <c r="D61">
        <v>105126</v>
      </c>
      <c r="E61">
        <v>113901</v>
      </c>
      <c r="F61">
        <v>120127</v>
      </c>
      <c r="G61">
        <v>129992</v>
      </c>
      <c r="H61">
        <v>140924</v>
      </c>
      <c r="I61">
        <v>142859</v>
      </c>
      <c r="J61">
        <v>145472</v>
      </c>
      <c r="K61">
        <v>158649</v>
      </c>
    </row>
    <row r="62" spans="1:11" x14ac:dyDescent="0.25">
      <c r="A62" s="6" t="s">
        <v>27</v>
      </c>
      <c r="B62">
        <v>11774</v>
      </c>
      <c r="C62">
        <v>11701</v>
      </c>
      <c r="D62">
        <v>11973</v>
      </c>
      <c r="E62">
        <v>12290</v>
      </c>
      <c r="F62">
        <v>20928</v>
      </c>
      <c r="G62">
        <v>21021</v>
      </c>
      <c r="H62">
        <v>21298</v>
      </c>
      <c r="I62">
        <v>20515</v>
      </c>
      <c r="J62">
        <v>19604</v>
      </c>
      <c r="K62">
        <v>23053</v>
      </c>
    </row>
    <row r="63" spans="1:11" x14ac:dyDescent="0.25">
      <c r="A63" s="6" t="s">
        <v>28</v>
      </c>
      <c r="B63">
        <v>1670</v>
      </c>
      <c r="C63">
        <v>1541</v>
      </c>
      <c r="D63">
        <v>1278</v>
      </c>
      <c r="E63">
        <v>963</v>
      </c>
      <c r="F63">
        <v>906</v>
      </c>
      <c r="G63">
        <v>926</v>
      </c>
      <c r="H63">
        <v>1205</v>
      </c>
      <c r="I63">
        <v>1234</v>
      </c>
      <c r="J63">
        <v>1564</v>
      </c>
      <c r="K63">
        <v>1546</v>
      </c>
    </row>
    <row r="64" spans="1:11" x14ac:dyDescent="0.25">
      <c r="A64" s="6" t="s">
        <v>29</v>
      </c>
      <c r="B64">
        <v>22822</v>
      </c>
      <c r="C64">
        <v>41980</v>
      </c>
      <c r="D64">
        <v>36008</v>
      </c>
      <c r="E64">
        <v>29330</v>
      </c>
      <c r="F64">
        <v>26356</v>
      </c>
      <c r="G64">
        <v>29373</v>
      </c>
      <c r="H64">
        <v>30485</v>
      </c>
      <c r="I64">
        <v>37163</v>
      </c>
      <c r="J64">
        <v>31762</v>
      </c>
      <c r="K64">
        <v>30964</v>
      </c>
    </row>
    <row r="65" spans="1:11" x14ac:dyDescent="0.25">
      <c r="A65" s="6" t="s">
        <v>64</v>
      </c>
      <c r="B65">
        <v>52025</v>
      </c>
      <c r="C65">
        <v>47111</v>
      </c>
      <c r="D65">
        <v>55867</v>
      </c>
      <c r="E65">
        <v>71318</v>
      </c>
      <c r="F65">
        <v>71937</v>
      </c>
      <c r="G65">
        <v>78672</v>
      </c>
      <c r="H65">
        <v>87936</v>
      </c>
      <c r="I65">
        <v>83947</v>
      </c>
      <c r="J65">
        <v>92542</v>
      </c>
      <c r="K65">
        <v>103086</v>
      </c>
    </row>
    <row r="66" spans="1:11" s="1" customFormat="1" x14ac:dyDescent="0.25">
      <c r="A66" s="1" t="s">
        <v>26</v>
      </c>
      <c r="B66">
        <v>88291</v>
      </c>
      <c r="C66">
        <v>102333</v>
      </c>
      <c r="D66">
        <v>105126</v>
      </c>
      <c r="E66">
        <v>113901</v>
      </c>
      <c r="F66">
        <v>120127</v>
      </c>
      <c r="G66">
        <v>129992</v>
      </c>
      <c r="H66">
        <v>140924</v>
      </c>
      <c r="I66">
        <v>142859</v>
      </c>
      <c r="J66">
        <v>145472</v>
      </c>
      <c r="K66">
        <v>158649</v>
      </c>
    </row>
    <row r="67" spans="1:11" s="6" customFormat="1" x14ac:dyDescent="0.25">
      <c r="A67" s="6" t="s">
        <v>69</v>
      </c>
      <c r="B67">
        <v>24073</v>
      </c>
      <c r="C67">
        <v>22617</v>
      </c>
      <c r="D67">
        <v>24943</v>
      </c>
      <c r="E67">
        <v>27346</v>
      </c>
      <c r="F67">
        <v>30532</v>
      </c>
      <c r="G67">
        <v>30079</v>
      </c>
      <c r="H67">
        <v>41810</v>
      </c>
      <c r="I67">
        <v>49954</v>
      </c>
      <c r="J67">
        <v>53577</v>
      </c>
      <c r="K67">
        <v>59046</v>
      </c>
    </row>
    <row r="68" spans="1:11" x14ac:dyDescent="0.25">
      <c r="A68" s="6" t="s">
        <v>45</v>
      </c>
      <c r="B68">
        <v>16</v>
      </c>
      <c r="C68">
        <v>21</v>
      </c>
      <c r="D68">
        <v>26</v>
      </c>
      <c r="E68">
        <v>10</v>
      </c>
      <c r="F68">
        <v>5</v>
      </c>
      <c r="G68">
        <v>8</v>
      </c>
      <c r="H68">
        <v>20</v>
      </c>
      <c r="I68">
        <v>28</v>
      </c>
      <c r="J68">
        <v>28</v>
      </c>
      <c r="K68">
        <v>21</v>
      </c>
    </row>
    <row r="69" spans="1:11" x14ac:dyDescent="0.25">
      <c r="A69" s="4" t="s">
        <v>78</v>
      </c>
      <c r="B69">
        <v>6788</v>
      </c>
      <c r="C69">
        <v>4149</v>
      </c>
      <c r="D69">
        <v>7161</v>
      </c>
      <c r="E69">
        <v>12848</v>
      </c>
      <c r="F69">
        <v>9666</v>
      </c>
      <c r="G69">
        <v>9329</v>
      </c>
      <c r="H69">
        <v>18221</v>
      </c>
      <c r="I69">
        <v>11032</v>
      </c>
      <c r="J69">
        <v>13286</v>
      </c>
      <c r="K69">
        <v>15463</v>
      </c>
    </row>
    <row r="70" spans="1:11" x14ac:dyDescent="0.25">
      <c r="A70" s="4" t="s">
        <v>65</v>
      </c>
      <c r="B70">
        <v>1970427941</v>
      </c>
      <c r="C70">
        <v>1970427941</v>
      </c>
      <c r="D70">
        <v>1914287591</v>
      </c>
      <c r="E70">
        <v>3752384706</v>
      </c>
      <c r="F70">
        <v>3752384706</v>
      </c>
      <c r="G70">
        <v>3699051373</v>
      </c>
      <c r="H70">
        <v>3659051373</v>
      </c>
      <c r="I70">
        <v>3659051373</v>
      </c>
      <c r="J70">
        <v>3618087518</v>
      </c>
      <c r="K70">
        <v>3618087518</v>
      </c>
    </row>
    <row r="71" spans="1:11" x14ac:dyDescent="0.25">
      <c r="A71" s="4" t="s">
        <v>66</v>
      </c>
    </row>
    <row r="72" spans="1:11" x14ac:dyDescent="0.25">
      <c r="A72" s="4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6"/>
    </row>
    <row r="75" spans="1:11" x14ac:dyDescent="0.25">
      <c r="A75" s="6"/>
    </row>
    <row r="76" spans="1:11" x14ac:dyDescent="0.25">
      <c r="A76" s="6"/>
    </row>
    <row r="77" spans="1:11" x14ac:dyDescent="0.25">
      <c r="A77" s="6"/>
    </row>
    <row r="78" spans="1:11" x14ac:dyDescent="0.25">
      <c r="A78" s="6"/>
    </row>
    <row r="79" spans="1:11" x14ac:dyDescent="0.25">
      <c r="A79" s="6"/>
    </row>
    <row r="80" spans="1:11" x14ac:dyDescent="0.25">
      <c r="A80" s="1" t="s">
        <v>41</v>
      </c>
    </row>
    <row r="81" spans="1:11" s="18" customFormat="1" x14ac:dyDescent="0.25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25">
      <c r="A82" s="6" t="s">
        <v>32</v>
      </c>
      <c r="B82">
        <v>19109</v>
      </c>
      <c r="C82">
        <v>25223</v>
      </c>
      <c r="D82">
        <v>25067</v>
      </c>
      <c r="E82">
        <v>28593</v>
      </c>
      <c r="F82">
        <v>32369</v>
      </c>
      <c r="G82">
        <v>38802</v>
      </c>
      <c r="H82">
        <v>39949</v>
      </c>
      <c r="I82">
        <v>41965</v>
      </c>
      <c r="J82">
        <v>44338</v>
      </c>
      <c r="K82">
        <v>48908</v>
      </c>
    </row>
    <row r="83" spans="1:11" s="6" customFormat="1" x14ac:dyDescent="0.25">
      <c r="A83" s="6" t="s">
        <v>33</v>
      </c>
      <c r="B83">
        <v>-5010</v>
      </c>
      <c r="C83">
        <v>-16895</v>
      </c>
      <c r="D83">
        <v>3104</v>
      </c>
      <c r="E83">
        <v>1645</v>
      </c>
      <c r="F83">
        <v>8968</v>
      </c>
      <c r="G83">
        <v>-7956</v>
      </c>
      <c r="H83">
        <v>-738</v>
      </c>
      <c r="I83">
        <v>548</v>
      </c>
      <c r="J83">
        <v>6091</v>
      </c>
      <c r="K83">
        <v>-2144</v>
      </c>
    </row>
    <row r="84" spans="1:11" s="6" customFormat="1" x14ac:dyDescent="0.25">
      <c r="A84" s="6" t="s">
        <v>34</v>
      </c>
      <c r="B84">
        <v>-9666</v>
      </c>
      <c r="C84">
        <v>-11026</v>
      </c>
      <c r="D84">
        <v>-26885</v>
      </c>
      <c r="E84">
        <v>-27897</v>
      </c>
      <c r="F84">
        <v>-39915</v>
      </c>
      <c r="G84">
        <v>-32634</v>
      </c>
      <c r="H84">
        <v>-33581</v>
      </c>
      <c r="I84">
        <v>-47878</v>
      </c>
      <c r="J84">
        <v>-48536</v>
      </c>
      <c r="K84">
        <v>-47438</v>
      </c>
    </row>
    <row r="85" spans="1:11" s="1" customFormat="1" x14ac:dyDescent="0.25">
      <c r="A85" s="6" t="s">
        <v>35</v>
      </c>
      <c r="B85">
        <v>4433</v>
      </c>
      <c r="C85">
        <v>-2698</v>
      </c>
      <c r="D85">
        <v>1286</v>
      </c>
      <c r="E85">
        <v>2341</v>
      </c>
      <c r="F85">
        <v>1422</v>
      </c>
      <c r="G85">
        <v>-1788</v>
      </c>
      <c r="H85">
        <v>5630</v>
      </c>
      <c r="I85">
        <v>-5365</v>
      </c>
      <c r="J85">
        <v>1893</v>
      </c>
      <c r="K85">
        <v>-674</v>
      </c>
    </row>
    <row r="86" spans="1:11" x14ac:dyDescent="0.25">
      <c r="A86" s="6"/>
    </row>
    <row r="87" spans="1:11" x14ac:dyDescent="0.25">
      <c r="A87" s="6"/>
    </row>
    <row r="88" spans="1:11" x14ac:dyDescent="0.25">
      <c r="A88" s="6"/>
    </row>
    <row r="89" spans="1:11" x14ac:dyDescent="0.25">
      <c r="A89" s="6"/>
    </row>
    <row r="90" spans="1:11" s="1" customFormat="1" x14ac:dyDescent="0.25">
      <c r="A90" s="1" t="s">
        <v>68</v>
      </c>
      <c r="B90">
        <v>1260.1500000000001</v>
      </c>
      <c r="C90">
        <v>1215.9000000000001</v>
      </c>
      <c r="D90">
        <v>1424.58</v>
      </c>
      <c r="E90">
        <v>2001.65</v>
      </c>
      <c r="F90">
        <v>1826.1</v>
      </c>
      <c r="G90">
        <v>3177.85</v>
      </c>
      <c r="H90">
        <v>3739.95</v>
      </c>
      <c r="I90">
        <v>3205.9</v>
      </c>
      <c r="J90">
        <v>3876.3</v>
      </c>
      <c r="K90">
        <v>3606.15</v>
      </c>
    </row>
    <row r="92" spans="1:11" s="1" customFormat="1" x14ac:dyDescent="0.25">
      <c r="A92" s="1" t="s">
        <v>67</v>
      </c>
    </row>
    <row r="93" spans="1:11" x14ac:dyDescent="0.25">
      <c r="A93" s="4" t="s">
        <v>80</v>
      </c>
      <c r="B93" s="20">
        <v>394.09</v>
      </c>
      <c r="C93" s="20">
        <v>394.09</v>
      </c>
      <c r="D93" s="20">
        <v>382.86</v>
      </c>
      <c r="E93" s="20">
        <v>375.24</v>
      </c>
      <c r="F93" s="20">
        <v>375.24</v>
      </c>
      <c r="G93" s="20">
        <v>369.91</v>
      </c>
      <c r="H93" s="20">
        <v>365.91</v>
      </c>
      <c r="I93" s="20">
        <v>365.91</v>
      </c>
      <c r="J93" s="20">
        <v>361.81</v>
      </c>
      <c r="K93" s="20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9AFD-3B7F-4A84-8A15-CF16A4C17545}">
  <sheetPr>
    <tabColor rgb="FF5F68C3"/>
  </sheetPr>
  <dimension ref="A2:R12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9" sqref="P29"/>
    </sheetView>
  </sheetViews>
  <sheetFormatPr defaultRowHeight="15" x14ac:dyDescent="0.25"/>
  <cols>
    <col min="1" max="1" width="1.85546875" customWidth="1"/>
    <col min="2" max="2" width="33.28515625" bestFit="1" customWidth="1"/>
    <col min="3" max="4" width="13.85546875" bestFit="1" customWidth="1"/>
    <col min="5" max="9" width="12.28515625" bestFit="1" customWidth="1"/>
    <col min="10" max="12" width="13.85546875" bestFit="1" customWidth="1"/>
    <col min="13" max="18" width="12.28515625" bestFit="1" customWidth="1"/>
  </cols>
  <sheetData>
    <row r="2" spans="1:18" x14ac:dyDescent="0.25">
      <c r="B2" s="76" t="str">
        <f>"Historical Financial Statement - "&amp;'Data Sheet'!B1</f>
        <v>Historical Financial Statement - TATA CONSULTANCY SERVICES LTD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x14ac:dyDescent="0.25">
      <c r="B3" s="32" t="s">
        <v>113</v>
      </c>
      <c r="C3" s="39">
        <f>'Data Sheet'!B16</f>
        <v>42460</v>
      </c>
      <c r="D3" s="39">
        <f>'Data Sheet'!C16</f>
        <v>42825</v>
      </c>
      <c r="E3" s="39">
        <f>'Data Sheet'!D16</f>
        <v>43190</v>
      </c>
      <c r="F3" s="39">
        <f>'Data Sheet'!E16</f>
        <v>43555</v>
      </c>
      <c r="G3" s="39">
        <f>'Data Sheet'!F16</f>
        <v>43921</v>
      </c>
      <c r="H3" s="39">
        <f>'Data Sheet'!G16</f>
        <v>44286</v>
      </c>
      <c r="I3" s="39">
        <f>'Data Sheet'!H16</f>
        <v>44651</v>
      </c>
      <c r="J3" s="39">
        <f>'Data Sheet'!I16</f>
        <v>45016</v>
      </c>
      <c r="K3" s="39">
        <f>'Data Sheet'!J16</f>
        <v>45382</v>
      </c>
      <c r="L3" s="39">
        <f>'Data Sheet'!K16</f>
        <v>45747</v>
      </c>
      <c r="M3" s="40" t="s">
        <v>81</v>
      </c>
      <c r="N3" s="41">
        <v>46082</v>
      </c>
      <c r="O3" s="41">
        <f>N3+366</f>
        <v>46448</v>
      </c>
      <c r="P3" s="41">
        <f t="shared" ref="P3:R3" si="0">O3+366</f>
        <v>46814</v>
      </c>
      <c r="Q3" s="41">
        <f t="shared" si="0"/>
        <v>47180</v>
      </c>
      <c r="R3" s="41">
        <f t="shared" si="0"/>
        <v>47546</v>
      </c>
    </row>
    <row r="4" spans="1:18" x14ac:dyDescent="0.25">
      <c r="B4" s="2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8" x14ac:dyDescent="0.25">
      <c r="A5" t="s">
        <v>83</v>
      </c>
      <c r="B5" s="32" t="s">
        <v>82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B6" t="s">
        <v>6</v>
      </c>
      <c r="C6" s="27">
        <f>IFERROR('Data Sheet'!B17,0)</f>
        <v>108646</v>
      </c>
      <c r="D6" s="27">
        <f>IFERROR('Data Sheet'!C17,0)</f>
        <v>117966</v>
      </c>
      <c r="E6" s="27">
        <f>IFERROR('Data Sheet'!D17,0)</f>
        <v>123104</v>
      </c>
      <c r="F6" s="27">
        <f>IFERROR('Data Sheet'!E17,0)</f>
        <v>146463</v>
      </c>
      <c r="G6" s="27">
        <f>IFERROR('Data Sheet'!F17,0)</f>
        <v>156949</v>
      </c>
      <c r="H6" s="27">
        <f>IFERROR('Data Sheet'!G17,0)</f>
        <v>164177</v>
      </c>
      <c r="I6" s="27">
        <f>IFERROR('Data Sheet'!H17,0)</f>
        <v>191754</v>
      </c>
      <c r="J6" s="27">
        <f>IFERROR('Data Sheet'!I17,0)</f>
        <v>225458</v>
      </c>
      <c r="K6" s="27">
        <f>IFERROR('Data Sheet'!J17,0)</f>
        <v>240893</v>
      </c>
      <c r="L6" s="27">
        <f>IFERROR('Data Sheet'!K17,0)</f>
        <v>255324</v>
      </c>
      <c r="M6" s="43">
        <f>IFERROR(SUM('Data Sheet'!H42:K42),0)</f>
        <v>256148</v>
      </c>
      <c r="N6" s="42">
        <f>FORECAST(N3,$C$6:$L$6,$C$3:$L$3)</f>
        <v>266171.47154772002</v>
      </c>
      <c r="O6" s="42">
        <f t="shared" ref="O6:R6" si="1">FORECAST(O3,$C$6:$L$6,$C$3:$L$3)</f>
        <v>283391.81530193519</v>
      </c>
      <c r="P6" s="42">
        <f t="shared" si="1"/>
        <v>300612.15905615035</v>
      </c>
      <c r="Q6" s="42">
        <f t="shared" si="1"/>
        <v>317832.50281036552</v>
      </c>
      <c r="R6" s="42">
        <f t="shared" si="1"/>
        <v>335052.84656458022</v>
      </c>
    </row>
    <row r="7" spans="1:18" x14ac:dyDescent="0.25">
      <c r="B7" s="21" t="s">
        <v>135</v>
      </c>
      <c r="C7" s="21"/>
      <c r="D7" s="35">
        <f>D6/C6-1</f>
        <v>8.578318575925481E-2</v>
      </c>
      <c r="E7" s="35">
        <f t="shared" ref="E7:M7" si="2">E6/D6-1</f>
        <v>4.3554922604818413E-2</v>
      </c>
      <c r="F7" s="35">
        <f t="shared" si="2"/>
        <v>0.18975012997140639</v>
      </c>
      <c r="G7" s="35">
        <f t="shared" si="2"/>
        <v>7.1594873790650215E-2</v>
      </c>
      <c r="H7" s="35">
        <f t="shared" si="2"/>
        <v>4.6053176509566862E-2</v>
      </c>
      <c r="I7" s="35">
        <f t="shared" si="2"/>
        <v>0.1679711530847805</v>
      </c>
      <c r="J7" s="35">
        <f t="shared" si="2"/>
        <v>0.17576686796624852</v>
      </c>
      <c r="K7" s="35">
        <f t="shared" si="2"/>
        <v>6.8460644554639849E-2</v>
      </c>
      <c r="L7" s="35">
        <f t="shared" si="2"/>
        <v>5.9906265437351891E-2</v>
      </c>
      <c r="M7" s="44">
        <f t="shared" si="2"/>
        <v>3.2272720151651502E-3</v>
      </c>
      <c r="N7" s="35">
        <f>N6/L6-1</f>
        <v>4.2485123011232862E-2</v>
      </c>
      <c r="O7" s="35">
        <f>O6/N6-1</f>
        <v>6.4696429163062508E-2</v>
      </c>
      <c r="P7" s="35">
        <f>P6/O6-1</f>
        <v>6.0765141491006203E-2</v>
      </c>
      <c r="Q7" s="35">
        <f>Q6/P6-1</f>
        <v>5.7284255594593603E-2</v>
      </c>
      <c r="R7" s="35">
        <f>R6/Q6-1</f>
        <v>5.4180562409280153E-2</v>
      </c>
    </row>
    <row r="8" spans="1:18" x14ac:dyDescent="0.25">
      <c r="M8" s="45"/>
    </row>
    <row r="9" spans="1:18" x14ac:dyDescent="0.25">
      <c r="B9" t="s">
        <v>134</v>
      </c>
      <c r="C9" s="27">
        <f>IFERROR(SUM('Data Sheet'!B18,'Data Sheet'!B20:B22)-1*'Data Sheet'!B19,0)</f>
        <v>57919</v>
      </c>
      <c r="D9" s="27">
        <f>IFERROR(SUM('Data Sheet'!C18,'Data Sheet'!C20:C22)-1*'Data Sheet'!C19,0)</f>
        <v>64429</v>
      </c>
      <c r="E9" s="27">
        <f>IFERROR(SUM('Data Sheet'!D18,'Data Sheet'!D20:D22)-1*'Data Sheet'!D19,0)</f>
        <v>69096</v>
      </c>
      <c r="F9" s="27">
        <f>IFERROR(SUM('Data Sheet'!E18,'Data Sheet'!E20:E22)-1*'Data Sheet'!E19,0)</f>
        <v>80516</v>
      </c>
      <c r="G9" s="27">
        <f>IFERROR(SUM('Data Sheet'!F18,'Data Sheet'!F20:F22)-1*'Data Sheet'!F19,0)</f>
        <v>87857</v>
      </c>
      <c r="H9" s="27">
        <f>IFERROR(SUM('Data Sheet'!G18,'Data Sheet'!G20:G22)-1*'Data Sheet'!G19,0)</f>
        <v>93276</v>
      </c>
      <c r="I9" s="27">
        <f>IFERROR(SUM('Data Sheet'!H18,'Data Sheet'!H20:H22)-1*'Data Sheet'!H19,0)</f>
        <v>108717</v>
      </c>
      <c r="J9" s="27">
        <f>IFERROR(SUM('Data Sheet'!I18,'Data Sheet'!I20:I22)-1*'Data Sheet'!I19,0)</f>
        <v>129403</v>
      </c>
      <c r="K9" s="27">
        <f>IFERROR(SUM('Data Sheet'!J18,'Data Sheet'!J20:J22)-1*'Data Sheet'!J19,0)</f>
        <v>143833</v>
      </c>
      <c r="L9" s="27">
        <f>IFERROR(SUM('Data Sheet'!K18,'Data Sheet'!K20:K22)-1*'Data Sheet'!K19,0)</f>
        <v>157436</v>
      </c>
      <c r="M9" s="43">
        <f>IFERROR(SUM('Data Sheet'!H43:K43),0)</f>
        <v>188528</v>
      </c>
      <c r="N9" s="42">
        <f>FORECAST(N3,$C$9:$L$9,$C$3:$L$3)</f>
        <v>159762.04368746141</v>
      </c>
      <c r="O9" s="42">
        <f t="shared" ref="O9:R9" si="3">FORECAST(O3,$C$9:$L$9,$C$3:$L$3)</f>
        <v>170955.28510334599</v>
      </c>
      <c r="P9" s="42">
        <f t="shared" si="3"/>
        <v>182148.52651923057</v>
      </c>
      <c r="Q9" s="42">
        <f t="shared" si="3"/>
        <v>193341.76793511515</v>
      </c>
      <c r="R9" s="42">
        <f t="shared" si="3"/>
        <v>204535.00935099972</v>
      </c>
    </row>
    <row r="10" spans="1:18" x14ac:dyDescent="0.25">
      <c r="B10" s="21" t="s">
        <v>136</v>
      </c>
      <c r="C10" s="35">
        <f>C9/C6</f>
        <v>0.53309831931226181</v>
      </c>
      <c r="D10" s="35">
        <f t="shared" ref="D10:M10" si="4">D9/D6</f>
        <v>0.54616584439584293</v>
      </c>
      <c r="E10" s="35">
        <f t="shared" si="4"/>
        <v>0.56128151806602544</v>
      </c>
      <c r="F10" s="35">
        <f t="shared" si="4"/>
        <v>0.5497361108266251</v>
      </c>
      <c r="G10" s="35">
        <f t="shared" si="4"/>
        <v>0.55978056566145695</v>
      </c>
      <c r="H10" s="35">
        <f t="shared" si="4"/>
        <v>0.56814291892286983</v>
      </c>
      <c r="I10" s="35">
        <f t="shared" si="4"/>
        <v>0.56696079351669326</v>
      </c>
      <c r="J10" s="35">
        <f t="shared" si="4"/>
        <v>0.5739561248658287</v>
      </c>
      <c r="K10" s="35">
        <f t="shared" si="4"/>
        <v>0.59708252211562807</v>
      </c>
      <c r="L10" s="35">
        <f t="shared" si="4"/>
        <v>0.61661261769359721</v>
      </c>
      <c r="M10" s="44">
        <f t="shared" si="4"/>
        <v>0.73601199306650844</v>
      </c>
      <c r="N10" s="35">
        <f>N9/N6</f>
        <v>0.60022226558874014</v>
      </c>
      <c r="O10" s="35">
        <f t="shared" ref="O10:R10" si="5">O9/O6</f>
        <v>0.60324708009370165</v>
      </c>
      <c r="P10" s="35">
        <f t="shared" si="5"/>
        <v>0.60592534610420612</v>
      </c>
      <c r="Q10" s="35">
        <f t="shared" si="5"/>
        <v>0.60831339219724911</v>
      </c>
      <c r="R10" s="35">
        <f t="shared" si="5"/>
        <v>0.61045596671740665</v>
      </c>
    </row>
    <row r="11" spans="1:18" x14ac:dyDescent="0.25">
      <c r="M11" s="45"/>
    </row>
    <row r="12" spans="1:18" x14ac:dyDescent="0.25">
      <c r="B12" t="s">
        <v>84</v>
      </c>
      <c r="C12" s="27">
        <f>C6-C9</f>
        <v>50727</v>
      </c>
      <c r="D12" s="27">
        <f t="shared" ref="D12:M12" si="6">D6-D9</f>
        <v>53537</v>
      </c>
      <c r="E12" s="27">
        <f t="shared" si="6"/>
        <v>54008</v>
      </c>
      <c r="F12" s="27">
        <f t="shared" si="6"/>
        <v>65947</v>
      </c>
      <c r="G12" s="27">
        <f t="shared" si="6"/>
        <v>69092</v>
      </c>
      <c r="H12" s="27">
        <f t="shared" si="6"/>
        <v>70901</v>
      </c>
      <c r="I12" s="27">
        <f t="shared" si="6"/>
        <v>83037</v>
      </c>
      <c r="J12" s="27">
        <f t="shared" si="6"/>
        <v>96055</v>
      </c>
      <c r="K12" s="27">
        <f t="shared" si="6"/>
        <v>97060</v>
      </c>
      <c r="L12" s="27">
        <f t="shared" si="6"/>
        <v>97888</v>
      </c>
      <c r="M12" s="43">
        <f t="shared" si="6"/>
        <v>67620</v>
      </c>
      <c r="N12" s="42">
        <f>N6-N9</f>
        <v>106409.42786025861</v>
      </c>
      <c r="O12" s="42">
        <f t="shared" ref="O12:R12" si="7">O6-O9</f>
        <v>112436.5301985892</v>
      </c>
      <c r="P12" s="42">
        <f t="shared" si="7"/>
        <v>118463.63253691979</v>
      </c>
      <c r="Q12" s="42">
        <f t="shared" si="7"/>
        <v>124490.73487525037</v>
      </c>
      <c r="R12" s="42">
        <f t="shared" si="7"/>
        <v>130517.8372135805</v>
      </c>
    </row>
    <row r="13" spans="1:18" x14ac:dyDescent="0.25">
      <c r="B13" s="21" t="s">
        <v>138</v>
      </c>
      <c r="C13" s="35">
        <f>C12/C6</f>
        <v>0.46690168068773819</v>
      </c>
      <c r="D13" s="35">
        <f t="shared" ref="D13:M13" si="8">D12/D6</f>
        <v>0.45383415560415713</v>
      </c>
      <c r="E13" s="35">
        <f t="shared" si="8"/>
        <v>0.4387184819339745</v>
      </c>
      <c r="F13" s="35">
        <f t="shared" si="8"/>
        <v>0.45026388917337484</v>
      </c>
      <c r="G13" s="35">
        <f t="shared" si="8"/>
        <v>0.4402194343385431</v>
      </c>
      <c r="H13" s="35">
        <f t="shared" si="8"/>
        <v>0.43185708107713017</v>
      </c>
      <c r="I13" s="35">
        <f t="shared" si="8"/>
        <v>0.43303920648330674</v>
      </c>
      <c r="J13" s="35">
        <f t="shared" si="8"/>
        <v>0.42604387513417136</v>
      </c>
      <c r="K13" s="35">
        <f t="shared" si="8"/>
        <v>0.40291747788437188</v>
      </c>
      <c r="L13" s="35">
        <f>L12/L6</f>
        <v>0.38338738230640285</v>
      </c>
      <c r="M13" s="44">
        <f t="shared" si="8"/>
        <v>0.26398800693349156</v>
      </c>
      <c r="N13" s="35">
        <f>N12/N6</f>
        <v>0.3997777344112598</v>
      </c>
      <c r="O13" s="35">
        <f t="shared" ref="O13:R13" si="9">O12/O6</f>
        <v>0.39675291990629841</v>
      </c>
      <c r="P13" s="35">
        <f t="shared" si="9"/>
        <v>0.39407465389579388</v>
      </c>
      <c r="Q13" s="35">
        <f t="shared" si="9"/>
        <v>0.39168660780275094</v>
      </c>
      <c r="R13" s="35">
        <f t="shared" si="9"/>
        <v>0.3895440332825934</v>
      </c>
    </row>
    <row r="14" spans="1:18" x14ac:dyDescent="0.25">
      <c r="M14" s="45"/>
    </row>
    <row r="15" spans="1:18" x14ac:dyDescent="0.25">
      <c r="B15" t="s">
        <v>85</v>
      </c>
      <c r="C15" s="27">
        <f>IFERROR(SUM('Data Sheet'!B23:B24),0)</f>
        <v>20050</v>
      </c>
      <c r="D15" s="27">
        <f>IFERROR(SUM('Data Sheet'!C23:C24),0)</f>
        <v>21226</v>
      </c>
      <c r="E15" s="27">
        <f>IFERROR(SUM('Data Sheet'!D23:D24),0)</f>
        <v>21492</v>
      </c>
      <c r="F15" s="27">
        <f>IFERROR(SUM('Data Sheet'!E23:E24),0)</f>
        <v>26441</v>
      </c>
      <c r="G15" s="27">
        <f>IFERROR(SUM('Data Sheet'!F23:F24),0)</f>
        <v>26983</v>
      </c>
      <c r="H15" s="27">
        <f>IFERROR(SUM('Data Sheet'!G23:G24),0)</f>
        <v>24355</v>
      </c>
      <c r="I15" s="27">
        <f>IFERROR(SUM('Data Sheet'!H23:H24),0)</f>
        <v>29980</v>
      </c>
      <c r="J15" s="27">
        <f>IFERROR(SUM('Data Sheet'!I23:I24),0)</f>
        <v>36796</v>
      </c>
      <c r="K15" s="27">
        <f>IFERROR(SUM('Data Sheet'!J23:J24),0)</f>
        <v>32764</v>
      </c>
      <c r="L15" s="27">
        <f>IFERROR(SUM('Data Sheet'!K23:K24),0)</f>
        <v>30481</v>
      </c>
      <c r="M15" s="43">
        <f>IFERROR(SUM('Data Sheet'!L23:L24),0)</f>
        <v>0</v>
      </c>
      <c r="N15" s="42">
        <f>FORECAST(N3,$C$15:$L$15,$C$3:$L$3)</f>
        <v>35565.098848937661</v>
      </c>
      <c r="O15" s="42">
        <f t="shared" ref="O15:R15" si="10">FORECAST(O3,$C$15:$L$15,$C$3:$L$3)</f>
        <v>37138.878289333457</v>
      </c>
      <c r="P15" s="42">
        <f t="shared" si="10"/>
        <v>38712.657729729282</v>
      </c>
      <c r="Q15" s="42">
        <f t="shared" si="10"/>
        <v>40286.437170125078</v>
      </c>
      <c r="R15" s="42">
        <f t="shared" si="10"/>
        <v>41860.216610520874</v>
      </c>
    </row>
    <row r="16" spans="1:18" x14ac:dyDescent="0.25">
      <c r="B16" s="21" t="s">
        <v>139</v>
      </c>
      <c r="C16" s="35">
        <f>C15/C6</f>
        <v>0.18454429983616516</v>
      </c>
      <c r="D16" s="35">
        <f t="shared" ref="D16:M16" si="11">D15/D6</f>
        <v>0.17993320109184002</v>
      </c>
      <c r="E16" s="35">
        <f t="shared" si="11"/>
        <v>0.17458409149987003</v>
      </c>
      <c r="F16" s="35">
        <f t="shared" si="11"/>
        <v>0.18053023630541501</v>
      </c>
      <c r="G16" s="35">
        <f t="shared" si="11"/>
        <v>0.17192208934112355</v>
      </c>
      <c r="H16" s="35">
        <f t="shared" si="11"/>
        <v>0.14834599243499394</v>
      </c>
      <c r="I16" s="35">
        <f t="shared" si="11"/>
        <v>0.15634615184037881</v>
      </c>
      <c r="J16" s="35">
        <f t="shared" si="11"/>
        <v>0.16320556378571618</v>
      </c>
      <c r="K16" s="35">
        <f t="shared" si="11"/>
        <v>0.13601059391514075</v>
      </c>
      <c r="L16" s="35">
        <f t="shared" si="11"/>
        <v>0.11938164841534678</v>
      </c>
      <c r="M16" s="44">
        <f t="shared" si="11"/>
        <v>0</v>
      </c>
      <c r="N16" s="35">
        <f>N15/N6</f>
        <v>0.13361724546261691</v>
      </c>
      <c r="O16" s="35">
        <f t="shared" ref="O16:R16" si="12">O15/O6</f>
        <v>0.13105134405439495</v>
      </c>
      <c r="P16" s="35">
        <f t="shared" si="12"/>
        <v>0.12877941415037131</v>
      </c>
      <c r="Q16" s="35">
        <f t="shared" si="12"/>
        <v>0.12675367312625652</v>
      </c>
      <c r="R16" s="35">
        <f t="shared" si="12"/>
        <v>0.12493616168234067</v>
      </c>
    </row>
    <row r="17" spans="2:18" x14ac:dyDescent="0.25">
      <c r="M17" s="45"/>
    </row>
    <row r="18" spans="2:18" x14ac:dyDescent="0.25">
      <c r="B18" t="s">
        <v>137</v>
      </c>
      <c r="C18" s="27">
        <f>C12-C15</f>
        <v>30677</v>
      </c>
      <c r="D18" s="27">
        <f t="shared" ref="D18:M18" si="13">D12-D15</f>
        <v>32311</v>
      </c>
      <c r="E18" s="27">
        <f t="shared" si="13"/>
        <v>32516</v>
      </c>
      <c r="F18" s="27">
        <f t="shared" si="13"/>
        <v>39506</v>
      </c>
      <c r="G18" s="27">
        <f t="shared" si="13"/>
        <v>42109</v>
      </c>
      <c r="H18" s="27">
        <f t="shared" si="13"/>
        <v>46546</v>
      </c>
      <c r="I18" s="27">
        <f t="shared" si="13"/>
        <v>53057</v>
      </c>
      <c r="J18" s="27">
        <f t="shared" si="13"/>
        <v>59259</v>
      </c>
      <c r="K18" s="27">
        <f t="shared" si="13"/>
        <v>64296</v>
      </c>
      <c r="L18" s="27">
        <f t="shared" si="13"/>
        <v>67407</v>
      </c>
      <c r="M18" s="43">
        <f t="shared" si="13"/>
        <v>67620</v>
      </c>
      <c r="N18" s="42">
        <f>N12-N15</f>
        <v>70844.329011320951</v>
      </c>
      <c r="O18" s="42">
        <f t="shared" ref="O18:R18" si="14">O12-O15</f>
        <v>75297.651909255743</v>
      </c>
      <c r="P18" s="42">
        <f t="shared" si="14"/>
        <v>79750.974807190505</v>
      </c>
      <c r="Q18" s="42">
        <f t="shared" si="14"/>
        <v>84204.297705125296</v>
      </c>
      <c r="R18" s="42">
        <f t="shared" si="14"/>
        <v>88657.620603059622</v>
      </c>
    </row>
    <row r="19" spans="2:18" x14ac:dyDescent="0.25">
      <c r="B19" s="35" t="s">
        <v>140</v>
      </c>
      <c r="C19" s="35">
        <f>C18/C6</f>
        <v>0.28235738085157303</v>
      </c>
      <c r="D19" s="35">
        <f t="shared" ref="D19:M19" si="15">D18/D6</f>
        <v>0.27390095451231711</v>
      </c>
      <c r="E19" s="35">
        <f t="shared" si="15"/>
        <v>0.26413439043410447</v>
      </c>
      <c r="F19" s="35">
        <f t="shared" si="15"/>
        <v>0.26973365286795981</v>
      </c>
      <c r="G19" s="35">
        <f t="shared" si="15"/>
        <v>0.26829734499741953</v>
      </c>
      <c r="H19" s="35">
        <f t="shared" si="15"/>
        <v>0.28351108864213626</v>
      </c>
      <c r="I19" s="35">
        <f t="shared" si="15"/>
        <v>0.27669305464292793</v>
      </c>
      <c r="J19" s="35">
        <f t="shared" si="15"/>
        <v>0.26283831134845514</v>
      </c>
      <c r="K19" s="35">
        <f t="shared" si="15"/>
        <v>0.26690688396923118</v>
      </c>
      <c r="L19" s="35">
        <f t="shared" si="15"/>
        <v>0.26400573389105608</v>
      </c>
      <c r="M19" s="44">
        <f t="shared" si="15"/>
        <v>0.26398800693349156</v>
      </c>
      <c r="N19" s="35">
        <f>N18/N6</f>
        <v>0.26616048894864291</v>
      </c>
      <c r="O19" s="35">
        <f t="shared" ref="O19:R19" si="16">O18/O6</f>
        <v>0.26570157585190346</v>
      </c>
      <c r="P19" s="35">
        <f t="shared" si="16"/>
        <v>0.26529523974542257</v>
      </c>
      <c r="Q19" s="35">
        <f t="shared" si="16"/>
        <v>0.26493293467649442</v>
      </c>
      <c r="R19" s="35">
        <f t="shared" si="16"/>
        <v>0.26460787160025273</v>
      </c>
    </row>
    <row r="20" spans="2:18" x14ac:dyDescent="0.25">
      <c r="M20" s="45"/>
    </row>
    <row r="21" spans="2:18" x14ac:dyDescent="0.25">
      <c r="B21" t="s">
        <v>10</v>
      </c>
      <c r="C21" s="27">
        <f>IFERROR('Data Sheet'!B26,0)</f>
        <v>1888</v>
      </c>
      <c r="D21" s="27">
        <f>IFERROR('Data Sheet'!C26,0)</f>
        <v>1987</v>
      </c>
      <c r="E21" s="27">
        <f>IFERROR('Data Sheet'!D26,0)</f>
        <v>2014</v>
      </c>
      <c r="F21" s="27">
        <f>IFERROR('Data Sheet'!E26,0)</f>
        <v>2056</v>
      </c>
      <c r="G21" s="27">
        <f>IFERROR('Data Sheet'!F26,0)</f>
        <v>3529</v>
      </c>
      <c r="H21" s="27">
        <f>IFERROR('Data Sheet'!G26,0)</f>
        <v>4065</v>
      </c>
      <c r="I21" s="27">
        <f>IFERROR('Data Sheet'!H26,0)</f>
        <v>4604</v>
      </c>
      <c r="J21" s="27">
        <f>IFERROR('Data Sheet'!I26,0)</f>
        <v>5022</v>
      </c>
      <c r="K21" s="27">
        <f>IFERROR('Data Sheet'!J26,0)</f>
        <v>4985</v>
      </c>
      <c r="L21" s="27">
        <f>IFERROR('Data Sheet'!K26,0)</f>
        <v>5242</v>
      </c>
      <c r="M21" s="43">
        <f>IFERROR(SUM('Data Sheet'!H45:K45),0)</f>
        <v>5383</v>
      </c>
      <c r="N21" s="42">
        <f>FORECAST(N3,$C$21:$L$21,C3:L3)</f>
        <v>5981.7978393333469</v>
      </c>
      <c r="O21" s="42">
        <f t="shared" ref="O21:R21" si="17">FORECAST(O3,$C$21:$L$21,D3:M3)</f>
        <v>6179.5581969208142</v>
      </c>
      <c r="P21" s="42">
        <f t="shared" si="17"/>
        <v>6331.9850858592763</v>
      </c>
      <c r="Q21" s="42">
        <f t="shared" si="17"/>
        <v>6333.0644819688168</v>
      </c>
      <c r="R21" s="42">
        <f t="shared" si="17"/>
        <v>6473.3971214042103</v>
      </c>
    </row>
    <row r="22" spans="2:18" x14ac:dyDescent="0.25">
      <c r="B22" s="35" t="s">
        <v>86</v>
      </c>
      <c r="C22" s="35">
        <f>C21/C6</f>
        <v>1.7377538059385526E-2</v>
      </c>
      <c r="D22" s="35">
        <f t="shared" ref="D22:M22" si="18">D21/D6</f>
        <v>1.6843836359629046E-2</v>
      </c>
      <c r="E22" s="35">
        <f t="shared" si="18"/>
        <v>1.6360150766831297E-2</v>
      </c>
      <c r="F22" s="35">
        <f t="shared" si="18"/>
        <v>1.4037675044209118E-2</v>
      </c>
      <c r="G22" s="35">
        <f t="shared" si="18"/>
        <v>2.248501105454638E-2</v>
      </c>
      <c r="H22" s="35">
        <f t="shared" si="18"/>
        <v>2.4759862830969016E-2</v>
      </c>
      <c r="I22" s="35">
        <f t="shared" si="18"/>
        <v>2.4009929388695932E-2</v>
      </c>
      <c r="J22" s="35">
        <f t="shared" si="18"/>
        <v>2.2274658694745805E-2</v>
      </c>
      <c r="K22" s="35">
        <f t="shared" si="18"/>
        <v>2.0693835022188273E-2</v>
      </c>
      <c r="L22" s="35">
        <f t="shared" si="18"/>
        <v>2.053077658191161E-2</v>
      </c>
      <c r="M22" s="44">
        <f t="shared" si="18"/>
        <v>2.1015194340771742E-2</v>
      </c>
      <c r="N22" s="35">
        <f>N21/N6</f>
        <v>2.247347472871792E-2</v>
      </c>
      <c r="O22" s="35">
        <f t="shared" ref="O22:R22" si="19">O21/O6</f>
        <v>2.1805704551971287E-2</v>
      </c>
      <c r="P22" s="35">
        <f t="shared" si="19"/>
        <v>2.1063635967820401E-2</v>
      </c>
      <c r="Q22" s="35">
        <f t="shared" si="19"/>
        <v>1.9925792440892789E-2</v>
      </c>
      <c r="R22" s="35">
        <f t="shared" si="19"/>
        <v>1.9320525665662378E-2</v>
      </c>
    </row>
    <row r="23" spans="2:18" x14ac:dyDescent="0.25">
      <c r="M23" s="45"/>
    </row>
    <row r="24" spans="2:18" x14ac:dyDescent="0.25">
      <c r="B24" t="s">
        <v>141</v>
      </c>
      <c r="C24" s="27">
        <f>C18-C21</f>
        <v>28789</v>
      </c>
      <c r="D24" s="27">
        <f t="shared" ref="D24:M24" si="20">D18-D21</f>
        <v>30324</v>
      </c>
      <c r="E24" s="27">
        <f t="shared" si="20"/>
        <v>30502</v>
      </c>
      <c r="F24" s="27">
        <f t="shared" si="20"/>
        <v>37450</v>
      </c>
      <c r="G24" s="27">
        <f t="shared" si="20"/>
        <v>38580</v>
      </c>
      <c r="H24" s="27">
        <f t="shared" si="20"/>
        <v>42481</v>
      </c>
      <c r="I24" s="27">
        <f t="shared" si="20"/>
        <v>48453</v>
      </c>
      <c r="J24" s="27">
        <f t="shared" si="20"/>
        <v>54237</v>
      </c>
      <c r="K24" s="27">
        <f t="shared" si="20"/>
        <v>59311</v>
      </c>
      <c r="L24" s="27">
        <f t="shared" si="20"/>
        <v>62165</v>
      </c>
      <c r="M24" s="43">
        <f t="shared" si="20"/>
        <v>62237</v>
      </c>
      <c r="N24" s="42">
        <f>N18-N21</f>
        <v>64862.531171987604</v>
      </c>
      <c r="O24" s="42">
        <f t="shared" ref="O24:R24" si="21">O18-O21</f>
        <v>69118.093712334929</v>
      </c>
      <c r="P24" s="42">
        <f t="shared" si="21"/>
        <v>73418.989721331222</v>
      </c>
      <c r="Q24" s="42">
        <f t="shared" si="21"/>
        <v>77871.23322315648</v>
      </c>
      <c r="R24" s="42">
        <f t="shared" si="21"/>
        <v>82184.223481655412</v>
      </c>
    </row>
    <row r="25" spans="2:18" x14ac:dyDescent="0.25">
      <c r="B25" s="35" t="s">
        <v>112</v>
      </c>
      <c r="C25" s="35">
        <f>C24/C6</f>
        <v>0.26497984279218745</v>
      </c>
      <c r="D25" s="35">
        <f t="shared" ref="D25:M25" si="22">D24/D6</f>
        <v>0.25705711815268806</v>
      </c>
      <c r="E25" s="35">
        <f t="shared" si="22"/>
        <v>0.24777423966727319</v>
      </c>
      <c r="F25" s="35">
        <f t="shared" si="22"/>
        <v>0.2556959778237507</v>
      </c>
      <c r="G25" s="35">
        <f t="shared" si="22"/>
        <v>0.24581233394287316</v>
      </c>
      <c r="H25" s="35">
        <f t="shared" si="22"/>
        <v>0.25875122581116722</v>
      </c>
      <c r="I25" s="35">
        <f t="shared" si="22"/>
        <v>0.25268312525423198</v>
      </c>
      <c r="J25" s="35">
        <f t="shared" si="22"/>
        <v>0.24056365265370933</v>
      </c>
      <c r="K25" s="35">
        <f t="shared" si="22"/>
        <v>0.24621304894704288</v>
      </c>
      <c r="L25" s="35">
        <f t="shared" si="22"/>
        <v>0.24347495730914445</v>
      </c>
      <c r="M25" s="44">
        <f t="shared" si="22"/>
        <v>0.24297281259271983</v>
      </c>
      <c r="N25" s="35">
        <f>N24/N6</f>
        <v>0.24368701421992497</v>
      </c>
      <c r="O25" s="35">
        <f t="shared" ref="O25:R25" si="23">O24/O6</f>
        <v>0.24389587129993215</v>
      </c>
      <c r="P25" s="35">
        <f t="shared" si="23"/>
        <v>0.24423160377760211</v>
      </c>
      <c r="Q25" s="35">
        <f t="shared" si="23"/>
        <v>0.24500714223560163</v>
      </c>
      <c r="R25" s="35">
        <f t="shared" si="23"/>
        <v>0.24528734593459037</v>
      </c>
    </row>
    <row r="26" spans="2:18" x14ac:dyDescent="0.25">
      <c r="M26" s="45"/>
    </row>
    <row r="27" spans="2:18" x14ac:dyDescent="0.25">
      <c r="B27" t="s">
        <v>9</v>
      </c>
      <c r="C27" s="27">
        <f>IFERROR('Data Sheet'!B25,0)</f>
        <v>3084</v>
      </c>
      <c r="D27" s="27">
        <f>IFERROR('Data Sheet'!C25,0)</f>
        <v>4221</v>
      </c>
      <c r="E27" s="27">
        <f>IFERROR('Data Sheet'!D25,0)</f>
        <v>3642</v>
      </c>
      <c r="F27" s="27">
        <f>IFERROR('Data Sheet'!E25,0)</f>
        <v>4311</v>
      </c>
      <c r="G27" s="27">
        <f>IFERROR('Data Sheet'!F25,0)</f>
        <v>4592</v>
      </c>
      <c r="H27" s="27">
        <f>IFERROR('Data Sheet'!G25,0)</f>
        <v>1916</v>
      </c>
      <c r="I27" s="27">
        <f>IFERROR('Data Sheet'!H25,0)</f>
        <v>4018</v>
      </c>
      <c r="J27" s="27">
        <f>IFERROR('Data Sheet'!I25,0)</f>
        <v>3449</v>
      </c>
      <c r="K27" s="27">
        <f>IFERROR('Data Sheet'!J25,0)</f>
        <v>3464</v>
      </c>
      <c r="L27" s="27">
        <f>IFERROR('Data Sheet'!K25,0)</f>
        <v>3962</v>
      </c>
      <c r="M27" s="43">
        <f>IFERROR(SUM('Data Sheet'!H44:K44),0)</f>
        <v>4660</v>
      </c>
    </row>
    <row r="28" spans="2:18" x14ac:dyDescent="0.25">
      <c r="M28" s="45"/>
    </row>
    <row r="29" spans="2:18" x14ac:dyDescent="0.25">
      <c r="B29" t="s">
        <v>11</v>
      </c>
      <c r="C29" s="27">
        <f>IFERROR('Data Sheet'!B27,0)</f>
        <v>33</v>
      </c>
      <c r="D29" s="27">
        <f>IFERROR('Data Sheet'!C27,0)</f>
        <v>32</v>
      </c>
      <c r="E29" s="27">
        <f>IFERROR('Data Sheet'!D27,0)</f>
        <v>52</v>
      </c>
      <c r="F29" s="27">
        <f>IFERROR('Data Sheet'!E27,0)</f>
        <v>198</v>
      </c>
      <c r="G29" s="27">
        <f>IFERROR('Data Sheet'!F27,0)</f>
        <v>924</v>
      </c>
      <c r="H29" s="27">
        <f>IFERROR('Data Sheet'!G27,0)</f>
        <v>637</v>
      </c>
      <c r="I29" s="27">
        <f>IFERROR('Data Sheet'!H27,0)</f>
        <v>784</v>
      </c>
      <c r="J29" s="27">
        <f>IFERROR('Data Sheet'!I27,0)</f>
        <v>779</v>
      </c>
      <c r="K29" s="27">
        <f>IFERROR('Data Sheet'!J27,0)</f>
        <v>778</v>
      </c>
      <c r="L29" s="27">
        <f>IFERROR('Data Sheet'!K27,0)</f>
        <v>796</v>
      </c>
      <c r="M29" s="43">
        <f>IFERROR(SUM('Data Sheet'!H46:K46),0)</f>
        <v>818</v>
      </c>
    </row>
    <row r="30" spans="2:18" x14ac:dyDescent="0.25">
      <c r="M30" s="45"/>
    </row>
    <row r="31" spans="2:18" x14ac:dyDescent="0.25">
      <c r="B31" t="s">
        <v>142</v>
      </c>
      <c r="C31" s="27">
        <f>C24+C27-C29</f>
        <v>31840</v>
      </c>
      <c r="D31" s="27">
        <f t="shared" ref="D31:M31" si="24">D24+D27-D29</f>
        <v>34513</v>
      </c>
      <c r="E31" s="27">
        <f t="shared" si="24"/>
        <v>34092</v>
      </c>
      <c r="F31" s="27">
        <f t="shared" si="24"/>
        <v>41563</v>
      </c>
      <c r="G31" s="27">
        <f t="shared" si="24"/>
        <v>42248</v>
      </c>
      <c r="H31" s="27">
        <f t="shared" si="24"/>
        <v>43760</v>
      </c>
      <c r="I31" s="27">
        <f t="shared" si="24"/>
        <v>51687</v>
      </c>
      <c r="J31" s="27">
        <f t="shared" si="24"/>
        <v>56907</v>
      </c>
      <c r="K31" s="27">
        <f t="shared" si="24"/>
        <v>61997</v>
      </c>
      <c r="L31" s="27">
        <f t="shared" si="24"/>
        <v>65331</v>
      </c>
      <c r="M31" s="43">
        <f t="shared" si="24"/>
        <v>66079</v>
      </c>
    </row>
    <row r="32" spans="2:18" x14ac:dyDescent="0.25">
      <c r="M32" s="45"/>
    </row>
    <row r="33" spans="2:13" x14ac:dyDescent="0.25">
      <c r="B33" t="s">
        <v>87</v>
      </c>
      <c r="C33" s="27">
        <f>IFERROR('Data Sheet'!B29,0)</f>
        <v>7502</v>
      </c>
      <c r="D33" s="27">
        <f>IFERROR('Data Sheet'!C29,0)</f>
        <v>8156</v>
      </c>
      <c r="E33" s="27">
        <f>IFERROR('Data Sheet'!D29,0)</f>
        <v>8212</v>
      </c>
      <c r="F33" s="27">
        <f>IFERROR('Data Sheet'!E29,0)</f>
        <v>10001</v>
      </c>
      <c r="G33" s="27">
        <f>IFERROR('Data Sheet'!F29,0)</f>
        <v>9801</v>
      </c>
      <c r="H33" s="27">
        <f>IFERROR('Data Sheet'!G29,0)</f>
        <v>11198</v>
      </c>
      <c r="I33" s="27">
        <f>IFERROR('Data Sheet'!H29,0)</f>
        <v>13238</v>
      </c>
      <c r="J33" s="27">
        <f>IFERROR('Data Sheet'!I29,0)</f>
        <v>14604</v>
      </c>
      <c r="K33" s="27">
        <f>IFERROR('Data Sheet'!J29,0)</f>
        <v>15898</v>
      </c>
      <c r="L33" s="27">
        <f>IFERROR('Data Sheet'!K29,0)</f>
        <v>16534</v>
      </c>
      <c r="M33" s="43">
        <f>IFERROR(SUM('Data Sheet'!H48:K48),0)</f>
        <v>16568</v>
      </c>
    </row>
    <row r="34" spans="2:13" x14ac:dyDescent="0.25">
      <c r="B34" t="s">
        <v>143</v>
      </c>
      <c r="C34" s="35">
        <f>C33/C31</f>
        <v>0.23561557788944723</v>
      </c>
      <c r="D34" s="35">
        <f t="shared" ref="D34:M34" si="25">D33/D31</f>
        <v>0.23631675021006576</v>
      </c>
      <c r="E34" s="35">
        <f t="shared" si="25"/>
        <v>0.24087762524932535</v>
      </c>
      <c r="F34" s="35">
        <f t="shared" si="25"/>
        <v>0.24062266920097203</v>
      </c>
      <c r="G34" s="35">
        <f t="shared" si="25"/>
        <v>0.23198731300889983</v>
      </c>
      <c r="H34" s="35">
        <f t="shared" si="25"/>
        <v>0.25589579524680073</v>
      </c>
      <c r="I34" s="35">
        <f t="shared" si="25"/>
        <v>0.25611855979259773</v>
      </c>
      <c r="J34" s="35">
        <f t="shared" si="25"/>
        <v>0.25662923717644576</v>
      </c>
      <c r="K34" s="35">
        <f t="shared" si="25"/>
        <v>0.25643176282723357</v>
      </c>
      <c r="L34" s="35">
        <f t="shared" si="25"/>
        <v>0.25308046715954141</v>
      </c>
      <c r="M34" s="44">
        <f t="shared" si="25"/>
        <v>0.25073018659483348</v>
      </c>
    </row>
    <row r="35" spans="2:13" x14ac:dyDescent="0.25">
      <c r="M35" s="45"/>
    </row>
    <row r="36" spans="2:13" x14ac:dyDescent="0.25">
      <c r="B36" t="s">
        <v>144</v>
      </c>
      <c r="C36" s="27">
        <f>C31-C33</f>
        <v>24338</v>
      </c>
      <c r="D36" s="27">
        <f t="shared" ref="D36:M36" si="26">D31-D33</f>
        <v>26357</v>
      </c>
      <c r="E36" s="27">
        <f t="shared" si="26"/>
        <v>25880</v>
      </c>
      <c r="F36" s="27">
        <f t="shared" si="26"/>
        <v>31562</v>
      </c>
      <c r="G36" s="27">
        <f t="shared" si="26"/>
        <v>32447</v>
      </c>
      <c r="H36" s="27">
        <f t="shared" si="26"/>
        <v>32562</v>
      </c>
      <c r="I36" s="27">
        <f t="shared" si="26"/>
        <v>38449</v>
      </c>
      <c r="J36" s="27">
        <f t="shared" si="26"/>
        <v>42303</v>
      </c>
      <c r="K36" s="27">
        <f t="shared" si="26"/>
        <v>46099</v>
      </c>
      <c r="L36" s="27">
        <f t="shared" si="26"/>
        <v>48797</v>
      </c>
      <c r="M36" s="43">
        <f t="shared" si="26"/>
        <v>49511</v>
      </c>
    </row>
    <row r="37" spans="2:13" x14ac:dyDescent="0.25">
      <c r="B37" t="s">
        <v>151</v>
      </c>
      <c r="C37" s="35">
        <f>C36/C6</f>
        <v>0.22401192864900688</v>
      </c>
      <c r="D37" s="35">
        <f t="shared" ref="D37:M37" si="27">D36/D6</f>
        <v>0.22342878456504417</v>
      </c>
      <c r="E37" s="35">
        <f t="shared" si="27"/>
        <v>0.21022874967507149</v>
      </c>
      <c r="F37" s="35">
        <f t="shared" si="27"/>
        <v>0.21549469831971216</v>
      </c>
      <c r="G37" s="35">
        <f t="shared" si="27"/>
        <v>0.20673594607165385</v>
      </c>
      <c r="H37" s="35">
        <f t="shared" si="27"/>
        <v>0.19833472410873632</v>
      </c>
      <c r="I37" s="35">
        <f t="shared" si="27"/>
        <v>0.20051211448001086</v>
      </c>
      <c r="J37" s="35">
        <f t="shared" si="27"/>
        <v>0.18763139919630265</v>
      </c>
      <c r="K37" s="35">
        <f t="shared" si="27"/>
        <v>0.19136712150207769</v>
      </c>
      <c r="L37" s="35">
        <f t="shared" si="27"/>
        <v>0.19111795209224358</v>
      </c>
      <c r="M37" s="44">
        <f t="shared" si="27"/>
        <v>0.19329059762324907</v>
      </c>
    </row>
    <row r="38" spans="2:13" x14ac:dyDescent="0.25">
      <c r="M38" s="45"/>
    </row>
    <row r="39" spans="2:13" x14ac:dyDescent="0.25">
      <c r="B39" t="s">
        <v>145</v>
      </c>
      <c r="C39">
        <f>IFERROR('Data Sheet'!B93,0)</f>
        <v>394.09</v>
      </c>
      <c r="D39">
        <f>IFERROR('Data Sheet'!C93,0)</f>
        <v>394.09</v>
      </c>
      <c r="E39">
        <f>IFERROR('Data Sheet'!D93,0)</f>
        <v>382.86</v>
      </c>
      <c r="F39">
        <f>IFERROR('Data Sheet'!E93,0)</f>
        <v>375.24</v>
      </c>
      <c r="G39">
        <f>IFERROR('Data Sheet'!F93,0)</f>
        <v>375.24</v>
      </c>
      <c r="H39">
        <f>IFERROR('Data Sheet'!G93,0)</f>
        <v>369.91</v>
      </c>
      <c r="I39">
        <f>IFERROR('Data Sheet'!H93,0)</f>
        <v>365.91</v>
      </c>
      <c r="J39">
        <f>IFERROR('Data Sheet'!I93,0)</f>
        <v>365.91</v>
      </c>
      <c r="K39">
        <f>IFERROR('Data Sheet'!J93,0)</f>
        <v>361.81</v>
      </c>
      <c r="L39">
        <f>IFERROR('Data Sheet'!K93,0)</f>
        <v>361.81</v>
      </c>
      <c r="M39" s="45">
        <f>IFERROR('Data Sheet'!L93,0)</f>
        <v>0</v>
      </c>
    </row>
    <row r="40" spans="2:13" x14ac:dyDescent="0.25">
      <c r="M40" s="45"/>
    </row>
    <row r="41" spans="2:13" x14ac:dyDescent="0.25">
      <c r="B41" t="s">
        <v>146</v>
      </c>
      <c r="C41" s="27">
        <f>IFERROR(C36/C39,0)</f>
        <v>61.757466568550335</v>
      </c>
      <c r="D41" s="27">
        <f t="shared" ref="D41:M41" si="28">IFERROR(D36/D39,0)</f>
        <v>66.880661777766505</v>
      </c>
      <c r="E41" s="27">
        <f t="shared" si="28"/>
        <v>67.596510473802425</v>
      </c>
      <c r="F41" s="27">
        <f t="shared" si="28"/>
        <v>84.11150197207121</v>
      </c>
      <c r="G41" s="27">
        <f t="shared" si="28"/>
        <v>86.46999253810894</v>
      </c>
      <c r="H41" s="27">
        <f t="shared" si="28"/>
        <v>88.026817333946084</v>
      </c>
      <c r="I41" s="27">
        <f t="shared" si="28"/>
        <v>105.07775135962395</v>
      </c>
      <c r="J41" s="27">
        <f t="shared" si="28"/>
        <v>115.61039599901615</v>
      </c>
      <c r="K41" s="27">
        <f t="shared" si="28"/>
        <v>127.41217766230895</v>
      </c>
      <c r="L41" s="27">
        <f t="shared" si="28"/>
        <v>134.86913020646196</v>
      </c>
      <c r="M41" s="43">
        <f t="shared" si="28"/>
        <v>0</v>
      </c>
    </row>
    <row r="42" spans="2:13" x14ac:dyDescent="0.25">
      <c r="B42" t="s">
        <v>150</v>
      </c>
      <c r="C42" s="27"/>
      <c r="D42" s="35">
        <f>IFERROR(D41/C41-1,0)</f>
        <v>8.2956693236913459E-2</v>
      </c>
      <c r="E42" s="35">
        <f t="shared" ref="E42:M42" si="29">IFERROR(E41/D41-1,0)</f>
        <v>1.0703373396850679E-2</v>
      </c>
      <c r="F42" s="35">
        <f t="shared" si="29"/>
        <v>0.24431721966874753</v>
      </c>
      <c r="G42" s="35">
        <f t="shared" si="29"/>
        <v>2.804004815917871E-2</v>
      </c>
      <c r="H42" s="35">
        <f t="shared" si="29"/>
        <v>1.8004220309733698E-2</v>
      </c>
      <c r="I42" s="35">
        <f t="shared" si="29"/>
        <v>0.19370158483626621</v>
      </c>
      <c r="J42" s="35">
        <f t="shared" si="29"/>
        <v>0.10023667715675311</v>
      </c>
      <c r="K42" s="35">
        <f t="shared" si="29"/>
        <v>0.10208235653299935</v>
      </c>
      <c r="L42" s="35">
        <f t="shared" si="29"/>
        <v>5.8526215319204322E-2</v>
      </c>
      <c r="M42" s="44">
        <f t="shared" si="29"/>
        <v>-1</v>
      </c>
    </row>
    <row r="43" spans="2:13" x14ac:dyDescent="0.25">
      <c r="M43" s="45"/>
    </row>
    <row r="44" spans="2:13" x14ac:dyDescent="0.25">
      <c r="B44" t="s">
        <v>147</v>
      </c>
      <c r="C44" s="25">
        <f>IFERROR('Data Sheet'!B31/C39,0)</f>
        <v>21.745032860514097</v>
      </c>
      <c r="D44" s="25">
        <f>IFERROR('Data Sheet'!C31/D39,0)</f>
        <v>23.494633205612931</v>
      </c>
      <c r="E44" s="25">
        <f>IFERROR('Data Sheet'!D31/E39,0)</f>
        <v>24.943843702658935</v>
      </c>
      <c r="F44" s="25">
        <f>IFERROR('Data Sheet'!E31/F39,0)</f>
        <v>29.980812280140711</v>
      </c>
      <c r="G44" s="25">
        <f>IFERROR('Data Sheet'!F31/G39,0)</f>
        <v>72.953309881675722</v>
      </c>
      <c r="H44" s="25">
        <f>IFERROR('Data Sheet'!G31/H39,0)</f>
        <v>38.009245492146739</v>
      </c>
      <c r="I44" s="25">
        <f>IFERROR('Data Sheet'!H31/I39,0)</f>
        <v>43.010576371238827</v>
      </c>
      <c r="J44" s="25">
        <f>IFERROR('Data Sheet'!I31/J39,0)</f>
        <v>115.02828564401081</v>
      </c>
      <c r="K44" s="25">
        <f>IFERROR('Data Sheet'!J31/K39,0)</f>
        <v>73.038335037726981</v>
      </c>
      <c r="L44" s="25">
        <f>IFERROR('Data Sheet'!K31/L39,0)</f>
        <v>126.06616732539177</v>
      </c>
      <c r="M44" s="46">
        <f>IFERROR('Data Sheet'!L31/M39,0)</f>
        <v>0</v>
      </c>
    </row>
    <row r="45" spans="2:13" x14ac:dyDescent="0.25">
      <c r="B45" s="35" t="s">
        <v>148</v>
      </c>
      <c r="C45" s="35">
        <f>IFERROR(C44/C41,0)</f>
        <v>0.3521037061385488</v>
      </c>
      <c r="D45" s="35">
        <f t="shared" ref="D45:L45" si="30">IFERROR(D44/D41,0)</f>
        <v>0.3512918769207421</v>
      </c>
      <c r="E45" s="35">
        <f t="shared" si="30"/>
        <v>0.3690108191653787</v>
      </c>
      <c r="F45" s="35">
        <f t="shared" si="30"/>
        <v>0.35644129015905202</v>
      </c>
      <c r="G45" s="35">
        <f t="shared" si="30"/>
        <v>0.8436835454741578</v>
      </c>
      <c r="H45" s="35">
        <f t="shared" si="30"/>
        <v>0.43179165898900568</v>
      </c>
      <c r="I45" s="35">
        <f t="shared" si="30"/>
        <v>0.4093214387890452</v>
      </c>
      <c r="J45" s="35">
        <f t="shared" si="30"/>
        <v>0.99496489610665895</v>
      </c>
      <c r="K45" s="35">
        <f t="shared" si="30"/>
        <v>0.57324453892709171</v>
      </c>
      <c r="L45" s="35">
        <f t="shared" si="30"/>
        <v>0.93472959403241995</v>
      </c>
      <c r="M45" s="44">
        <f>IFERROR('Data Sheet'!L32/M40,0)</f>
        <v>0</v>
      </c>
    </row>
    <row r="46" spans="2:13" x14ac:dyDescent="0.25">
      <c r="M46" s="45"/>
    </row>
    <row r="47" spans="2:13" x14ac:dyDescent="0.25">
      <c r="B47" s="35" t="s">
        <v>149</v>
      </c>
      <c r="C47" s="35">
        <f>IFERROR(IF(C41&gt;C44,1-C45,0),0)</f>
        <v>0.6478962938614512</v>
      </c>
      <c r="D47" s="35">
        <f t="shared" ref="D47:M47" si="31">IFERROR(IF(D41&gt;D44,1-D45,0),0)</f>
        <v>0.64870812307925796</v>
      </c>
      <c r="E47" s="35">
        <f t="shared" si="31"/>
        <v>0.6309891808346213</v>
      </c>
      <c r="F47" s="35">
        <f t="shared" si="31"/>
        <v>0.64355870984094798</v>
      </c>
      <c r="G47" s="35">
        <f t="shared" si="31"/>
        <v>0.1563164545258422</v>
      </c>
      <c r="H47" s="35">
        <f t="shared" si="31"/>
        <v>0.56820834101099438</v>
      </c>
      <c r="I47" s="35">
        <f t="shared" si="31"/>
        <v>0.59067856121095486</v>
      </c>
      <c r="J47" s="35">
        <f t="shared" si="31"/>
        <v>5.035103893341053E-3</v>
      </c>
      <c r="K47" s="35">
        <f t="shared" si="31"/>
        <v>0.42675546107290829</v>
      </c>
      <c r="L47" s="35">
        <f t="shared" si="31"/>
        <v>6.5270405967580047E-2</v>
      </c>
      <c r="M47" s="44">
        <f t="shared" si="31"/>
        <v>0</v>
      </c>
    </row>
    <row r="49" spans="1:13" x14ac:dyDescent="0.25">
      <c r="A49" t="s">
        <v>83</v>
      </c>
      <c r="B49" s="32" t="s">
        <v>88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x14ac:dyDescent="0.25">
      <c r="B50" s="2" t="s">
        <v>169</v>
      </c>
    </row>
    <row r="51" spans="1:13" x14ac:dyDescent="0.25">
      <c r="B51" t="str">
        <f>'Balance Shaeet2'!B3</f>
        <v>Equity Capital</v>
      </c>
      <c r="C51" s="22">
        <f>'Balance Shaeet2'!E3</f>
        <v>197</v>
      </c>
      <c r="D51" s="22">
        <f>'Balance Shaeet2'!F3</f>
        <v>197</v>
      </c>
      <c r="E51" s="22">
        <f>'Balance Shaeet2'!G3</f>
        <v>191</v>
      </c>
      <c r="F51" s="22">
        <f>'Balance Shaeet2'!H3</f>
        <v>375</v>
      </c>
      <c r="G51" s="22">
        <f>'Balance Shaeet2'!I3</f>
        <v>375</v>
      </c>
      <c r="H51" s="22">
        <f>'Balance Shaeet2'!J3</f>
        <v>370</v>
      </c>
      <c r="I51" s="22">
        <f>'Balance Shaeet2'!K3</f>
        <v>366</v>
      </c>
      <c r="J51" s="22">
        <f>'Balance Shaeet2'!L3</f>
        <v>366</v>
      </c>
      <c r="K51" s="22">
        <f>'Balance Shaeet2'!M3</f>
        <v>362</v>
      </c>
      <c r="L51" s="22">
        <f>'Balance Shaeet2'!N3</f>
        <v>362</v>
      </c>
    </row>
    <row r="52" spans="1:13" x14ac:dyDescent="0.25">
      <c r="B52" t="str">
        <f>'Balance Shaeet2'!B4</f>
        <v>Reserves</v>
      </c>
      <c r="C52" s="22">
        <f>'Balance Shaeet2'!E4</f>
        <v>70875</v>
      </c>
      <c r="D52" s="22">
        <f>'Balance Shaeet2'!F4</f>
        <v>86017</v>
      </c>
      <c r="E52" s="22">
        <f>'Balance Shaeet2'!G4</f>
        <v>84937</v>
      </c>
      <c r="F52" s="22">
        <f>'Balance Shaeet2'!H4</f>
        <v>89071</v>
      </c>
      <c r="G52" s="22">
        <f>'Balance Shaeet2'!I4</f>
        <v>83751</v>
      </c>
      <c r="H52" s="22">
        <f>'Balance Shaeet2'!J4</f>
        <v>86063</v>
      </c>
      <c r="I52" s="22">
        <f>'Balance Shaeet2'!K4</f>
        <v>88773</v>
      </c>
      <c r="J52" s="22">
        <f>'Balance Shaeet2'!L4</f>
        <v>90058</v>
      </c>
      <c r="K52" s="22">
        <f>'Balance Shaeet2'!M4</f>
        <v>90127</v>
      </c>
      <c r="L52" s="22">
        <f>'Balance Shaeet2'!N4</f>
        <v>94394</v>
      </c>
    </row>
    <row r="53" spans="1:13" x14ac:dyDescent="0.25">
      <c r="B53" s="2" t="str">
        <f>'Balance Shaeet2'!B5</f>
        <v>Borrowings -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3" x14ac:dyDescent="0.25">
      <c r="B54" t="str">
        <f>'Balance Shaeet2'!B6</f>
        <v>Long term Borrowings</v>
      </c>
      <c r="C54" s="22">
        <f>'Balance Shaeet2'!E6</f>
        <v>83</v>
      </c>
      <c r="D54" s="22">
        <f>'Balance Shaeet2'!F6</f>
        <v>71</v>
      </c>
      <c r="E54" s="22">
        <f>'Balance Shaeet2'!G6</f>
        <v>54</v>
      </c>
      <c r="F54" s="22">
        <f>'Balance Shaeet2'!H6</f>
        <v>44</v>
      </c>
      <c r="G54" s="22">
        <f>'Balance Shaeet2'!I6</f>
        <v>0</v>
      </c>
      <c r="H54" s="22">
        <f>'Balance Shaeet2'!J6</f>
        <v>0</v>
      </c>
      <c r="I54" s="22">
        <f>'Balance Shaeet2'!K6</f>
        <v>0</v>
      </c>
      <c r="J54" s="22">
        <f>'Balance Shaeet2'!L6</f>
        <v>0</v>
      </c>
      <c r="K54" s="22">
        <f>'Balance Shaeet2'!M6</f>
        <v>0</v>
      </c>
      <c r="L54" s="22">
        <f>'Balance Shaeet2'!N6</f>
        <v>0</v>
      </c>
    </row>
    <row r="55" spans="1:13" x14ac:dyDescent="0.25">
      <c r="B55" t="str">
        <f>'Balance Shaeet2'!B7</f>
        <v>Short term Borrowings</v>
      </c>
      <c r="C55" s="22">
        <f>'Balance Shaeet2'!E7</f>
        <v>113</v>
      </c>
      <c r="D55" s="22">
        <f>'Balance Shaeet2'!F7</f>
        <v>200</v>
      </c>
      <c r="E55" s="22">
        <f>'Balance Shaeet2'!G7</f>
        <v>181</v>
      </c>
      <c r="F55" s="22">
        <f>'Balance Shaeet2'!H7</f>
        <v>0</v>
      </c>
      <c r="G55" s="22">
        <f>'Balance Shaeet2'!I7</f>
        <v>0</v>
      </c>
      <c r="H55" s="22">
        <f>'Balance Shaeet2'!J7</f>
        <v>0</v>
      </c>
      <c r="I55" s="22">
        <f>'Balance Shaeet2'!K7</f>
        <v>0</v>
      </c>
      <c r="J55" s="22">
        <f>'Balance Shaeet2'!L7</f>
        <v>0</v>
      </c>
      <c r="K55" s="22">
        <f>'Balance Shaeet2'!M7</f>
        <v>0</v>
      </c>
      <c r="L55" s="22">
        <f>'Balance Shaeet2'!N7</f>
        <v>0</v>
      </c>
    </row>
    <row r="56" spans="1:13" x14ac:dyDescent="0.25">
      <c r="B56" t="str">
        <f>'Balance Shaeet2'!B8</f>
        <v>Lease Liabilities</v>
      </c>
      <c r="C56" s="22">
        <f>'Balance Shaeet2'!E8</f>
        <v>0</v>
      </c>
      <c r="D56" s="22">
        <f>'Balance Shaeet2'!F8</f>
        <v>0</v>
      </c>
      <c r="E56" s="22">
        <f>'Balance Shaeet2'!G8</f>
        <v>0</v>
      </c>
      <c r="F56" s="22">
        <f>'Balance Shaeet2'!H8</f>
        <v>44</v>
      </c>
      <c r="G56" s="22">
        <f>'Balance Shaeet2'!I8</f>
        <v>8174</v>
      </c>
      <c r="H56" s="22">
        <f>'Balance Shaeet2'!J8</f>
        <v>7795</v>
      </c>
      <c r="I56" s="22">
        <f>'Balance Shaeet2'!K8</f>
        <v>7818</v>
      </c>
      <c r="J56" s="22">
        <f>'Balance Shaeet2'!L8</f>
        <v>7688</v>
      </c>
      <c r="K56" s="22">
        <f>'Balance Shaeet2'!M8</f>
        <v>8021</v>
      </c>
      <c r="L56" s="22">
        <f>'Balance Shaeet2'!N8</f>
        <v>9392</v>
      </c>
    </row>
    <row r="57" spans="1:13" x14ac:dyDescent="0.25">
      <c r="B57" t="str">
        <f>'Balance Shaeet2'!B9</f>
        <v>Other Borrowings</v>
      </c>
      <c r="C57" s="22">
        <f>'Balance Shaeet2'!E9</f>
        <v>49</v>
      </c>
      <c r="D57" s="22">
        <f>'Balance Shaeet2'!F9</f>
        <v>18</v>
      </c>
      <c r="E57" s="22">
        <f>'Balance Shaeet2'!G9</f>
        <v>12</v>
      </c>
      <c r="F57" s="22">
        <f>'Balance Shaeet2'!H9</f>
        <v>-26</v>
      </c>
      <c r="G57" s="22">
        <f>'Balance Shaeet2'!I9</f>
        <v>0</v>
      </c>
      <c r="H57" s="22">
        <f>'Balance Shaeet2'!J9</f>
        <v>0</v>
      </c>
      <c r="I57" s="22">
        <f>'Balance Shaeet2'!K9</f>
        <v>0</v>
      </c>
      <c r="J57" s="22">
        <f>'Balance Shaeet2'!L9</f>
        <v>0</v>
      </c>
      <c r="K57" s="22">
        <f>'Balance Shaeet2'!M9</f>
        <v>0</v>
      </c>
      <c r="L57" s="22">
        <f>'Balance Shaeet2'!N9</f>
        <v>0</v>
      </c>
    </row>
    <row r="58" spans="1:13" x14ac:dyDescent="0.25">
      <c r="B58" s="2" t="str">
        <f>'Balance Shaeet2'!B10</f>
        <v>Other Liabilities -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3" x14ac:dyDescent="0.25">
      <c r="B59" t="str">
        <f>'Balance Shaeet2'!B11</f>
        <v>Non controlling int</v>
      </c>
      <c r="C59" s="22">
        <f>'Balance Shaeet2'!E11</f>
        <v>355</v>
      </c>
      <c r="D59" s="22">
        <f>'Balance Shaeet2'!F11</f>
        <v>366</v>
      </c>
      <c r="E59" s="22">
        <f>'Balance Shaeet2'!G11</f>
        <v>402</v>
      </c>
      <c r="F59" s="22">
        <f>'Balance Shaeet2'!H11</f>
        <v>453</v>
      </c>
      <c r="G59" s="22">
        <f>'Balance Shaeet2'!I11</f>
        <v>623</v>
      </c>
      <c r="H59" s="22">
        <f>'Balance Shaeet2'!J11</f>
        <v>675</v>
      </c>
      <c r="I59" s="22">
        <f>'Balance Shaeet2'!K11</f>
        <v>707</v>
      </c>
      <c r="J59" s="22">
        <f>'Balance Shaeet2'!L11</f>
        <v>782</v>
      </c>
      <c r="K59" s="22">
        <f>'Balance Shaeet2'!M11</f>
        <v>830</v>
      </c>
      <c r="L59" s="22">
        <f>'Balance Shaeet2'!N11</f>
        <v>1015</v>
      </c>
    </row>
    <row r="60" spans="1:13" x14ac:dyDescent="0.25">
      <c r="B60" t="str">
        <f>'Balance Shaeet2'!B12</f>
        <v>Trade Payables</v>
      </c>
      <c r="C60" s="22">
        <f>'Balance Shaeet2'!E12</f>
        <v>7541</v>
      </c>
      <c r="D60" s="22">
        <f>'Balance Shaeet2'!F12</f>
        <v>4905</v>
      </c>
      <c r="E60" s="22">
        <f>'Balance Shaeet2'!G12</f>
        <v>5094</v>
      </c>
      <c r="F60" s="22">
        <f>'Balance Shaeet2'!H12</f>
        <v>6292</v>
      </c>
      <c r="G60" s="22">
        <f>'Balance Shaeet2'!I12</f>
        <v>6740</v>
      </c>
      <c r="H60" s="22">
        <f>'Balance Shaeet2'!J12</f>
        <v>7860</v>
      </c>
      <c r="I60" s="22">
        <f>'Balance Shaeet2'!K12</f>
        <v>8045</v>
      </c>
      <c r="J60" s="22">
        <f>'Balance Shaeet2'!L12</f>
        <v>10515</v>
      </c>
      <c r="K60" s="22">
        <f>'Balance Shaeet2'!M12</f>
        <v>9981</v>
      </c>
      <c r="L60" s="22">
        <f>'Balance Shaeet2'!N12</f>
        <v>13909</v>
      </c>
    </row>
    <row r="61" spans="1:13" x14ac:dyDescent="0.25">
      <c r="B61" t="str">
        <f>'Balance Shaeet2'!B13</f>
        <v>Advance from Customers</v>
      </c>
      <c r="C61" s="22">
        <f>'Balance Shaeet2'!E13</f>
        <v>164</v>
      </c>
      <c r="D61" s="22">
        <f>'Balance Shaeet2'!F13</f>
        <v>330</v>
      </c>
      <c r="E61" s="22">
        <f>'Balance Shaeet2'!G13</f>
        <v>796</v>
      </c>
      <c r="F61" s="22">
        <f>'Balance Shaeet2'!H13</f>
        <v>575</v>
      </c>
      <c r="G61" s="22">
        <f>'Balance Shaeet2'!I13</f>
        <v>345</v>
      </c>
      <c r="H61" s="22">
        <f>'Balance Shaeet2'!J13</f>
        <v>312</v>
      </c>
      <c r="I61" s="22">
        <f>'Balance Shaeet2'!K13</f>
        <v>468</v>
      </c>
      <c r="J61" s="22">
        <f>'Balance Shaeet2'!L13</f>
        <v>543</v>
      </c>
      <c r="K61" s="22">
        <f>'Balance Shaeet2'!M13</f>
        <v>1841</v>
      </c>
      <c r="L61" s="22">
        <f>'Balance Shaeet2'!N13</f>
        <v>1896</v>
      </c>
    </row>
    <row r="62" spans="1:13" x14ac:dyDescent="0.25">
      <c r="B62" t="str">
        <f>'Balance Shaeet2'!B14</f>
        <v>Other liability items</v>
      </c>
      <c r="C62" s="22">
        <f>'Balance Shaeet2'!E14</f>
        <v>8914</v>
      </c>
      <c r="D62" s="22">
        <f>'Balance Shaeet2'!F14</f>
        <v>10229</v>
      </c>
      <c r="E62" s="22">
        <f>'Balance Shaeet2'!G14</f>
        <v>13459</v>
      </c>
      <c r="F62" s="22">
        <f>'Balance Shaeet2'!H14</f>
        <v>17073</v>
      </c>
      <c r="G62" s="22">
        <f>'Balance Shaeet2'!I14</f>
        <v>20119</v>
      </c>
      <c r="H62" s="22">
        <f>'Balance Shaeet2'!J14</f>
        <v>26917</v>
      </c>
      <c r="I62" s="22">
        <f>'Balance Shaeet2'!K14</f>
        <v>34747</v>
      </c>
      <c r="J62" s="22">
        <f>'Balance Shaeet2'!L14</f>
        <v>32907</v>
      </c>
      <c r="K62" s="22">
        <f>'Balance Shaeet2'!M14</f>
        <v>34310</v>
      </c>
      <c r="L62" s="22">
        <f>'Balance Shaeet2'!N14</f>
        <v>37681</v>
      </c>
    </row>
    <row r="63" spans="1:13" ht="15.75" thickBot="1" x14ac:dyDescent="0.3">
      <c r="B63" s="30" t="str">
        <f>'Balance Shaeet2'!B15</f>
        <v>Total Liabilities</v>
      </c>
      <c r="C63" s="37">
        <f>'Balance Shaeet2'!E15</f>
        <v>88291</v>
      </c>
      <c r="D63" s="37">
        <f>'Balance Shaeet2'!F15</f>
        <v>102333</v>
      </c>
      <c r="E63" s="37">
        <f>'Balance Shaeet2'!G15</f>
        <v>105126</v>
      </c>
      <c r="F63" s="37">
        <f>'Balance Shaeet2'!H15</f>
        <v>113901</v>
      </c>
      <c r="G63" s="37">
        <f>'Balance Shaeet2'!I15</f>
        <v>120127</v>
      </c>
      <c r="H63" s="37">
        <f>'Balance Shaeet2'!J15</f>
        <v>129992</v>
      </c>
      <c r="I63" s="37">
        <f>'Balance Shaeet2'!K15</f>
        <v>140924</v>
      </c>
      <c r="J63" s="37">
        <f>'Balance Shaeet2'!L15</f>
        <v>142859</v>
      </c>
      <c r="K63" s="37">
        <f>'Balance Shaeet2'!M15</f>
        <v>145472</v>
      </c>
      <c r="L63" s="37">
        <f>'Balance Shaeet2'!N15</f>
        <v>158649</v>
      </c>
    </row>
    <row r="64" spans="1:13" x14ac:dyDescent="0.25">
      <c r="B64" s="2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 x14ac:dyDescent="0.25">
      <c r="B65" s="2" t="s">
        <v>168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x14ac:dyDescent="0.25">
      <c r="B66" s="2" t="str">
        <f>'Balance Shaeet2'!B16</f>
        <v>Fixed Assets -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2:12" x14ac:dyDescent="0.25">
      <c r="B67" t="str">
        <f>'Balance Shaeet2'!B17</f>
        <v>Land</v>
      </c>
      <c r="C67" s="22">
        <f>'Balance Shaeet2'!E17</f>
        <v>348</v>
      </c>
      <c r="D67" s="22">
        <f>'Balance Shaeet2'!F17</f>
        <v>348</v>
      </c>
      <c r="E67" s="22">
        <f>'Balance Shaeet2'!G17</f>
        <v>348</v>
      </c>
      <c r="F67" s="22">
        <f>'Balance Shaeet2'!H17</f>
        <v>345</v>
      </c>
      <c r="G67" s="22">
        <f>'Balance Shaeet2'!I17</f>
        <v>1041</v>
      </c>
      <c r="H67" s="22">
        <f>'Balance Shaeet2'!J17</f>
        <v>1041</v>
      </c>
      <c r="I67" s="22">
        <f>'Balance Shaeet2'!K17</f>
        <v>1126</v>
      </c>
      <c r="J67" s="22">
        <f>'Balance Shaeet2'!L17</f>
        <v>1304</v>
      </c>
      <c r="K67" s="22">
        <f>'Balance Shaeet2'!M17</f>
        <v>1294</v>
      </c>
      <c r="L67" s="22">
        <f>'Balance Shaeet2'!N17</f>
        <v>2885</v>
      </c>
    </row>
    <row r="68" spans="2:12" x14ac:dyDescent="0.25">
      <c r="B68" t="str">
        <f>'Balance Shaeet2'!B18</f>
        <v>Building</v>
      </c>
      <c r="C68" s="22">
        <f>'Balance Shaeet2'!E18</f>
        <v>7959</v>
      </c>
      <c r="D68" s="22">
        <f>'Balance Shaeet2'!F18</f>
        <v>8681</v>
      </c>
      <c r="E68" s="22">
        <f>'Balance Shaeet2'!G18</f>
        <v>9359</v>
      </c>
      <c r="F68" s="22">
        <f>'Balance Shaeet2'!H18</f>
        <v>9832</v>
      </c>
      <c r="G68" s="22">
        <f>'Balance Shaeet2'!I18</f>
        <v>18645</v>
      </c>
      <c r="H68" s="22">
        <f>'Balance Shaeet2'!J18</f>
        <v>18524</v>
      </c>
      <c r="I68" s="22">
        <f>'Balance Shaeet2'!K18</f>
        <v>17007</v>
      </c>
      <c r="J68" s="22">
        <f>'Balance Shaeet2'!L18</f>
        <v>18635</v>
      </c>
      <c r="K68" s="22">
        <f>'Balance Shaeet2'!M18</f>
        <v>19314</v>
      </c>
      <c r="L68" s="22">
        <f>'Balance Shaeet2'!N18</f>
        <v>21379</v>
      </c>
    </row>
    <row r="69" spans="2:12" x14ac:dyDescent="0.25">
      <c r="B69" t="str">
        <f>'Balance Shaeet2'!B19</f>
        <v>Plant Machinery</v>
      </c>
      <c r="C69" s="22">
        <f>'Balance Shaeet2'!E19</f>
        <v>322</v>
      </c>
      <c r="D69" s="22">
        <f>'Balance Shaeet2'!F19</f>
        <v>395</v>
      </c>
      <c r="E69" s="22">
        <f>'Balance Shaeet2'!G19</f>
        <v>501</v>
      </c>
      <c r="F69" s="22">
        <f>'Balance Shaeet2'!H19</f>
        <v>552</v>
      </c>
      <c r="G69" s="22">
        <f>'Balance Shaeet2'!I19</f>
        <v>681</v>
      </c>
      <c r="H69" s="22">
        <f>'Balance Shaeet2'!J19</f>
        <v>737</v>
      </c>
      <c r="I69" s="22">
        <f>'Balance Shaeet2'!K19</f>
        <v>770</v>
      </c>
      <c r="J69" s="22">
        <f>'Balance Shaeet2'!L19</f>
        <v>828</v>
      </c>
      <c r="K69" s="22">
        <f>'Balance Shaeet2'!M19</f>
        <v>878</v>
      </c>
      <c r="L69" s="22">
        <f>'Balance Shaeet2'!N19</f>
        <v>993</v>
      </c>
    </row>
    <row r="70" spans="2:12" x14ac:dyDescent="0.25">
      <c r="B70" t="str">
        <f>'Balance Shaeet2'!B20</f>
        <v>Equipments</v>
      </c>
      <c r="C70" s="22">
        <f>'Balance Shaeet2'!E20</f>
        <v>2004</v>
      </c>
      <c r="D70" s="22">
        <f>'Balance Shaeet2'!F20</f>
        <v>2112</v>
      </c>
      <c r="E70" s="22">
        <f>'Balance Shaeet2'!G20</f>
        <v>2221</v>
      </c>
      <c r="F70" s="22">
        <f>'Balance Shaeet2'!H20</f>
        <v>2377</v>
      </c>
      <c r="G70" s="22">
        <f>'Balance Shaeet2'!I20</f>
        <v>2522</v>
      </c>
      <c r="H70" s="22">
        <f>'Balance Shaeet2'!J20</f>
        <v>2587</v>
      </c>
      <c r="I70" s="22">
        <f>'Balance Shaeet2'!K20</f>
        <v>2693</v>
      </c>
      <c r="J70" s="22">
        <f>'Balance Shaeet2'!L20</f>
        <v>2823</v>
      </c>
      <c r="K70" s="22">
        <f>'Balance Shaeet2'!M20</f>
        <v>2982</v>
      </c>
      <c r="L70" s="22">
        <f>'Balance Shaeet2'!N20</f>
        <v>3169</v>
      </c>
    </row>
    <row r="71" spans="2:12" x14ac:dyDescent="0.25">
      <c r="B71" t="str">
        <f>'Balance Shaeet2'!B21</f>
        <v>Computers</v>
      </c>
      <c r="C71" s="22">
        <f>'Balance Shaeet2'!E21</f>
        <v>5591</v>
      </c>
      <c r="D71" s="22">
        <f>'Balance Shaeet2'!F21</f>
        <v>6082</v>
      </c>
      <c r="E71" s="22">
        <f>'Balance Shaeet2'!G21</f>
        <v>6786</v>
      </c>
      <c r="F71" s="22">
        <f>'Balance Shaeet2'!H21</f>
        <v>7687</v>
      </c>
      <c r="G71" s="22">
        <f>'Balance Shaeet2'!I21</f>
        <v>8824</v>
      </c>
      <c r="H71" s="22">
        <f>'Balance Shaeet2'!J21</f>
        <v>10873</v>
      </c>
      <c r="I71" s="22">
        <f>'Balance Shaeet2'!K21</f>
        <v>12301</v>
      </c>
      <c r="J71" s="22">
        <f>'Balance Shaeet2'!L21</f>
        <v>13725</v>
      </c>
      <c r="K71" s="22">
        <f>'Balance Shaeet2'!M21</f>
        <v>14544</v>
      </c>
      <c r="L71" s="22">
        <f>'Balance Shaeet2'!N21</f>
        <v>15212</v>
      </c>
    </row>
    <row r="72" spans="2:12" x14ac:dyDescent="0.25">
      <c r="B72" t="str">
        <f>'Balance Shaeet2'!B22</f>
        <v>Furniture n fittings</v>
      </c>
      <c r="C72" s="22">
        <f>'Balance Shaeet2'!E22</f>
        <v>3052</v>
      </c>
      <c r="D72" s="22">
        <f>'Balance Shaeet2'!F22</f>
        <v>3241</v>
      </c>
      <c r="E72" s="22">
        <f>'Balance Shaeet2'!G22</f>
        <v>3471</v>
      </c>
      <c r="F72" s="22">
        <f>'Balance Shaeet2'!H22</f>
        <v>3690</v>
      </c>
      <c r="G72" s="22">
        <f>'Balance Shaeet2'!I22</f>
        <v>3925</v>
      </c>
      <c r="H72" s="22">
        <f>'Balance Shaeet2'!J22</f>
        <v>3943</v>
      </c>
      <c r="I72" s="22">
        <f>'Balance Shaeet2'!K22</f>
        <v>3968</v>
      </c>
      <c r="J72" s="22">
        <f>'Balance Shaeet2'!L22</f>
        <v>4130</v>
      </c>
      <c r="K72" s="22">
        <f>'Balance Shaeet2'!M22</f>
        <v>4346</v>
      </c>
      <c r="L72" s="22">
        <f>'Balance Shaeet2'!N22</f>
        <v>4628</v>
      </c>
    </row>
    <row r="73" spans="2:12" x14ac:dyDescent="0.25">
      <c r="B73" t="str">
        <f>'Balance Shaeet2'!B23</f>
        <v>Vehicles</v>
      </c>
      <c r="C73" s="22">
        <f>'Balance Shaeet2'!E23</f>
        <v>32</v>
      </c>
      <c r="D73" s="22">
        <f>'Balance Shaeet2'!F23</f>
        <v>32</v>
      </c>
      <c r="E73" s="22">
        <f>'Balance Shaeet2'!G23</f>
        <v>34</v>
      </c>
      <c r="F73" s="22">
        <f>'Balance Shaeet2'!H23</f>
        <v>39</v>
      </c>
      <c r="G73" s="22">
        <f>'Balance Shaeet2'!I23</f>
        <v>68</v>
      </c>
      <c r="H73" s="22">
        <f>'Balance Shaeet2'!J23</f>
        <v>86</v>
      </c>
      <c r="I73" s="22">
        <f>'Balance Shaeet2'!K23</f>
        <v>71</v>
      </c>
      <c r="J73" s="22">
        <f>'Balance Shaeet2'!L23</f>
        <v>93</v>
      </c>
      <c r="K73" s="22">
        <f>'Balance Shaeet2'!M23</f>
        <v>97</v>
      </c>
      <c r="L73" s="22">
        <f>'Balance Shaeet2'!N23</f>
        <v>106</v>
      </c>
    </row>
    <row r="74" spans="2:12" x14ac:dyDescent="0.25">
      <c r="B74" t="str">
        <f>'Balance Shaeet2'!B24</f>
        <v>Intangible Assets</v>
      </c>
      <c r="C74" s="22">
        <f>'Balance Shaeet2'!E24</f>
        <v>2192</v>
      </c>
      <c r="D74" s="22">
        <f>'Balance Shaeet2'!F24</f>
        <v>2016</v>
      </c>
      <c r="E74" s="22">
        <f>'Balance Shaeet2'!G24</f>
        <v>2194</v>
      </c>
      <c r="F74" s="22">
        <f>'Balance Shaeet2'!H24</f>
        <v>1956</v>
      </c>
      <c r="G74" s="22">
        <f>'Balance Shaeet2'!I24</f>
        <v>2158</v>
      </c>
      <c r="H74" s="22">
        <f>'Balance Shaeet2'!J24</f>
        <v>2538</v>
      </c>
      <c r="I74" s="22">
        <f>'Balance Shaeet2'!K24</f>
        <v>3484</v>
      </c>
      <c r="J74" s="22">
        <f>'Balance Shaeet2'!L24</f>
        <v>3750</v>
      </c>
      <c r="K74" s="22">
        <f>'Balance Shaeet2'!M24</f>
        <v>3836</v>
      </c>
      <c r="L74" s="22">
        <f>'Balance Shaeet2'!N24</f>
        <v>4865</v>
      </c>
    </row>
    <row r="75" spans="2:12" x14ac:dyDescent="0.25">
      <c r="B75" t="str">
        <f>'Balance Shaeet2'!B25</f>
        <v>Other fixed assets</v>
      </c>
      <c r="C75" s="22">
        <f>'Balance Shaeet2'!E25</f>
        <v>86</v>
      </c>
      <c r="D75" s="22">
        <f>'Balance Shaeet2'!F25</f>
        <v>81</v>
      </c>
      <c r="E75" s="22">
        <f>'Balance Shaeet2'!G25</f>
        <v>89</v>
      </c>
      <c r="F75" s="22">
        <f>'Balance Shaeet2'!H25</f>
        <v>115</v>
      </c>
      <c r="G75" s="22">
        <f>'Balance Shaeet2'!I25</f>
        <v>120</v>
      </c>
      <c r="H75" s="22">
        <f>'Balance Shaeet2'!J25</f>
        <v>122</v>
      </c>
      <c r="I75" s="22">
        <f>'Balance Shaeet2'!K25</f>
        <v>121</v>
      </c>
      <c r="J75" s="22">
        <f>'Balance Shaeet2'!L25</f>
        <v>126</v>
      </c>
      <c r="K75" s="22">
        <f>'Balance Shaeet2'!M25</f>
        <v>127</v>
      </c>
      <c r="L75" s="22">
        <f>'Balance Shaeet2'!N25</f>
        <v>129</v>
      </c>
    </row>
    <row r="76" spans="2:12" x14ac:dyDescent="0.25">
      <c r="B76" s="2" t="str">
        <f>'Balance Shaeet2'!B26</f>
        <v>Gross Block</v>
      </c>
      <c r="C76" s="23">
        <f>'Balance Shaeet2'!E26</f>
        <v>21586</v>
      </c>
      <c r="D76" s="23">
        <f>'Balance Shaeet2'!F26</f>
        <v>22988</v>
      </c>
      <c r="E76" s="23">
        <f>'Balance Shaeet2'!G26</f>
        <v>25003</v>
      </c>
      <c r="F76" s="23">
        <f>'Balance Shaeet2'!H26</f>
        <v>26593</v>
      </c>
      <c r="G76" s="23">
        <f>'Balance Shaeet2'!I26</f>
        <v>37984</v>
      </c>
      <c r="H76" s="23">
        <f>'Balance Shaeet2'!J26</f>
        <v>40451</v>
      </c>
      <c r="I76" s="23">
        <f>'Balance Shaeet2'!K26</f>
        <v>41541</v>
      </c>
      <c r="J76" s="23">
        <f>'Balance Shaeet2'!L26</f>
        <v>45414</v>
      </c>
      <c r="K76" s="23">
        <f>'Balance Shaeet2'!M26</f>
        <v>47418</v>
      </c>
      <c r="L76" s="23">
        <f>'Balance Shaeet2'!N26</f>
        <v>53366</v>
      </c>
    </row>
    <row r="77" spans="2:12" x14ac:dyDescent="0.25">
      <c r="B77" t="str">
        <f>'Balance Shaeet2'!B27</f>
        <v>Accumulated Depreciation</v>
      </c>
      <c r="C77" s="22">
        <f>'Balance Shaeet2'!E27</f>
        <v>9812</v>
      </c>
      <c r="D77" s="22">
        <f>'Balance Shaeet2'!F27</f>
        <v>11287</v>
      </c>
      <c r="E77" s="22">
        <f>'Balance Shaeet2'!G27</f>
        <v>13030</v>
      </c>
      <c r="F77" s="22">
        <f>'Balance Shaeet2'!H27</f>
        <v>14303</v>
      </c>
      <c r="G77" s="22">
        <f>'Balance Shaeet2'!I27</f>
        <v>17056</v>
      </c>
      <c r="H77" s="22">
        <f>'Balance Shaeet2'!J27</f>
        <v>19430</v>
      </c>
      <c r="I77" s="22">
        <f>'Balance Shaeet2'!K27</f>
        <v>20243</v>
      </c>
      <c r="J77" s="22">
        <f>'Balance Shaeet2'!L27</f>
        <v>24899</v>
      </c>
      <c r="K77" s="22">
        <f>'Balance Shaeet2'!M27</f>
        <v>27814</v>
      </c>
      <c r="L77" s="22">
        <f>'Balance Shaeet2'!N27</f>
        <v>30313</v>
      </c>
    </row>
    <row r="78" spans="2:12" x14ac:dyDescent="0.25">
      <c r="B78" s="2" t="s">
        <v>166</v>
      </c>
      <c r="C78" s="23">
        <f>C76-C77</f>
        <v>11774</v>
      </c>
      <c r="D78" s="23">
        <f t="shared" ref="D78:L78" si="32">D76-D77</f>
        <v>11701</v>
      </c>
      <c r="E78" s="23">
        <f t="shared" si="32"/>
        <v>11973</v>
      </c>
      <c r="F78" s="23">
        <f t="shared" si="32"/>
        <v>12290</v>
      </c>
      <c r="G78" s="23">
        <f t="shared" si="32"/>
        <v>20928</v>
      </c>
      <c r="H78" s="23">
        <f t="shared" si="32"/>
        <v>21021</v>
      </c>
      <c r="I78" s="23">
        <f t="shared" si="32"/>
        <v>21298</v>
      </c>
      <c r="J78" s="23">
        <f t="shared" si="32"/>
        <v>20515</v>
      </c>
      <c r="K78" s="23">
        <f t="shared" si="32"/>
        <v>19604</v>
      </c>
      <c r="L78" s="23">
        <f t="shared" si="32"/>
        <v>23053</v>
      </c>
    </row>
    <row r="79" spans="2:12" x14ac:dyDescent="0.25">
      <c r="B79" t="str">
        <f>'Balance Shaeet2'!B28</f>
        <v>CWIP</v>
      </c>
      <c r="C79" s="22">
        <f>'Balance Shaeet2'!E28</f>
        <v>1670</v>
      </c>
      <c r="D79" s="22">
        <f>'Balance Shaeet2'!F28</f>
        <v>1541</v>
      </c>
      <c r="E79" s="22">
        <f>'Balance Shaeet2'!G28</f>
        <v>1278</v>
      </c>
      <c r="F79" s="22">
        <f>'Balance Shaeet2'!H28</f>
        <v>963</v>
      </c>
      <c r="G79" s="22">
        <f>'Balance Shaeet2'!I28</f>
        <v>906</v>
      </c>
      <c r="H79" s="22">
        <f>'Balance Shaeet2'!J28</f>
        <v>926</v>
      </c>
      <c r="I79" s="22">
        <f>'Balance Shaeet2'!K28</f>
        <v>1205</v>
      </c>
      <c r="J79" s="22">
        <f>'Balance Shaeet2'!L28</f>
        <v>1234</v>
      </c>
      <c r="K79" s="22">
        <f>'Balance Shaeet2'!M28</f>
        <v>1564</v>
      </c>
      <c r="L79" s="22">
        <f>'Balance Shaeet2'!N28</f>
        <v>1546</v>
      </c>
    </row>
    <row r="80" spans="2:12" x14ac:dyDescent="0.25">
      <c r="B80" t="str">
        <f>'Balance Shaeet2'!B29</f>
        <v>Investments</v>
      </c>
      <c r="C80" s="22">
        <f>'Balance Shaeet2'!E29</f>
        <v>22822</v>
      </c>
      <c r="D80" s="22">
        <f>'Balance Shaeet2'!F29</f>
        <v>41980</v>
      </c>
      <c r="E80" s="22">
        <f>'Balance Shaeet2'!G29</f>
        <v>36008</v>
      </c>
      <c r="F80" s="22">
        <f>'Balance Shaeet2'!H29</f>
        <v>29330</v>
      </c>
      <c r="G80" s="22">
        <f>'Balance Shaeet2'!I29</f>
        <v>26356</v>
      </c>
      <c r="H80" s="22">
        <f>'Balance Shaeet2'!J29</f>
        <v>29373</v>
      </c>
      <c r="I80" s="22">
        <f>'Balance Shaeet2'!K29</f>
        <v>30485</v>
      </c>
      <c r="J80" s="22">
        <f>'Balance Shaeet2'!L29</f>
        <v>37163</v>
      </c>
      <c r="K80" s="22">
        <f>'Balance Shaeet2'!M29</f>
        <v>31762</v>
      </c>
      <c r="L80" s="22">
        <f>'Balance Shaeet2'!N29</f>
        <v>30964</v>
      </c>
    </row>
    <row r="81" spans="1:13" x14ac:dyDescent="0.25">
      <c r="B81" s="2" t="str">
        <f>'Balance Shaeet2'!B30</f>
        <v>Other Assets -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1:13" x14ac:dyDescent="0.25">
      <c r="B82" t="str">
        <f>'Balance Shaeet2'!B31</f>
        <v>Inventories</v>
      </c>
      <c r="C82" s="22">
        <f>'Balance Shaeet2'!E31</f>
        <v>16</v>
      </c>
      <c r="D82" s="22">
        <f>'Balance Shaeet2'!F31</f>
        <v>21</v>
      </c>
      <c r="E82" s="22">
        <f>'Balance Shaeet2'!G31</f>
        <v>26</v>
      </c>
      <c r="F82" s="22">
        <f>'Balance Shaeet2'!H31</f>
        <v>10</v>
      </c>
      <c r="G82" s="22">
        <f>'Balance Shaeet2'!I31</f>
        <v>5</v>
      </c>
      <c r="H82" s="22">
        <f>'Balance Shaeet2'!J31</f>
        <v>8</v>
      </c>
      <c r="I82" s="22">
        <f>'Balance Shaeet2'!K31</f>
        <v>20</v>
      </c>
      <c r="J82" s="22">
        <f>'Balance Shaeet2'!L31</f>
        <v>28</v>
      </c>
      <c r="K82" s="22">
        <f>'Balance Shaeet2'!M31</f>
        <v>28</v>
      </c>
      <c r="L82" s="22">
        <f>'Balance Shaeet2'!N31</f>
        <v>21</v>
      </c>
    </row>
    <row r="83" spans="1:13" x14ac:dyDescent="0.25">
      <c r="B83" t="str">
        <f>'Balance Shaeet2'!B32</f>
        <v>Trade receivables +</v>
      </c>
      <c r="C83" s="22">
        <f>'Balance Shaeet2'!E32</f>
        <v>24073</v>
      </c>
      <c r="D83" s="22">
        <f>'Balance Shaeet2'!F32</f>
        <v>22617</v>
      </c>
      <c r="E83" s="22">
        <f>'Balance Shaeet2'!G32</f>
        <v>24943</v>
      </c>
      <c r="F83" s="22">
        <f>'Balance Shaeet2'!H32</f>
        <v>27346</v>
      </c>
      <c r="G83" s="22">
        <f>'Balance Shaeet2'!I32</f>
        <v>30532</v>
      </c>
      <c r="H83" s="22">
        <f>'Balance Shaeet2'!J32</f>
        <v>30079</v>
      </c>
      <c r="I83" s="22">
        <f>'Balance Shaeet2'!K32</f>
        <v>41810</v>
      </c>
      <c r="J83" s="22">
        <f>'Balance Shaeet2'!L32</f>
        <v>49954</v>
      </c>
      <c r="K83" s="22">
        <f>'Balance Shaeet2'!M32</f>
        <v>53577</v>
      </c>
      <c r="L83" s="22">
        <f>'Balance Shaeet2'!N32</f>
        <v>59046</v>
      </c>
    </row>
    <row r="84" spans="1:13" x14ac:dyDescent="0.25">
      <c r="B84" t="str">
        <f>'Balance Shaeet2'!B33</f>
        <v>Cash Equivalents</v>
      </c>
      <c r="C84" s="22">
        <f>'Balance Shaeet2'!E33</f>
        <v>6788</v>
      </c>
      <c r="D84" s="22">
        <f>'Balance Shaeet2'!F33</f>
        <v>4149</v>
      </c>
      <c r="E84" s="22">
        <f>'Balance Shaeet2'!G33</f>
        <v>7161</v>
      </c>
      <c r="F84" s="22">
        <f>'Balance Shaeet2'!H33</f>
        <v>12848</v>
      </c>
      <c r="G84" s="22">
        <f>'Balance Shaeet2'!I33</f>
        <v>9666</v>
      </c>
      <c r="H84" s="22">
        <f>'Balance Shaeet2'!J33</f>
        <v>9329</v>
      </c>
      <c r="I84" s="22">
        <f>'Balance Shaeet2'!K33</f>
        <v>18221</v>
      </c>
      <c r="J84" s="22">
        <f>'Balance Shaeet2'!L33</f>
        <v>11032</v>
      </c>
      <c r="K84" s="22">
        <f>'Balance Shaeet2'!M33</f>
        <v>13286</v>
      </c>
      <c r="L84" s="22">
        <f>'Balance Shaeet2'!N33</f>
        <v>15463</v>
      </c>
    </row>
    <row r="85" spans="1:13" x14ac:dyDescent="0.25">
      <c r="B85" t="str">
        <f>'Balance Shaeet2'!B34</f>
        <v>Loans n Advances</v>
      </c>
      <c r="C85" s="22">
        <f>'Balance Shaeet2'!E34</f>
        <v>3010</v>
      </c>
      <c r="D85" s="22">
        <f>'Balance Shaeet2'!F34</f>
        <v>2063</v>
      </c>
      <c r="E85" s="22">
        <f>'Balance Shaeet2'!G34</f>
        <v>1696</v>
      </c>
      <c r="F85" s="22">
        <f>'Balance Shaeet2'!H34</f>
        <v>3012</v>
      </c>
      <c r="G85" s="22">
        <f>'Balance Shaeet2'!I34</f>
        <v>1967</v>
      </c>
      <c r="H85" s="22">
        <f>'Balance Shaeet2'!J34</f>
        <v>5107</v>
      </c>
      <c r="I85" s="22">
        <f>'Balance Shaeet2'!K34</f>
        <v>3600</v>
      </c>
      <c r="J85" s="22">
        <f>'Balance Shaeet2'!L34</f>
        <v>2097</v>
      </c>
      <c r="K85" s="22">
        <f>'Balance Shaeet2'!M34</f>
        <v>3989</v>
      </c>
      <c r="L85" s="22">
        <f>'Balance Shaeet2'!N34</f>
        <v>4612</v>
      </c>
    </row>
    <row r="86" spans="1:13" x14ac:dyDescent="0.25">
      <c r="B86" t="str">
        <f>'Balance Shaeet2'!B35</f>
        <v>Other asset items</v>
      </c>
      <c r="C86" s="22">
        <f>'Balance Shaeet2'!E35</f>
        <v>18138</v>
      </c>
      <c r="D86" s="22">
        <f>'Balance Shaeet2'!F35</f>
        <v>18261</v>
      </c>
      <c r="E86" s="22">
        <f>'Balance Shaeet2'!G35</f>
        <v>22041</v>
      </c>
      <c r="F86" s="22">
        <f>'Balance Shaeet2'!H35</f>
        <v>28102</v>
      </c>
      <c r="G86" s="22">
        <f>'Balance Shaeet2'!I35</f>
        <v>29767</v>
      </c>
      <c r="H86" s="22">
        <f>'Balance Shaeet2'!J35</f>
        <v>34149</v>
      </c>
      <c r="I86" s="22">
        <f>'Balance Shaeet2'!K35</f>
        <v>24285</v>
      </c>
      <c r="J86" s="22">
        <f>'Balance Shaeet2'!L35</f>
        <v>20836</v>
      </c>
      <c r="K86" s="22">
        <f>'Balance Shaeet2'!M35</f>
        <v>21662</v>
      </c>
      <c r="L86" s="22">
        <f>'Balance Shaeet2'!N35</f>
        <v>23944</v>
      </c>
    </row>
    <row r="87" spans="1:13" ht="15.75" thickBot="1" x14ac:dyDescent="0.3">
      <c r="B87" s="30" t="str">
        <f>'Balance Shaeet2'!B36</f>
        <v>Total Assets</v>
      </c>
      <c r="C87" s="37">
        <f>SUM(C78,C79:C80,C82:C86)</f>
        <v>88291</v>
      </c>
      <c r="D87" s="37">
        <f t="shared" ref="D87:L87" si="33">SUM(D78,D79:D80,D82:D86)</f>
        <v>102333</v>
      </c>
      <c r="E87" s="37">
        <f t="shared" si="33"/>
        <v>105126</v>
      </c>
      <c r="F87" s="37">
        <f t="shared" si="33"/>
        <v>113901</v>
      </c>
      <c r="G87" s="37">
        <f t="shared" si="33"/>
        <v>120127</v>
      </c>
      <c r="H87" s="37">
        <f t="shared" si="33"/>
        <v>129992</v>
      </c>
      <c r="I87" s="37">
        <f t="shared" si="33"/>
        <v>140924</v>
      </c>
      <c r="J87" s="37">
        <f t="shared" si="33"/>
        <v>142859</v>
      </c>
      <c r="K87" s="37">
        <f t="shared" si="33"/>
        <v>145472</v>
      </c>
      <c r="L87" s="37">
        <f t="shared" si="33"/>
        <v>158649</v>
      </c>
    </row>
    <row r="89" spans="1:13" x14ac:dyDescent="0.25">
      <c r="B89" s="35" t="s">
        <v>167</v>
      </c>
      <c r="C89" s="35" t="b">
        <f>C87=C63</f>
        <v>1</v>
      </c>
      <c r="D89" s="35" t="b">
        <f t="shared" ref="D89:L89" si="34">D87=D63</f>
        <v>1</v>
      </c>
      <c r="E89" s="35" t="b">
        <f t="shared" si="34"/>
        <v>1</v>
      </c>
      <c r="F89" s="35" t="b">
        <f t="shared" si="34"/>
        <v>1</v>
      </c>
      <c r="G89" s="35" t="b">
        <f t="shared" si="34"/>
        <v>1</v>
      </c>
      <c r="H89" s="35" t="b">
        <f t="shared" si="34"/>
        <v>1</v>
      </c>
      <c r="I89" s="35" t="b">
        <f t="shared" si="34"/>
        <v>1</v>
      </c>
      <c r="J89" s="35" t="b">
        <f t="shared" si="34"/>
        <v>1</v>
      </c>
      <c r="K89" s="35" t="b">
        <f t="shared" si="34"/>
        <v>1</v>
      </c>
      <c r="L89" s="35" t="b">
        <f t="shared" si="34"/>
        <v>1</v>
      </c>
    </row>
    <row r="90" spans="1:13" x14ac:dyDescent="0.25">
      <c r="C90" s="28"/>
    </row>
    <row r="91" spans="1:13" x14ac:dyDescent="0.25">
      <c r="A91" t="s">
        <v>83</v>
      </c>
      <c r="B91" s="32" t="s">
        <v>170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 x14ac:dyDescent="0.25">
      <c r="B92" s="2" t="s">
        <v>171</v>
      </c>
    </row>
    <row r="93" spans="1:13" x14ac:dyDescent="0.25">
      <c r="B93" s="2" t="str">
        <f>'Cash Flow Statement 2'!B4</f>
        <v>Profit from operations</v>
      </c>
      <c r="C93" s="22">
        <f>IFERROR('Cash Flow Statement 2'!E4,0)</f>
        <v>31631</v>
      </c>
      <c r="D93" s="22">
        <f>IFERROR('Cash Flow Statement 2'!F4,0)</f>
        <v>33800</v>
      </c>
      <c r="E93" s="22">
        <f>IFERROR('Cash Flow Statement 2'!G4,0)</f>
        <v>32885</v>
      </c>
      <c r="F93" s="22">
        <f>IFERROR('Cash Flow Statement 2'!H4,0)</f>
        <v>40720</v>
      </c>
      <c r="G93" s="22">
        <f>IFERROR('Cash Flow Statement 2'!I4,0)</f>
        <v>42882</v>
      </c>
      <c r="H93" s="22">
        <f>IFERROR('Cash Flow Statement 2'!J4,0)</f>
        <v>47031</v>
      </c>
      <c r="I93" s="22">
        <f>IFERROR('Cash Flow Statement 2'!K4,0)</f>
        <v>54204</v>
      </c>
      <c r="J93" s="22">
        <f>IFERROR('Cash Flow Statement 2'!L4,0)</f>
        <v>59148</v>
      </c>
      <c r="K93" s="22">
        <f>IFERROR('Cash Flow Statement 2'!M4,0)</f>
        <v>63709</v>
      </c>
      <c r="L93" s="22">
        <f>IFERROR('Cash Flow Statement 2'!N4,0)</f>
        <v>67853</v>
      </c>
    </row>
    <row r="94" spans="1:13" x14ac:dyDescent="0.25">
      <c r="B94" t="str">
        <f>'Cash Flow Statement 2'!B5</f>
        <v>Receivables</v>
      </c>
      <c r="C94" s="22">
        <f>IFERROR('Cash Flow Statement 2'!E5,0)</f>
        <v>-2936</v>
      </c>
      <c r="D94" s="22">
        <f>IFERROR('Cash Flow Statement 2'!F5,0)</f>
        <v>680</v>
      </c>
      <c r="E94" s="22">
        <f>IFERROR('Cash Flow Statement 2'!G5,0)</f>
        <v>-1833</v>
      </c>
      <c r="F94" s="22">
        <f>IFERROR('Cash Flow Statement 2'!H5,0)</f>
        <v>-2883</v>
      </c>
      <c r="G94" s="22">
        <f>IFERROR('Cash Flow Statement 2'!I5,0)</f>
        <v>-3295</v>
      </c>
      <c r="H94" s="22">
        <f>IFERROR('Cash Flow Statement 2'!J5,0)</f>
        <v>1059</v>
      </c>
      <c r="I94" s="22">
        <f>IFERROR('Cash Flow Statement 2'!K5,0)</f>
        <v>-5144</v>
      </c>
      <c r="J94" s="22">
        <f>IFERROR('Cash Flow Statement 2'!L5,0)</f>
        <v>-7683</v>
      </c>
      <c r="K94" s="22">
        <f>IFERROR('Cash Flow Statement 2'!M5,0)</f>
        <v>-3332</v>
      </c>
      <c r="L94" s="22">
        <f>IFERROR('Cash Flow Statement 2'!N5,0)</f>
        <v>-5228</v>
      </c>
    </row>
    <row r="95" spans="1:13" x14ac:dyDescent="0.25">
      <c r="B95" t="str">
        <f>'Cash Flow Statement 2'!B6</f>
        <v>Inventory</v>
      </c>
      <c r="C95" s="22">
        <f>IFERROR('Cash Flow Statement 2'!E6,0)</f>
        <v>0</v>
      </c>
      <c r="D95" s="22">
        <f>IFERROR('Cash Flow Statement 2'!F6,0)</f>
        <v>0</v>
      </c>
      <c r="E95" s="22">
        <f>IFERROR('Cash Flow Statement 2'!G6,0)</f>
        <v>-5</v>
      </c>
      <c r="F95" s="22">
        <f>IFERROR('Cash Flow Statement 2'!H6,0)</f>
        <v>16</v>
      </c>
      <c r="G95" s="22">
        <f>IFERROR('Cash Flow Statement 2'!I6,0)</f>
        <v>5</v>
      </c>
      <c r="H95" s="22">
        <f>IFERROR('Cash Flow Statement 2'!J6,0)</f>
        <v>-3</v>
      </c>
      <c r="I95" s="22">
        <f>IFERROR('Cash Flow Statement 2'!K6,0)</f>
        <v>-12</v>
      </c>
      <c r="J95" s="22">
        <f>IFERROR('Cash Flow Statement 2'!L6,0)</f>
        <v>-8</v>
      </c>
      <c r="K95" s="22">
        <f>IFERROR('Cash Flow Statement 2'!M6,0)</f>
        <v>0</v>
      </c>
      <c r="L95" s="22">
        <f>IFERROR('Cash Flow Statement 2'!N6,0)</f>
        <v>7</v>
      </c>
    </row>
    <row r="96" spans="1:13" x14ac:dyDescent="0.25">
      <c r="B96" t="str">
        <f>'Cash Flow Statement 2'!B7</f>
        <v>Payables</v>
      </c>
      <c r="C96" s="22">
        <f>IFERROR('Cash Flow Statement 2'!E7,0)</f>
        <v>-2039</v>
      </c>
      <c r="D96" s="22">
        <f>IFERROR('Cash Flow Statement 2'!F7,0)</f>
        <v>-201</v>
      </c>
      <c r="E96" s="22">
        <f>IFERROR('Cash Flow Statement 2'!G7,0)</f>
        <v>-346</v>
      </c>
      <c r="F96" s="22">
        <f>IFERROR('Cash Flow Statement 2'!H7,0)</f>
        <v>1496</v>
      </c>
      <c r="G96" s="22">
        <f>IFERROR('Cash Flow Statement 2'!I7,0)</f>
        <v>446</v>
      </c>
      <c r="H96" s="22">
        <f>IFERROR('Cash Flow Statement 2'!J7,0)</f>
        <v>-93</v>
      </c>
      <c r="I96" s="22">
        <f>IFERROR('Cash Flow Statement 2'!K7,0)</f>
        <v>186</v>
      </c>
      <c r="J96" s="22">
        <f>IFERROR('Cash Flow Statement 2'!L7,0)</f>
        <v>2036</v>
      </c>
      <c r="K96" s="22">
        <f>IFERROR('Cash Flow Statement 2'!M7,0)</f>
        <v>-632</v>
      </c>
      <c r="L96" s="22">
        <f>IFERROR('Cash Flow Statement 2'!N7,0)</f>
        <v>3718</v>
      </c>
    </row>
    <row r="97" spans="2:12" x14ac:dyDescent="0.25">
      <c r="B97" t="str">
        <f>'Cash Flow Statement 2'!B8</f>
        <v>Loans Advances</v>
      </c>
      <c r="C97" s="22">
        <f>IFERROR('Cash Flow Statement 2'!E8,0)</f>
        <v>-798</v>
      </c>
      <c r="D97" s="22">
        <f>IFERROR('Cash Flow Statement 2'!F8,0)</f>
        <v>0</v>
      </c>
      <c r="E97" s="22">
        <f>IFERROR('Cash Flow Statement 2'!G8,0)</f>
        <v>0</v>
      </c>
      <c r="F97" s="22">
        <f>IFERROR('Cash Flow Statement 2'!H8,0)</f>
        <v>-499</v>
      </c>
      <c r="G97" s="22">
        <f>IFERROR('Cash Flow Statement 2'!I8,0)</f>
        <v>0</v>
      </c>
      <c r="H97" s="22">
        <f>IFERROR('Cash Flow Statement 2'!J8,0)</f>
        <v>-17</v>
      </c>
      <c r="I97" s="22">
        <f>IFERROR('Cash Flow Statement 2'!K8,0)</f>
        <v>-116</v>
      </c>
      <c r="J97" s="22">
        <f>IFERROR('Cash Flow Statement 2'!L8,0)</f>
        <v>261</v>
      </c>
      <c r="K97" s="22">
        <f>IFERROR('Cash Flow Statement 2'!M8,0)</f>
        <v>-301</v>
      </c>
      <c r="L97" s="22">
        <f>IFERROR('Cash Flow Statement 2'!N8,0)</f>
        <v>-738</v>
      </c>
    </row>
    <row r="98" spans="2:12" x14ac:dyDescent="0.25">
      <c r="B98" t="str">
        <f>'Cash Flow Statement 2'!B9</f>
        <v>Other WC items</v>
      </c>
      <c r="C98" s="22">
        <f>IFERROR('Cash Flow Statement 2'!E9,0)</f>
        <v>829</v>
      </c>
      <c r="D98" s="22">
        <f>IFERROR('Cash Flow Statement 2'!F9,0)</f>
        <v>-1110</v>
      </c>
      <c r="E98" s="22">
        <f>IFERROR('Cash Flow Statement 2'!G9,0)</f>
        <v>1975</v>
      </c>
      <c r="F98" s="22">
        <f>IFERROR('Cash Flow Statement 2'!H9,0)</f>
        <v>-299</v>
      </c>
      <c r="G98" s="22">
        <f>IFERROR('Cash Flow Statement 2'!I9,0)</f>
        <v>-1823</v>
      </c>
      <c r="H98" s="22">
        <f>IFERROR('Cash Flow Statement 2'!J9,0)</f>
        <v>-83</v>
      </c>
      <c r="I98" s="22">
        <f>IFERROR('Cash Flow Statement 2'!K9,0)</f>
        <v>2317</v>
      </c>
      <c r="J98" s="22">
        <f>IFERROR('Cash Flow Statement 2'!L9,0)</f>
        <v>1177</v>
      </c>
      <c r="K98" s="22">
        <f>IFERROR('Cash Flow Statement 2'!M9,0)</f>
        <v>-2617</v>
      </c>
      <c r="L98" s="22">
        <f>IFERROR('Cash Flow Statement 2'!N9,0)</f>
        <v>-1118</v>
      </c>
    </row>
    <row r="99" spans="2:12" x14ac:dyDescent="0.25">
      <c r="B99" s="2" t="str">
        <f>'Cash Flow Statement 2'!B10</f>
        <v>Working capital changes</v>
      </c>
      <c r="C99" s="22">
        <f>IFERROR('Cash Flow Statement 2'!E10,0)</f>
        <v>-4944</v>
      </c>
      <c r="D99" s="22">
        <f>IFERROR('Cash Flow Statement 2'!F10,0)</f>
        <v>-631</v>
      </c>
      <c r="E99" s="22">
        <f>IFERROR('Cash Flow Statement 2'!G10,0)</f>
        <v>-209</v>
      </c>
      <c r="F99" s="22">
        <f>IFERROR('Cash Flow Statement 2'!H10,0)</f>
        <v>-2169</v>
      </c>
      <c r="G99" s="22">
        <f>IFERROR('Cash Flow Statement 2'!I10,0)</f>
        <v>-4667</v>
      </c>
      <c r="H99" s="22">
        <f>IFERROR('Cash Flow Statement 2'!J10,0)</f>
        <v>863</v>
      </c>
      <c r="I99" s="22">
        <f>IFERROR('Cash Flow Statement 2'!K10,0)</f>
        <v>-2769</v>
      </c>
      <c r="J99" s="22">
        <f>IFERROR('Cash Flow Statement 2'!L10,0)</f>
        <v>-4217</v>
      </c>
      <c r="K99" s="22">
        <f>IFERROR('Cash Flow Statement 2'!M10,0)</f>
        <v>-6882</v>
      </c>
      <c r="L99" s="22">
        <f>IFERROR('Cash Flow Statement 2'!N10,0)</f>
        <v>-3359</v>
      </c>
    </row>
    <row r="100" spans="2:12" x14ac:dyDescent="0.25">
      <c r="B100" t="str">
        <f>'Cash Flow Statement 2'!B11</f>
        <v>Direct taxes</v>
      </c>
      <c r="C100" s="22">
        <f>IFERROR('Cash Flow Statement 2'!E11,0)</f>
        <v>-7578</v>
      </c>
      <c r="D100" s="22">
        <f>IFERROR('Cash Flow Statement 2'!F11,0)</f>
        <v>-7946</v>
      </c>
      <c r="E100" s="22">
        <f>IFERROR('Cash Flow Statement 2'!G11,0)</f>
        <v>-7609</v>
      </c>
      <c r="F100" s="22">
        <f>IFERROR('Cash Flow Statement 2'!H11,0)</f>
        <v>-9958</v>
      </c>
      <c r="G100" s="22">
        <f>IFERROR('Cash Flow Statement 2'!I11,0)</f>
        <v>-5846</v>
      </c>
      <c r="H100" s="22">
        <f>IFERROR('Cash Flow Statement 2'!J11,0)</f>
        <v>-9092</v>
      </c>
      <c r="I100" s="22">
        <f>IFERROR('Cash Flow Statement 2'!K11,0)</f>
        <v>-11486</v>
      </c>
      <c r="J100" s="22">
        <f>IFERROR('Cash Flow Statement 2'!L11,0)</f>
        <v>-12966</v>
      </c>
      <c r="K100" s="22">
        <f>IFERROR('Cash Flow Statement 2'!M11,0)</f>
        <v>-12489</v>
      </c>
      <c r="L100" s="22">
        <f>IFERROR('Cash Flow Statement 2'!N11,0)</f>
        <v>-15586</v>
      </c>
    </row>
    <row r="101" spans="2:12" ht="15.75" thickBot="1" x14ac:dyDescent="0.3">
      <c r="B101" s="2" t="s">
        <v>172</v>
      </c>
      <c r="C101" s="37">
        <f>SUM(C93,C99,C100)</f>
        <v>19109</v>
      </c>
      <c r="D101" s="37">
        <f t="shared" ref="D101:L101" si="35">SUM(D93,D99,D100)</f>
        <v>25223</v>
      </c>
      <c r="E101" s="37">
        <f t="shared" si="35"/>
        <v>25067</v>
      </c>
      <c r="F101" s="37">
        <f t="shared" si="35"/>
        <v>28593</v>
      </c>
      <c r="G101" s="37">
        <f t="shared" si="35"/>
        <v>32369</v>
      </c>
      <c r="H101" s="37">
        <f t="shared" si="35"/>
        <v>38802</v>
      </c>
      <c r="I101" s="37">
        <f t="shared" si="35"/>
        <v>39949</v>
      </c>
      <c r="J101" s="37">
        <f t="shared" si="35"/>
        <v>41965</v>
      </c>
      <c r="K101" s="37">
        <f t="shared" si="35"/>
        <v>44338</v>
      </c>
      <c r="L101" s="37">
        <f t="shared" si="35"/>
        <v>48908</v>
      </c>
    </row>
    <row r="102" spans="2:12" x14ac:dyDescent="0.25">
      <c r="B102" s="2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 x14ac:dyDescent="0.25">
      <c r="B103" s="2" t="s">
        <v>173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2:12" x14ac:dyDescent="0.25">
      <c r="B104" t="str">
        <f>'Cash Flow Statement 2'!B13</f>
        <v>Fixed assets purchased</v>
      </c>
      <c r="C104" s="23">
        <f>IFERROR('Cash Flow Statement 2'!E13,0)</f>
        <v>-1987</v>
      </c>
      <c r="D104" s="23">
        <f>IFERROR('Cash Flow Statement 2'!F13,0)</f>
        <v>-1989</v>
      </c>
      <c r="E104" s="23">
        <f>IFERROR('Cash Flow Statement 2'!G13,0)</f>
        <v>-1862</v>
      </c>
      <c r="F104" s="23">
        <f>IFERROR('Cash Flow Statement 2'!H13,0)</f>
        <v>-2231</v>
      </c>
      <c r="G104" s="23">
        <f>IFERROR('Cash Flow Statement 2'!I13,0)</f>
        <v>-3249</v>
      </c>
      <c r="H104" s="23">
        <f>IFERROR('Cash Flow Statement 2'!J13,0)</f>
        <v>-3176</v>
      </c>
      <c r="I104" s="23">
        <f>IFERROR('Cash Flow Statement 2'!K13,0)</f>
        <v>-2995</v>
      </c>
      <c r="J104" s="23">
        <f>IFERROR('Cash Flow Statement 2'!L13,0)</f>
        <v>-3100</v>
      </c>
      <c r="K104" s="23">
        <f>IFERROR('Cash Flow Statement 2'!M13,0)</f>
        <v>-2674</v>
      </c>
      <c r="L104" s="23">
        <f>IFERROR('Cash Flow Statement 2'!N13,0)</f>
        <v>-3937</v>
      </c>
    </row>
    <row r="105" spans="2:12" x14ac:dyDescent="0.25">
      <c r="B105" t="str">
        <f>'Cash Flow Statement 2'!B14</f>
        <v>Fixed assets sold</v>
      </c>
      <c r="C105" s="22">
        <f>IFERROR('Cash Flow Statement 2'!E14,0)</f>
        <v>22</v>
      </c>
      <c r="D105" s="22">
        <f>IFERROR('Cash Flow Statement 2'!F14,0)</f>
        <v>36</v>
      </c>
      <c r="E105" s="22">
        <f>IFERROR('Cash Flow Statement 2'!G14,0)</f>
        <v>58</v>
      </c>
      <c r="F105" s="22">
        <f>IFERROR('Cash Flow Statement 2'!H14,0)</f>
        <v>99</v>
      </c>
      <c r="G105" s="22">
        <f>IFERROR('Cash Flow Statement 2'!I14,0)</f>
        <v>161</v>
      </c>
      <c r="H105" s="22">
        <f>IFERROR('Cash Flow Statement 2'!J14,0)</f>
        <v>37</v>
      </c>
      <c r="I105" s="22">
        <f>IFERROR('Cash Flow Statement 2'!K14,0)</f>
        <v>31</v>
      </c>
      <c r="J105" s="22">
        <f>IFERROR('Cash Flow Statement 2'!L14,0)</f>
        <v>37</v>
      </c>
      <c r="K105" s="22">
        <f>IFERROR('Cash Flow Statement 2'!M14,0)</f>
        <v>24</v>
      </c>
      <c r="L105" s="22">
        <f>IFERROR('Cash Flow Statement 2'!N14,0)</f>
        <v>23</v>
      </c>
    </row>
    <row r="106" spans="2:12" x14ac:dyDescent="0.25">
      <c r="B106" t="str">
        <f>'Cash Flow Statement 2'!B15</f>
        <v>Investments purchased</v>
      </c>
      <c r="C106" s="22">
        <f>IFERROR('Cash Flow Statement 2'!E15,0)</f>
        <v>-116847</v>
      </c>
      <c r="D106" s="22">
        <f>IFERROR('Cash Flow Statement 2'!F15,0)</f>
        <v>-121423</v>
      </c>
      <c r="E106" s="22">
        <f>IFERROR('Cash Flow Statement 2'!G15,0)</f>
        <v>-97473</v>
      </c>
      <c r="F106" s="22">
        <f>IFERROR('Cash Flow Statement 2'!H15,0)</f>
        <v>-96751</v>
      </c>
      <c r="G106" s="22">
        <f>IFERROR('Cash Flow Statement 2'!I15,0)</f>
        <v>-80002</v>
      </c>
      <c r="H106" s="22">
        <f>IFERROR('Cash Flow Statement 2'!J15,0)</f>
        <v>-54462</v>
      </c>
      <c r="I106" s="22">
        <f>IFERROR('Cash Flow Statement 2'!K15,0)</f>
        <v>-75374</v>
      </c>
      <c r="J106" s="22">
        <f>IFERROR('Cash Flow Statement 2'!L15,0)</f>
        <v>-129745</v>
      </c>
      <c r="K106" s="22">
        <f>IFERROR('Cash Flow Statement 2'!M15,0)</f>
        <v>-141011</v>
      </c>
      <c r="L106" s="22">
        <f>IFERROR('Cash Flow Statement 2'!N15,0)</f>
        <v>-145962</v>
      </c>
    </row>
    <row r="107" spans="2:12" x14ac:dyDescent="0.25">
      <c r="B107" t="str">
        <f>'Cash Flow Statement 2'!B16</f>
        <v>Investments sold</v>
      </c>
      <c r="C107" s="22">
        <f>IFERROR('Cash Flow Statement 2'!E16,0)</f>
        <v>97154</v>
      </c>
      <c r="D107" s="22">
        <f>IFERROR('Cash Flow Statement 2'!F16,0)</f>
        <v>102798</v>
      </c>
      <c r="E107" s="22">
        <f>IFERROR('Cash Flow Statement 2'!G16,0)</f>
        <v>103482</v>
      </c>
      <c r="F107" s="22">
        <f>IFERROR('Cash Flow Statement 2'!H16,0)</f>
        <v>104133</v>
      </c>
      <c r="G107" s="22">
        <f>IFERROR('Cash Flow Statement 2'!I16,0)</f>
        <v>84089</v>
      </c>
      <c r="H107" s="22">
        <f>IFERROR('Cash Flow Statement 2'!J16,0)</f>
        <v>51630</v>
      </c>
      <c r="I107" s="22">
        <f>IFERROR('Cash Flow Statement 2'!K16,0)</f>
        <v>73852</v>
      </c>
      <c r="J107" s="22">
        <f>IFERROR('Cash Flow Statement 2'!L16,0)</f>
        <v>122687</v>
      </c>
      <c r="K107" s="22">
        <f>IFERROR('Cash Flow Statement 2'!M16,0)</f>
        <v>147204</v>
      </c>
      <c r="L107" s="22">
        <f>IFERROR('Cash Flow Statement 2'!N16,0)</f>
        <v>147695</v>
      </c>
    </row>
    <row r="108" spans="2:12" x14ac:dyDescent="0.25">
      <c r="B108" t="str">
        <f>'Cash Flow Statement 2'!B17</f>
        <v>Interest received</v>
      </c>
      <c r="C108" s="22">
        <f>IFERROR('Cash Flow Statement 2'!E17,0)</f>
        <v>1816</v>
      </c>
      <c r="D108" s="22">
        <f>IFERROR('Cash Flow Statement 2'!F17,0)</f>
        <v>1788</v>
      </c>
      <c r="E108" s="22">
        <f>IFERROR('Cash Flow Statement 2'!G17,0)</f>
        <v>2623</v>
      </c>
      <c r="F108" s="22">
        <f>IFERROR('Cash Flow Statement 2'!H17,0)</f>
        <v>2619</v>
      </c>
      <c r="G108" s="22">
        <f>IFERROR('Cash Flow Statement 2'!I17,0)</f>
        <v>3729</v>
      </c>
      <c r="H108" s="22">
        <f>IFERROR('Cash Flow Statement 2'!J17,0)</f>
        <v>2730</v>
      </c>
      <c r="I108" s="22">
        <f>IFERROR('Cash Flow Statement 2'!K17,0)</f>
        <v>2700</v>
      </c>
      <c r="J108" s="22">
        <f>IFERROR('Cash Flow Statement 2'!L17,0)</f>
        <v>3080</v>
      </c>
      <c r="K108" s="22">
        <f>IFERROR('Cash Flow Statement 2'!M17,0)</f>
        <v>2990</v>
      </c>
      <c r="L108" s="22">
        <f>IFERROR('Cash Flow Statement 2'!N17,0)</f>
        <v>3056</v>
      </c>
    </row>
    <row r="109" spans="2:12" x14ac:dyDescent="0.25">
      <c r="B109" t="str">
        <f>'Cash Flow Statement 2'!B18</f>
        <v>Dividends received</v>
      </c>
      <c r="C109" s="22">
        <f>IFERROR('Cash Flow Statement 2'!E18,0)</f>
        <v>11</v>
      </c>
      <c r="D109" s="22">
        <f>IFERROR('Cash Flow Statement 2'!F18,0)</f>
        <v>1</v>
      </c>
      <c r="E109" s="22">
        <f>IFERROR('Cash Flow Statement 2'!G18,0)</f>
        <v>9</v>
      </c>
      <c r="F109" s="22">
        <f>IFERROR('Cash Flow Statement 2'!H18,0)</f>
        <v>18</v>
      </c>
      <c r="G109" s="22">
        <f>IFERROR('Cash Flow Statement 2'!I18,0)</f>
        <v>8</v>
      </c>
      <c r="H109" s="22">
        <f>IFERROR('Cash Flow Statement 2'!J18,0)</f>
        <v>8</v>
      </c>
      <c r="I109" s="22">
        <f>IFERROR('Cash Flow Statement 2'!K18,0)</f>
        <v>4</v>
      </c>
      <c r="J109" s="22">
        <f>IFERROR('Cash Flow Statement 2'!L18,0)</f>
        <v>13</v>
      </c>
      <c r="K109" s="22">
        <f>IFERROR('Cash Flow Statement 2'!M18,0)</f>
        <v>26</v>
      </c>
      <c r="L109" s="22">
        <f>IFERROR('Cash Flow Statement 2'!N18,0)</f>
        <v>40</v>
      </c>
    </row>
    <row r="110" spans="2:12" x14ac:dyDescent="0.25">
      <c r="B110" t="str">
        <f>'Cash Flow Statement 2'!B19</f>
        <v>Acquisition of companies</v>
      </c>
      <c r="C110" s="22">
        <f>IFERROR('Cash Flow Statement 2'!E19,0)</f>
        <v>0</v>
      </c>
      <c r="D110" s="22">
        <f>IFERROR('Cash Flow Statement 2'!F19,0)</f>
        <v>0</v>
      </c>
      <c r="E110" s="22">
        <f>IFERROR('Cash Flow Statement 2'!G19,0)</f>
        <v>0</v>
      </c>
      <c r="F110" s="22">
        <f>IFERROR('Cash Flow Statement 2'!H19,0)</f>
        <v>-50</v>
      </c>
      <c r="G110" s="22">
        <f>IFERROR('Cash Flow Statement 2'!I19,0)</f>
        <v>0</v>
      </c>
      <c r="H110" s="22">
        <f>IFERROR('Cash Flow Statement 2'!J19,0)</f>
        <v>0</v>
      </c>
      <c r="I110" s="22">
        <f>IFERROR('Cash Flow Statement 2'!K19,0)</f>
        <v>0</v>
      </c>
      <c r="J110" s="22">
        <f>IFERROR('Cash Flow Statement 2'!L19,0)</f>
        <v>0</v>
      </c>
      <c r="K110" s="22">
        <f>IFERROR('Cash Flow Statement 2'!M19,0)</f>
        <v>0</v>
      </c>
      <c r="L110" s="22">
        <f>IFERROR('Cash Flow Statement 2'!N19,0)</f>
        <v>0</v>
      </c>
    </row>
    <row r="111" spans="2:12" x14ac:dyDescent="0.25">
      <c r="B111" t="str">
        <f>'Cash Flow Statement 2'!B20</f>
        <v>Inter corporate deposits</v>
      </c>
      <c r="C111" s="22">
        <f>IFERROR('Cash Flow Statement 2'!E20,0)</f>
        <v>-1460</v>
      </c>
      <c r="D111" s="22">
        <f>IFERROR('Cash Flow Statement 2'!F20,0)</f>
        <v>1619</v>
      </c>
      <c r="E111" s="22">
        <f>IFERROR('Cash Flow Statement 2'!G20,0)</f>
        <v>-2230</v>
      </c>
      <c r="F111" s="22">
        <f>IFERROR('Cash Flow Statement 2'!H20,0)</f>
        <v>-2927</v>
      </c>
      <c r="G111" s="22">
        <f>IFERROR('Cash Flow Statement 2'!I20,0)</f>
        <v>-473</v>
      </c>
      <c r="H111" s="22">
        <f>IFERROR('Cash Flow Statement 2'!J20,0)</f>
        <v>-3058</v>
      </c>
      <c r="I111" s="22">
        <f>IFERROR('Cash Flow Statement 2'!K20,0)</f>
        <v>4879</v>
      </c>
      <c r="J111" s="22">
        <f>IFERROR('Cash Flow Statement 2'!L20,0)</f>
        <v>5361</v>
      </c>
      <c r="K111" s="22">
        <f>IFERROR('Cash Flow Statement 2'!M20,0)</f>
        <v>846</v>
      </c>
      <c r="L111" s="22">
        <f>IFERROR('Cash Flow Statement 2'!N20,0)</f>
        <v>170</v>
      </c>
    </row>
    <row r="112" spans="2:12" x14ac:dyDescent="0.25">
      <c r="B112" t="str">
        <f>'Cash Flow Statement 2'!B21</f>
        <v>Other investing items</v>
      </c>
      <c r="C112" s="22">
        <f>IFERROR('Cash Flow Statement 2'!E21,0)</f>
        <v>16281</v>
      </c>
      <c r="D112" s="22">
        <f>IFERROR('Cash Flow Statement 2'!F21,0)</f>
        <v>275</v>
      </c>
      <c r="E112" s="22">
        <f>IFERROR('Cash Flow Statement 2'!G21,0)</f>
        <v>-1503</v>
      </c>
      <c r="F112" s="22">
        <f>IFERROR('Cash Flow Statement 2'!H21,0)</f>
        <v>-3265</v>
      </c>
      <c r="G112" s="22">
        <f>IFERROR('Cash Flow Statement 2'!I21,0)</f>
        <v>4705</v>
      </c>
      <c r="H112" s="22">
        <f>IFERROR('Cash Flow Statement 2'!J21,0)</f>
        <v>-1665</v>
      </c>
      <c r="I112" s="22">
        <f>IFERROR('Cash Flow Statement 2'!K21,0)</f>
        <v>-3835</v>
      </c>
      <c r="J112" s="22">
        <f>IFERROR('Cash Flow Statement 2'!L21,0)</f>
        <v>2215</v>
      </c>
      <c r="K112" s="22">
        <f>IFERROR('Cash Flow Statement 2'!M21,0)</f>
        <v>-1314</v>
      </c>
      <c r="L112" s="22">
        <f>IFERROR('Cash Flow Statement 2'!N21,0)</f>
        <v>-3229</v>
      </c>
    </row>
    <row r="113" spans="2:12" ht="15.75" thickBot="1" x14ac:dyDescent="0.3">
      <c r="B113" s="2" t="s">
        <v>174</v>
      </c>
      <c r="C113" s="37">
        <f>SUM(C104:C112)</f>
        <v>-5010</v>
      </c>
      <c r="D113" s="37">
        <f t="shared" ref="D113:L113" si="36">SUM(D104:D112)</f>
        <v>-16895</v>
      </c>
      <c r="E113" s="37">
        <f t="shared" si="36"/>
        <v>3104</v>
      </c>
      <c r="F113" s="37">
        <f t="shared" si="36"/>
        <v>1645</v>
      </c>
      <c r="G113" s="37">
        <f t="shared" si="36"/>
        <v>8968</v>
      </c>
      <c r="H113" s="37">
        <f t="shared" si="36"/>
        <v>-7956</v>
      </c>
      <c r="I113" s="37">
        <f t="shared" si="36"/>
        <v>-738</v>
      </c>
      <c r="J113" s="37">
        <f t="shared" si="36"/>
        <v>548</v>
      </c>
      <c r="K113" s="37">
        <f t="shared" si="36"/>
        <v>6091</v>
      </c>
      <c r="L113" s="37">
        <f t="shared" si="36"/>
        <v>-2144</v>
      </c>
    </row>
    <row r="114" spans="2:12" x14ac:dyDescent="0.25"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2:12" x14ac:dyDescent="0.25">
      <c r="B115" s="2" t="s">
        <v>175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2:12" x14ac:dyDescent="0.25">
      <c r="B116" t="str">
        <f>'Cash Flow Statement 2'!B23</f>
        <v>Proceeds from shares</v>
      </c>
      <c r="C116" s="22">
        <f>IFERROR('Cash Flow Statement 2'!E23,0)</f>
        <v>2</v>
      </c>
      <c r="D116" s="22">
        <f>IFERROR('Cash Flow Statement 2'!F23,0)</f>
        <v>0</v>
      </c>
      <c r="E116" s="22">
        <f>IFERROR('Cash Flow Statement 2'!G23,0)</f>
        <v>0</v>
      </c>
      <c r="F116" s="22">
        <f>IFERROR('Cash Flow Statement 2'!H23,0)</f>
        <v>0</v>
      </c>
      <c r="G116" s="22">
        <f>IFERROR('Cash Flow Statement 2'!I23,0)</f>
        <v>0</v>
      </c>
      <c r="H116" s="22">
        <f>IFERROR('Cash Flow Statement 2'!J23,0)</f>
        <v>0</v>
      </c>
      <c r="I116" s="22">
        <f>IFERROR('Cash Flow Statement 2'!K23,0)</f>
        <v>0</v>
      </c>
      <c r="J116" s="22">
        <f>IFERROR('Cash Flow Statement 2'!L23,0)</f>
        <v>18</v>
      </c>
      <c r="K116" s="22">
        <f>IFERROR('Cash Flow Statement 2'!M23,0)</f>
        <v>425</v>
      </c>
      <c r="L116" s="22">
        <f>IFERROR('Cash Flow Statement 2'!N23,0)</f>
        <v>0</v>
      </c>
    </row>
    <row r="117" spans="2:12" x14ac:dyDescent="0.25">
      <c r="B117" t="str">
        <f>'Cash Flow Statement 2'!B24</f>
        <v>Proceeds from borrowings</v>
      </c>
      <c r="C117" s="22">
        <f>IFERROR('Cash Flow Statement 2'!E24,0)</f>
        <v>0</v>
      </c>
      <c r="D117" s="22">
        <f>IFERROR('Cash Flow Statement 2'!F24,0)</f>
        <v>87</v>
      </c>
      <c r="E117" s="22">
        <f>IFERROR('Cash Flow Statement 2'!G24,0)</f>
        <v>0</v>
      </c>
      <c r="F117" s="22">
        <f>IFERROR('Cash Flow Statement 2'!H24,0)</f>
        <v>0</v>
      </c>
      <c r="G117" s="22">
        <f>IFERROR('Cash Flow Statement 2'!I24,0)</f>
        <v>0</v>
      </c>
      <c r="H117" s="22">
        <f>IFERROR('Cash Flow Statement 2'!J24,0)</f>
        <v>0</v>
      </c>
      <c r="I117" s="22">
        <f>IFERROR('Cash Flow Statement 2'!K24,0)</f>
        <v>0</v>
      </c>
      <c r="J117" s="22">
        <f>IFERROR('Cash Flow Statement 2'!L24,0)</f>
        <v>0</v>
      </c>
      <c r="K117" s="22">
        <f>IFERROR('Cash Flow Statement 2'!M24,0)</f>
        <v>0</v>
      </c>
      <c r="L117" s="22">
        <f>IFERROR('Cash Flow Statement 2'!N24,0)</f>
        <v>0</v>
      </c>
    </row>
    <row r="118" spans="2:12" x14ac:dyDescent="0.25">
      <c r="B118" t="str">
        <f>'Cash Flow Statement 2'!B25</f>
        <v>Repayment of borrowings</v>
      </c>
      <c r="C118" s="22">
        <f>IFERROR('Cash Flow Statement 2'!E25,0)</f>
        <v>-73</v>
      </c>
      <c r="D118" s="22">
        <f>IFERROR('Cash Flow Statement 2'!F25,0)</f>
        <v>0</v>
      </c>
      <c r="E118" s="22">
        <f>IFERROR('Cash Flow Statement 2'!G25,0)</f>
        <v>-19</v>
      </c>
      <c r="F118" s="22">
        <f>IFERROR('Cash Flow Statement 2'!H25,0)</f>
        <v>-181</v>
      </c>
      <c r="G118" s="22">
        <f>IFERROR('Cash Flow Statement 2'!I25,0)</f>
        <v>0</v>
      </c>
      <c r="H118" s="22">
        <f>IFERROR('Cash Flow Statement 2'!J25,0)</f>
        <v>0</v>
      </c>
      <c r="I118" s="22">
        <f>IFERROR('Cash Flow Statement 2'!K25,0)</f>
        <v>0</v>
      </c>
      <c r="J118" s="22">
        <f>IFERROR('Cash Flow Statement 2'!L25,0)</f>
        <v>0</v>
      </c>
      <c r="K118" s="22">
        <f>IFERROR('Cash Flow Statement 2'!M25,0)</f>
        <v>0</v>
      </c>
      <c r="L118" s="22">
        <f>IFERROR('Cash Flow Statement 2'!N25,0)</f>
        <v>0</v>
      </c>
    </row>
    <row r="119" spans="2:12" x14ac:dyDescent="0.25">
      <c r="B119" t="str">
        <f>'Cash Flow Statement 2'!B26</f>
        <v>Interest paid fin</v>
      </c>
      <c r="C119" s="22">
        <f>IFERROR('Cash Flow Statement 2'!E26,0)</f>
        <v>-20</v>
      </c>
      <c r="D119" s="22">
        <f>IFERROR('Cash Flow Statement 2'!F26,0)</f>
        <v>-20</v>
      </c>
      <c r="E119" s="22">
        <f>IFERROR('Cash Flow Statement 2'!G26,0)</f>
        <v>-40</v>
      </c>
      <c r="F119" s="22">
        <f>IFERROR('Cash Flow Statement 2'!H26,0)</f>
        <v>-186</v>
      </c>
      <c r="G119" s="22">
        <f>IFERROR('Cash Flow Statement 2'!I26,0)</f>
        <v>-924</v>
      </c>
      <c r="H119" s="22">
        <f>IFERROR('Cash Flow Statement 2'!J26,0)</f>
        <v>-634</v>
      </c>
      <c r="I119" s="22">
        <f>IFERROR('Cash Flow Statement 2'!K26,0)</f>
        <v>-698</v>
      </c>
      <c r="J119" s="22">
        <f>IFERROR('Cash Flow Statement 2'!L26,0)</f>
        <v>-779</v>
      </c>
      <c r="K119" s="22">
        <f>IFERROR('Cash Flow Statement 2'!M26,0)</f>
        <v>-699</v>
      </c>
      <c r="L119" s="22">
        <f>IFERROR('Cash Flow Statement 2'!N26,0)</f>
        <v>-840</v>
      </c>
    </row>
    <row r="120" spans="2:12" x14ac:dyDescent="0.25">
      <c r="B120" t="str">
        <f>'Cash Flow Statement 2'!B27</f>
        <v>Dividends paid</v>
      </c>
      <c r="C120" s="22">
        <f>IFERROR('Cash Flow Statement 2'!E27,0)</f>
        <v>-9515</v>
      </c>
      <c r="D120" s="22">
        <f>IFERROR('Cash Flow Statement 2'!F27,0)</f>
        <v>-10973</v>
      </c>
      <c r="E120" s="22">
        <f>IFERROR('Cash Flow Statement 2'!G27,0)</f>
        <v>-10760</v>
      </c>
      <c r="F120" s="22">
        <f>IFERROR('Cash Flow Statement 2'!H27,0)</f>
        <v>-11472</v>
      </c>
      <c r="G120" s="22">
        <f>IFERROR('Cash Flow Statement 2'!I27,0)</f>
        <v>-37702</v>
      </c>
      <c r="H120" s="22">
        <f>IFERROR('Cash Flow Statement 2'!J27,0)</f>
        <v>-10907</v>
      </c>
      <c r="I120" s="22">
        <f>IFERROR('Cash Flow Statement 2'!K27,0)</f>
        <v>-13375</v>
      </c>
      <c r="J120" s="22">
        <f>IFERROR('Cash Flow Statement 2'!L27,0)</f>
        <v>-41410</v>
      </c>
      <c r="K120" s="22">
        <f>IFERROR('Cash Flow Statement 2'!M27,0)</f>
        <v>-25218</v>
      </c>
      <c r="L120" s="22">
        <f>IFERROR('Cash Flow Statement 2'!N27,0)</f>
        <v>-44962</v>
      </c>
    </row>
    <row r="121" spans="2:12" x14ac:dyDescent="0.25">
      <c r="B121" t="str">
        <f>'Cash Flow Statement 2'!B28</f>
        <v>Financial liabilities</v>
      </c>
      <c r="C121" s="22">
        <f>IFERROR('Cash Flow Statement 2'!E28,0)</f>
        <v>-60</v>
      </c>
      <c r="D121" s="22">
        <f>IFERROR('Cash Flow Statement 2'!F28,0)</f>
        <v>-66</v>
      </c>
      <c r="E121" s="22">
        <f>IFERROR('Cash Flow Statement 2'!G28,0)</f>
        <v>-24</v>
      </c>
      <c r="F121" s="22">
        <f>IFERROR('Cash Flow Statement 2'!H28,0)</f>
        <v>-13</v>
      </c>
      <c r="G121" s="22">
        <f>IFERROR('Cash Flow Statement 2'!I28,0)</f>
        <v>-1062</v>
      </c>
      <c r="H121" s="22">
        <f>IFERROR('Cash Flow Statement 2'!J28,0)</f>
        <v>-1336</v>
      </c>
      <c r="I121" s="22">
        <f>IFERROR('Cash Flow Statement 2'!K28,0)</f>
        <v>-1417</v>
      </c>
      <c r="J121" s="22">
        <f>IFERROR('Cash Flow Statement 2'!L28,0)</f>
        <v>-1515</v>
      </c>
      <c r="K121" s="22">
        <f>IFERROR('Cash Flow Statement 2'!M28,0)</f>
        <v>-1614</v>
      </c>
      <c r="L121" s="22">
        <f>IFERROR('Cash Flow Statement 2'!N28,0)</f>
        <v>-1664</v>
      </c>
    </row>
    <row r="122" spans="2:12" x14ac:dyDescent="0.25">
      <c r="B122" t="str">
        <f>'Cash Flow Statement 2'!B29</f>
        <v>Other financing items</v>
      </c>
      <c r="C122" s="22">
        <f>IFERROR('Cash Flow Statement 2'!E29,0)</f>
        <v>0</v>
      </c>
      <c r="D122" s="22">
        <f>IFERROR('Cash Flow Statement 2'!F29,0)</f>
        <v>-54</v>
      </c>
      <c r="E122" s="22">
        <f>IFERROR('Cash Flow Statement 2'!G29,0)</f>
        <v>-16042</v>
      </c>
      <c r="F122" s="22">
        <f>IFERROR('Cash Flow Statement 2'!H29,0)</f>
        <v>-16045</v>
      </c>
      <c r="G122" s="22">
        <f>IFERROR('Cash Flow Statement 2'!I29,0)</f>
        <v>-227</v>
      </c>
      <c r="H122" s="22">
        <f>IFERROR('Cash Flow Statement 2'!J29,0)</f>
        <v>-19757</v>
      </c>
      <c r="I122" s="22">
        <f>IFERROR('Cash Flow Statement 2'!K29,0)</f>
        <v>-18091</v>
      </c>
      <c r="J122" s="22">
        <f>IFERROR('Cash Flow Statement 2'!L29,0)</f>
        <v>-4192</v>
      </c>
      <c r="K122" s="22">
        <f>IFERROR('Cash Flow Statement 2'!M29,0)</f>
        <v>-21430</v>
      </c>
      <c r="L122" s="22">
        <f>IFERROR('Cash Flow Statement 2'!N29,0)</f>
        <v>28</v>
      </c>
    </row>
    <row r="123" spans="2:12" ht="15.75" thickBot="1" x14ac:dyDescent="0.3">
      <c r="B123" s="2" t="s">
        <v>176</v>
      </c>
      <c r="C123" s="37">
        <f>SUM(C116:C122)</f>
        <v>-9666</v>
      </c>
      <c r="D123" s="37">
        <f t="shared" ref="D123:L123" si="37">SUM(D116:D122)</f>
        <v>-11026</v>
      </c>
      <c r="E123" s="37">
        <f t="shared" si="37"/>
        <v>-26885</v>
      </c>
      <c r="F123" s="37">
        <f t="shared" si="37"/>
        <v>-27897</v>
      </c>
      <c r="G123" s="37">
        <f t="shared" si="37"/>
        <v>-39915</v>
      </c>
      <c r="H123" s="37">
        <f t="shared" si="37"/>
        <v>-32634</v>
      </c>
      <c r="I123" s="37">
        <f t="shared" si="37"/>
        <v>-33581</v>
      </c>
      <c r="J123" s="37">
        <f t="shared" si="37"/>
        <v>-47878</v>
      </c>
      <c r="K123" s="37">
        <f t="shared" si="37"/>
        <v>-48536</v>
      </c>
      <c r="L123" s="37">
        <f t="shared" si="37"/>
        <v>-47438</v>
      </c>
    </row>
    <row r="124" spans="2:12" x14ac:dyDescent="0.25">
      <c r="B124" s="2"/>
    </row>
    <row r="125" spans="2:12" ht="15.75" thickBot="1" x14ac:dyDescent="0.3">
      <c r="B125" s="30" t="str">
        <f>'Cash Flow Statement 2'!B30</f>
        <v>Net Cash Flow</v>
      </c>
      <c r="C125" s="38">
        <f>C101+C113+C123</f>
        <v>4433</v>
      </c>
      <c r="D125" s="38">
        <f t="shared" ref="D125:L125" si="38">D101+D113+D123</f>
        <v>-2698</v>
      </c>
      <c r="E125" s="38">
        <f t="shared" si="38"/>
        <v>1286</v>
      </c>
      <c r="F125" s="38">
        <f t="shared" si="38"/>
        <v>2341</v>
      </c>
      <c r="G125" s="38">
        <f t="shared" si="38"/>
        <v>1422</v>
      </c>
      <c r="H125" s="38">
        <f t="shared" si="38"/>
        <v>-1788</v>
      </c>
      <c r="I125" s="38">
        <f t="shared" si="38"/>
        <v>5630</v>
      </c>
      <c r="J125" s="38">
        <f t="shared" si="38"/>
        <v>-5365</v>
      </c>
      <c r="K125" s="38">
        <f t="shared" si="38"/>
        <v>1893</v>
      </c>
      <c r="L125" s="38">
        <f t="shared" si="38"/>
        <v>-674</v>
      </c>
    </row>
  </sheetData>
  <mergeCells count="1">
    <mergeCell ref="B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5E4B-BA60-4FDB-9A23-C7B491111FD8}">
  <sheetPr>
    <tabColor rgb="FF0275D8"/>
  </sheetPr>
  <dimension ref="A2:N4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RowHeight="15" x14ac:dyDescent="0.25"/>
  <cols>
    <col min="1" max="1" width="1.85546875" customWidth="1"/>
    <col min="2" max="2" width="27.7109375" customWidth="1"/>
    <col min="3" max="3" width="20.42578125" bestFit="1" customWidth="1"/>
    <col min="13" max="13" width="10.140625" bestFit="1" customWidth="1"/>
  </cols>
  <sheetData>
    <row r="2" spans="1:14" x14ac:dyDescent="0.25">
      <c r="B2" s="76" t="str">
        <f>"Ratio Analysis - "&amp;'Data Sheet'!B1</f>
        <v>Ratio Analysis - TATA CONSULTANCY SERVICES LTD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33"/>
      <c r="N2" s="33"/>
    </row>
    <row r="3" spans="1:14" x14ac:dyDescent="0.25">
      <c r="B3" s="32" t="s">
        <v>113</v>
      </c>
      <c r="C3" s="33">
        <f>'Data Sheet'!B16</f>
        <v>42460</v>
      </c>
      <c r="D3" s="33">
        <f>'Data Sheet'!C16</f>
        <v>42825</v>
      </c>
      <c r="E3" s="33">
        <f>'Data Sheet'!D16</f>
        <v>43190</v>
      </c>
      <c r="F3" s="33">
        <f>'Data Sheet'!E16</f>
        <v>43555</v>
      </c>
      <c r="G3" s="33">
        <f>'Data Sheet'!F16</f>
        <v>43921</v>
      </c>
      <c r="H3" s="33">
        <f>'Data Sheet'!G16</f>
        <v>44286</v>
      </c>
      <c r="I3" s="33">
        <f>'Data Sheet'!H16</f>
        <v>44651</v>
      </c>
      <c r="J3" s="33">
        <f>'Data Sheet'!I16</f>
        <v>45016</v>
      </c>
      <c r="K3" s="33">
        <f>'Data Sheet'!J16</f>
        <v>45382</v>
      </c>
      <c r="L3" s="33">
        <f>'Data Sheet'!K16</f>
        <v>45747</v>
      </c>
      <c r="M3" s="33" t="s">
        <v>207</v>
      </c>
      <c r="N3" s="33" t="s">
        <v>208</v>
      </c>
    </row>
    <row r="4" spans="1:14" x14ac:dyDescent="0.25">
      <c r="M4" s="45"/>
      <c r="N4" s="45"/>
    </row>
    <row r="5" spans="1:14" x14ac:dyDescent="0.25">
      <c r="A5" t="s">
        <v>83</v>
      </c>
      <c r="B5" s="26" t="s">
        <v>177</v>
      </c>
      <c r="M5" s="45"/>
      <c r="N5" s="45"/>
    </row>
    <row r="6" spans="1:14" x14ac:dyDescent="0.25">
      <c r="B6" t="s">
        <v>135</v>
      </c>
      <c r="D6" s="24">
        <f>IFERROR('Historical Financial Statement'!D6/'Historical Financial Statement'!C6-1,0)</f>
        <v>8.578318575925481E-2</v>
      </c>
      <c r="E6" s="24">
        <f>IFERROR('Historical Financial Statement'!E6/'Historical Financial Statement'!D6-1,0)</f>
        <v>4.3554922604818413E-2</v>
      </c>
      <c r="F6" s="24">
        <f>IFERROR('Historical Financial Statement'!F6/'Historical Financial Statement'!E6-1,0)</f>
        <v>0.18975012997140639</v>
      </c>
      <c r="G6" s="24">
        <f>IFERROR('Historical Financial Statement'!G6/'Historical Financial Statement'!F6-1,0)</f>
        <v>7.1594873790650215E-2</v>
      </c>
      <c r="H6" s="24">
        <f>IFERROR('Historical Financial Statement'!H6/'Historical Financial Statement'!G6-1,0)</f>
        <v>4.6053176509566862E-2</v>
      </c>
      <c r="I6" s="24">
        <f>IFERROR('Historical Financial Statement'!I6/'Historical Financial Statement'!H6-1,0)</f>
        <v>0.1679711530847805</v>
      </c>
      <c r="J6" s="24">
        <f>IFERROR('Historical Financial Statement'!J6/'Historical Financial Statement'!I6-1,0)</f>
        <v>0.17576686796624852</v>
      </c>
      <c r="K6" s="24">
        <f>IFERROR('Historical Financial Statement'!K6/'Historical Financial Statement'!J6-1,0)</f>
        <v>6.8460644554639849E-2</v>
      </c>
      <c r="L6" s="24">
        <f>IFERROR('Historical Financial Statement'!L6/'Historical Financial Statement'!K6-1,0)</f>
        <v>5.9906265437351891E-2</v>
      </c>
      <c r="M6" s="49">
        <f>AVERAGE(D6:L6)</f>
        <v>0.10098235774207971</v>
      </c>
      <c r="N6" s="49">
        <f>MEDIAN(D6:L6)</f>
        <v>7.1594873790650215E-2</v>
      </c>
    </row>
    <row r="7" spans="1:14" x14ac:dyDescent="0.25">
      <c r="B7" t="s">
        <v>178</v>
      </c>
      <c r="D7" s="24">
        <f>'Historical Financial Statement'!D9/'Historical Financial Statement'!C9-1</f>
        <v>0.11239834941901616</v>
      </c>
      <c r="E7" s="24">
        <f>'Historical Financial Statement'!E9/'Historical Financial Statement'!D9-1</f>
        <v>7.2436325257259959E-2</v>
      </c>
      <c r="F7" s="24">
        <f>'Historical Financial Statement'!F9/'Historical Financial Statement'!E9-1</f>
        <v>0.16527729535718416</v>
      </c>
      <c r="G7" s="24">
        <f>'Historical Financial Statement'!G9/'Historical Financial Statement'!F9-1</f>
        <v>9.1174424959014289E-2</v>
      </c>
      <c r="H7" s="24">
        <f>'Historical Financial Statement'!H9/'Historical Financial Statement'!G9-1</f>
        <v>6.1679775089065192E-2</v>
      </c>
      <c r="I7" s="24">
        <f>'Historical Financial Statement'!I9/'Historical Financial Statement'!H9-1</f>
        <v>0.16554097517046196</v>
      </c>
      <c r="J7" s="24">
        <f>'Historical Financial Statement'!J9/'Historical Financial Statement'!I9-1</f>
        <v>0.19027383021974487</v>
      </c>
      <c r="K7" s="24">
        <f>'Historical Financial Statement'!K9/'Historical Financial Statement'!J9-1</f>
        <v>0.11151209786480987</v>
      </c>
      <c r="L7" s="24">
        <f>'Historical Financial Statement'!L9/'Historical Financial Statement'!K9-1</f>
        <v>9.4574958458768066E-2</v>
      </c>
      <c r="M7" s="49">
        <f t="shared" ref="M7:M42" si="0">AVERAGE(D7:L7)</f>
        <v>0.1183186701994805</v>
      </c>
      <c r="N7" s="49">
        <f t="shared" ref="N7:N42" si="1">MEDIAN(D7:L7)</f>
        <v>0.11151209786480987</v>
      </c>
    </row>
    <row r="8" spans="1:14" x14ac:dyDescent="0.25">
      <c r="B8" t="s">
        <v>179</v>
      </c>
      <c r="D8" s="24">
        <f>'Historical Financial Statement'!D18/'Historical Financial Statement'!C18-1</f>
        <v>5.3264660820810272E-2</v>
      </c>
      <c r="E8" s="24">
        <f>'Historical Financial Statement'!E18/'Historical Financial Statement'!D18-1</f>
        <v>6.3445885302217953E-3</v>
      </c>
      <c r="F8" s="24">
        <f>'Historical Financial Statement'!F18/'Historical Financial Statement'!E18-1</f>
        <v>0.21497109115512369</v>
      </c>
      <c r="G8" s="24">
        <f>'Historical Financial Statement'!G18/'Historical Financial Statement'!F18-1</f>
        <v>6.5888725763175282E-2</v>
      </c>
      <c r="H8" s="24">
        <f>'Historical Financial Statement'!H18/'Historical Financial Statement'!G18-1</f>
        <v>0.10536939846588611</v>
      </c>
      <c r="I8" s="24">
        <f>'Historical Financial Statement'!I18/'Historical Financial Statement'!H18-1</f>
        <v>0.13988312636961275</v>
      </c>
      <c r="J8" s="24">
        <f>'Historical Financial Statement'!J18/'Historical Financial Statement'!I18-1</f>
        <v>0.11689315264715305</v>
      </c>
      <c r="K8" s="24">
        <f>'Historical Financial Statement'!K18/'Historical Financial Statement'!J18-1</f>
        <v>8.4999746873892557E-2</v>
      </c>
      <c r="L8" s="24">
        <f>'Historical Financial Statement'!L18/'Historical Financial Statement'!K18-1</f>
        <v>4.8385591638671066E-2</v>
      </c>
      <c r="M8" s="49">
        <f t="shared" si="0"/>
        <v>9.2888898029394068E-2</v>
      </c>
      <c r="N8" s="49">
        <f t="shared" si="1"/>
        <v>8.4999746873892557E-2</v>
      </c>
    </row>
    <row r="9" spans="1:14" x14ac:dyDescent="0.25">
      <c r="B9" t="s">
        <v>180</v>
      </c>
      <c r="D9" s="24">
        <f>IFERROR('Historical Financial Statement'!D24/'Historical Financial Statement'!C24-1,0)</f>
        <v>5.3318975997777018E-2</v>
      </c>
      <c r="E9" s="24">
        <f>IFERROR('Historical Financial Statement'!E24/'Historical Financial Statement'!D24-1,0)</f>
        <v>5.8699380029019199E-3</v>
      </c>
      <c r="F9" s="24">
        <f>IFERROR('Historical Financial Statement'!F24/'Historical Financial Statement'!E24-1,0)</f>
        <v>0.22778834174808216</v>
      </c>
      <c r="G9" s="24">
        <f>IFERROR('Historical Financial Statement'!G24/'Historical Financial Statement'!F24-1,0)</f>
        <v>3.0173564753003923E-2</v>
      </c>
      <c r="H9" s="24">
        <f>IFERROR('Historical Financial Statement'!H24/'Historical Financial Statement'!G24-1,0)</f>
        <v>0.10111456713322964</v>
      </c>
      <c r="I9" s="24">
        <f>IFERROR('Historical Financial Statement'!I24/'Historical Financial Statement'!H24-1,0)</f>
        <v>0.14058049480944423</v>
      </c>
      <c r="J9" s="24">
        <f>IFERROR('Historical Financial Statement'!J24/'Historical Financial Statement'!I24-1,0)</f>
        <v>0.11937341341093433</v>
      </c>
      <c r="K9" s="24">
        <f>IFERROR('Historical Financial Statement'!K24/'Historical Financial Statement'!J24-1,0)</f>
        <v>9.3552371996976191E-2</v>
      </c>
      <c r="L9" s="24">
        <f>IFERROR('Historical Financial Statement'!L24/'Historical Financial Statement'!K24-1,0)</f>
        <v>4.8119235892161605E-2</v>
      </c>
      <c r="M9" s="49">
        <f t="shared" si="0"/>
        <v>9.1098989304945671E-2</v>
      </c>
      <c r="N9" s="49">
        <f t="shared" si="1"/>
        <v>9.3552371996976191E-2</v>
      </c>
    </row>
    <row r="10" spans="1:14" x14ac:dyDescent="0.25">
      <c r="B10" t="s">
        <v>181</v>
      </c>
      <c r="D10" s="24">
        <f>IFERROR('Historical Financial Statement'!D31/'Historical Financial Statement'!C31-1,0)</f>
        <v>8.3951005025125536E-2</v>
      </c>
      <c r="E10" s="24">
        <f>IFERROR('Historical Financial Statement'!E31/'Historical Financial Statement'!D31-1,0)</f>
        <v>-1.2198302089067914E-2</v>
      </c>
      <c r="F10" s="24">
        <f>IFERROR('Historical Financial Statement'!F31/'Historical Financial Statement'!E31-1,0)</f>
        <v>0.21914232077906837</v>
      </c>
      <c r="G10" s="24">
        <f>IFERROR('Historical Financial Statement'!G31/'Historical Financial Statement'!F31-1,0)</f>
        <v>1.6481004739792526E-2</v>
      </c>
      <c r="H10" s="24">
        <f>IFERROR('Historical Financial Statement'!H31/'Historical Financial Statement'!G31-1,0)</f>
        <v>3.5788676387047857E-2</v>
      </c>
      <c r="I10" s="24">
        <f>IFERROR('Historical Financial Statement'!I31/'Historical Financial Statement'!H31-1,0)</f>
        <v>0.18114716636197437</v>
      </c>
      <c r="J10" s="24">
        <f>IFERROR('Historical Financial Statement'!J31/'Historical Financial Statement'!I31-1,0)</f>
        <v>0.10099251262406406</v>
      </c>
      <c r="K10" s="24">
        <f>IFERROR('Historical Financial Statement'!K31/'Historical Financial Statement'!J31-1,0)</f>
        <v>8.94441808564852E-2</v>
      </c>
      <c r="L10" s="24">
        <f>IFERROR('Historical Financial Statement'!L31/'Historical Financial Statement'!K31-1,0)</f>
        <v>5.3776795651402587E-2</v>
      </c>
      <c r="M10" s="49">
        <f t="shared" si="0"/>
        <v>8.539170670398806E-2</v>
      </c>
      <c r="N10" s="49">
        <f t="shared" si="1"/>
        <v>8.3951005025125536E-2</v>
      </c>
    </row>
    <row r="11" spans="1:14" x14ac:dyDescent="0.25">
      <c r="B11" t="s">
        <v>182</v>
      </c>
      <c r="D11" s="24">
        <f>IFERROR('Historical Financial Statement'!D36/'Historical Financial Statement'!C36-1,0)</f>
        <v>8.2956693236913459E-2</v>
      </c>
      <c r="E11" s="24">
        <f>IFERROR('Historical Financial Statement'!E36/'Historical Financial Statement'!D36-1,0)</f>
        <v>-1.8097659065902771E-2</v>
      </c>
      <c r="F11" s="24">
        <f>IFERROR('Historical Financial Statement'!F36/'Historical Financial Statement'!E36-1,0)</f>
        <v>0.21955177743431231</v>
      </c>
      <c r="G11" s="24">
        <f>IFERROR('Historical Financial Statement'!G36/'Historical Financial Statement'!F36-1,0)</f>
        <v>2.804004815917871E-2</v>
      </c>
      <c r="H11" s="24">
        <f>IFERROR('Historical Financial Statement'!H36/'Historical Financial Statement'!G36-1,0)</f>
        <v>3.5442413782476034E-3</v>
      </c>
      <c r="I11" s="24">
        <f>IFERROR('Historical Financial Statement'!I36/'Historical Financial Statement'!H36-1,0)</f>
        <v>0.18079356304895278</v>
      </c>
      <c r="J11" s="24">
        <f>IFERROR('Historical Financial Statement'!J36/'Historical Financial Statement'!I36-1,0)</f>
        <v>0.10023667715675311</v>
      </c>
      <c r="K11" s="24">
        <f>IFERROR('Historical Financial Statement'!K36/'Historical Financial Statement'!J36-1,0)</f>
        <v>8.9733588634375749E-2</v>
      </c>
      <c r="L11" s="24">
        <f>IFERROR('Historical Financial Statement'!L36/'Historical Financial Statement'!K36-1,0)</f>
        <v>5.8526215319204322E-2</v>
      </c>
      <c r="M11" s="49">
        <f t="shared" si="0"/>
        <v>8.2809460589115036E-2</v>
      </c>
      <c r="N11" s="49">
        <f t="shared" si="1"/>
        <v>8.2956693236913459E-2</v>
      </c>
    </row>
    <row r="12" spans="1:14" x14ac:dyDescent="0.25">
      <c r="B12" t="s">
        <v>183</v>
      </c>
      <c r="D12" s="24">
        <f>IFERROR('Historical Financial Statement'!D41/'Historical Financial Statement'!C41-1,0)</f>
        <v>8.2956693236913459E-2</v>
      </c>
      <c r="E12" s="24">
        <f>IFERROR('Historical Financial Statement'!E41/'Historical Financial Statement'!D41-1,0)</f>
        <v>1.0703373396850679E-2</v>
      </c>
      <c r="F12" s="24">
        <f>IFERROR('Historical Financial Statement'!F41/'Historical Financial Statement'!E41-1,0)</f>
        <v>0.24431721966874753</v>
      </c>
      <c r="G12" s="24">
        <f>IFERROR('Historical Financial Statement'!G41/'Historical Financial Statement'!F41-1,0)</f>
        <v>2.804004815917871E-2</v>
      </c>
      <c r="H12" s="24">
        <f>IFERROR('Historical Financial Statement'!H41/'Historical Financial Statement'!G41-1,0)</f>
        <v>1.8004220309733698E-2</v>
      </c>
      <c r="I12" s="24">
        <f>IFERROR('Historical Financial Statement'!I41/'Historical Financial Statement'!H41-1,0)</f>
        <v>0.19370158483626621</v>
      </c>
      <c r="J12" s="24">
        <f>IFERROR('Historical Financial Statement'!J41/'Historical Financial Statement'!I41-1,0)</f>
        <v>0.10023667715675311</v>
      </c>
      <c r="K12" s="24">
        <f>IFERROR('Historical Financial Statement'!K41/'Historical Financial Statement'!J41-1,0)</f>
        <v>0.10208235653299935</v>
      </c>
      <c r="L12" s="24">
        <f>IFERROR('Historical Financial Statement'!L41/'Historical Financial Statement'!K41-1,0)</f>
        <v>5.8526215319204322E-2</v>
      </c>
      <c r="M12" s="49">
        <f t="shared" si="0"/>
        <v>9.3174265401849671E-2</v>
      </c>
      <c r="N12" s="49">
        <f t="shared" si="1"/>
        <v>8.2956693236913459E-2</v>
      </c>
    </row>
    <row r="13" spans="1:14" x14ac:dyDescent="0.25">
      <c r="B13" t="s">
        <v>184</v>
      </c>
      <c r="D13" s="24">
        <f>IFERROR('Historical Financial Statement'!D44/'Historical Financial Statement'!C44-1,0)</f>
        <v>8.0459770114942541E-2</v>
      </c>
      <c r="E13" s="24">
        <f>IFERROR('Historical Financial Statement'!E44/'Historical Financial Statement'!D44-1,0)</f>
        <v>6.1682618509651066E-2</v>
      </c>
      <c r="F13" s="24">
        <f>IFERROR('Historical Financial Statement'!F44/'Historical Financial Statement'!E44-1,0)</f>
        <v>0.20193233398687682</v>
      </c>
      <c r="G13" s="24">
        <f>IFERROR('Historical Financial Statement'!G44/'Historical Financial Statement'!F44-1,0)</f>
        <v>1.4333333333333331</v>
      </c>
      <c r="H13" s="24">
        <f>IFERROR('Historical Financial Statement'!H44/'Historical Financial Statement'!G44-1,0)</f>
        <v>-0.4789921724758669</v>
      </c>
      <c r="I13" s="24">
        <f>IFERROR('Historical Financial Statement'!I44/'Historical Financial Statement'!H44-1,0)</f>
        <v>0.13158195629338221</v>
      </c>
      <c r="J13" s="24">
        <f>IFERROR('Historical Financial Statement'!J44/'Historical Financial Statement'!I44-1,0)</f>
        <v>1.6744186046511627</v>
      </c>
      <c r="K13" s="24">
        <f>IFERROR('Historical Financial Statement'!K44/'Historical Financial Statement'!J44-1,0)</f>
        <v>-0.36504021920516316</v>
      </c>
      <c r="L13" s="24">
        <f>IFERROR('Historical Financial Statement'!L44/'Historical Financial Statement'!K44-1,0)</f>
        <v>0.72602739726027399</v>
      </c>
      <c r="M13" s="49">
        <f t="shared" si="0"/>
        <v>0.3850448469409547</v>
      </c>
      <c r="N13" s="49">
        <f t="shared" si="1"/>
        <v>0.13158195629338221</v>
      </c>
    </row>
    <row r="14" spans="1:14" x14ac:dyDescent="0.25">
      <c r="M14" s="49"/>
      <c r="N14" s="49"/>
    </row>
    <row r="15" spans="1:14" x14ac:dyDescent="0.25">
      <c r="A15" t="s">
        <v>83</v>
      </c>
      <c r="B15" s="26" t="s">
        <v>185</v>
      </c>
      <c r="M15" s="49"/>
      <c r="N15" s="49"/>
    </row>
    <row r="16" spans="1:14" x14ac:dyDescent="0.25">
      <c r="B16" t="s">
        <v>186</v>
      </c>
      <c r="C16" s="24">
        <f>SUM('Historical Financial Statement'!C54:C57)/SUM('Historical Financial Statement'!C51:C52)</f>
        <v>3.4472084646555608E-3</v>
      </c>
      <c r="D16" s="24">
        <f>SUM('Historical Financial Statement'!D54:D57)/SUM('Historical Financial Statement'!D51:D52)</f>
        <v>3.3521237850001159E-3</v>
      </c>
      <c r="E16" s="24">
        <f>SUM('Historical Financial Statement'!E54:E57)/SUM('Historical Financial Statement'!E51:E52)</f>
        <v>2.9015130156940139E-3</v>
      </c>
      <c r="F16" s="24">
        <f>SUM('Historical Financial Statement'!F54:F57)/SUM('Historical Financial Statement'!F51:F52)</f>
        <v>6.9315564698253698E-4</v>
      </c>
      <c r="G16" s="24">
        <f>SUM('Historical Financial Statement'!G54:G57)/SUM('Historical Financial Statement'!G51:G52)</f>
        <v>9.716377814231035E-2</v>
      </c>
      <c r="H16" s="24">
        <f>SUM('Historical Financial Statement'!H54:H57)/SUM('Historical Financial Statement'!H51:H52)</f>
        <v>9.0185461571390554E-2</v>
      </c>
      <c r="I16" s="24">
        <f>SUM('Historical Financial Statement'!I54:I57)/SUM('Historical Financial Statement'!I51:I52)</f>
        <v>8.7705718035876554E-2</v>
      </c>
      <c r="J16" s="24">
        <f>SUM('Historical Financial Statement'!J54:J57)/SUM('Historical Financial Statement'!J51:J52)</f>
        <v>8.5021675661328858E-2</v>
      </c>
      <c r="K16" s="24">
        <f>SUM('Historical Financial Statement'!K54:K57)/SUM('Historical Financial Statement'!K51:K52)</f>
        <v>8.8640608250726602E-2</v>
      </c>
      <c r="L16" s="24">
        <f>SUM('Historical Financial Statement'!L54:L57)/SUM('Historical Financial Statement'!L51:L52)</f>
        <v>9.9117733969352861E-2</v>
      </c>
      <c r="M16" s="49">
        <f t="shared" si="0"/>
        <v>6.1642418675406936E-2</v>
      </c>
      <c r="N16" s="49">
        <f t="shared" si="1"/>
        <v>8.7705718035876554E-2</v>
      </c>
    </row>
    <row r="17" spans="1:14" x14ac:dyDescent="0.25">
      <c r="B17" t="s">
        <v>187</v>
      </c>
      <c r="C17" s="24">
        <f>SUM('Historical Financial Statement'!C54:C57)/'Historical Financial Statement'!C87</f>
        <v>2.7749147704749068E-3</v>
      </c>
      <c r="D17" s="24">
        <f>SUM('Historical Financial Statement'!D54:D57)/'Historical Financial Statement'!D87</f>
        <v>2.8241134335942461E-3</v>
      </c>
      <c r="E17" s="24">
        <f>SUM('Historical Financial Statement'!E54:E57)/'Historical Financial Statement'!E87</f>
        <v>2.3495614786066244E-3</v>
      </c>
      <c r="F17" s="24">
        <f>SUM('Historical Financial Statement'!F54:F57)/'Historical Financial Statement'!F87</f>
        <v>5.4433235880281994E-4</v>
      </c>
      <c r="G17" s="24">
        <f>SUM('Historical Financial Statement'!G54:G57)/'Historical Financial Statement'!G87</f>
        <v>6.8044652742514172E-2</v>
      </c>
      <c r="H17" s="24">
        <f>SUM('Historical Financial Statement'!H54:H57)/'Historical Financial Statement'!H87</f>
        <v>5.9965228629454123E-2</v>
      </c>
      <c r="I17" s="24">
        <f>SUM('Historical Financial Statement'!I54:I57)/'Historical Financial Statement'!I87</f>
        <v>5.5476710851238967E-2</v>
      </c>
      <c r="J17" s="24">
        <f>SUM('Historical Financial Statement'!J54:J57)/'Historical Financial Statement'!J87</f>
        <v>5.3815300401094786E-2</v>
      </c>
      <c r="K17" s="24">
        <f>SUM('Historical Financial Statement'!K54:K57)/'Historical Financial Statement'!K87</f>
        <v>5.5137758468983722E-2</v>
      </c>
      <c r="L17" s="24">
        <f>SUM('Historical Financial Statement'!L54:L57)/'Historical Financial Statement'!L87</f>
        <v>5.9199868892964976E-2</v>
      </c>
      <c r="M17" s="49">
        <f t="shared" si="0"/>
        <v>3.970639191747271E-2</v>
      </c>
      <c r="N17" s="49">
        <f t="shared" si="1"/>
        <v>5.5137758468983722E-2</v>
      </c>
    </row>
    <row r="18" spans="1:14" x14ac:dyDescent="0.25">
      <c r="B18" t="s">
        <v>188</v>
      </c>
      <c r="C18" s="24">
        <f>SUM('Historical Financial Statement'!C54:C57)/SUM('Historical Financial Statement'!C51:C52,'Historical Financial Statement'!C54:C57)</f>
        <v>3.4353660417572249E-3</v>
      </c>
      <c r="D18" s="24">
        <f>SUM('Historical Financial Statement'!D54:D57)/SUM('Historical Financial Statement'!D51:D52,'Historical Financial Statement'!D54:D57)</f>
        <v>3.3409245922106749E-3</v>
      </c>
      <c r="E18" s="24">
        <f>SUM('Historical Financial Statement'!E54:E57)/SUM('Historical Financial Statement'!E51:E52,'Historical Financial Statement'!E54:E57)</f>
        <v>2.8931185944363106E-3</v>
      </c>
      <c r="F18" s="24">
        <f>SUM('Historical Financial Statement'!F54:F57)/SUM('Historical Financial Statement'!F51:F52,'Historical Financial Statement'!F54:F57)</f>
        <v>6.9267551503776202E-4</v>
      </c>
      <c r="G18" s="24">
        <f>SUM('Historical Financial Statement'!G54:G57)/SUM('Historical Financial Statement'!G51:G52,'Historical Financial Statement'!G54:G57)</f>
        <v>8.8559046587215598E-2</v>
      </c>
      <c r="H18" s="24">
        <f>SUM('Historical Financial Statement'!H54:H57)/SUM('Historical Financial Statement'!H51:H52,'Historical Financial Statement'!H54:H57)</f>
        <v>8.2724880078108423E-2</v>
      </c>
      <c r="I18" s="24">
        <f>SUM('Historical Financial Statement'!I54:I57)/SUM('Historical Financial Statement'!I51:I52,'Historical Financial Statement'!I54:I57)</f>
        <v>8.063368297286426E-2</v>
      </c>
      <c r="J18" s="24">
        <f>SUM('Historical Financial Statement'!J54:J57)/SUM('Historical Financial Statement'!J51:J52,'Historical Financial Statement'!J54:J57)</f>
        <v>7.8359425962165691E-2</v>
      </c>
      <c r="K18" s="24">
        <f>SUM('Historical Financial Statement'!K54:K57)/SUM('Historical Financial Statement'!K51:K52,'Historical Financial Statement'!K54:K57)</f>
        <v>8.1423205765912096E-2</v>
      </c>
      <c r="L18" s="24">
        <f>SUM('Historical Financial Statement'!L54:L57)/SUM('Historical Financial Statement'!L51:L52,'Historical Financial Statement'!L54:L57)</f>
        <v>9.0179360141337331E-2</v>
      </c>
      <c r="M18" s="49">
        <f t="shared" si="0"/>
        <v>5.6534035578809795E-2</v>
      </c>
      <c r="N18" s="49">
        <f t="shared" si="1"/>
        <v>8.063368297286426E-2</v>
      </c>
    </row>
    <row r="19" spans="1:14" x14ac:dyDescent="0.25">
      <c r="M19" s="49"/>
      <c r="N19" s="49"/>
    </row>
    <row r="20" spans="1:14" x14ac:dyDescent="0.25">
      <c r="A20" t="s">
        <v>83</v>
      </c>
      <c r="B20" s="26" t="s">
        <v>189</v>
      </c>
      <c r="M20" s="49"/>
      <c r="N20" s="49"/>
    </row>
    <row r="21" spans="1:14" x14ac:dyDescent="0.25">
      <c r="B21" t="s">
        <v>193</v>
      </c>
      <c r="C21" s="24">
        <f>IFERROR('Historical Financial Statement'!C13,0)</f>
        <v>0.46690168068773819</v>
      </c>
      <c r="D21" s="24">
        <f>IFERROR('Historical Financial Statement'!D13,0)</f>
        <v>0.45383415560415713</v>
      </c>
      <c r="E21" s="24">
        <f>IFERROR('Historical Financial Statement'!E13,0)</f>
        <v>0.4387184819339745</v>
      </c>
      <c r="F21" s="24">
        <f>IFERROR('Historical Financial Statement'!F13,0)</f>
        <v>0.45026388917337484</v>
      </c>
      <c r="G21" s="24">
        <f>IFERROR('Historical Financial Statement'!G13,0)</f>
        <v>0.4402194343385431</v>
      </c>
      <c r="H21" s="24">
        <f>IFERROR('Historical Financial Statement'!H13,0)</f>
        <v>0.43185708107713017</v>
      </c>
      <c r="I21" s="24">
        <f>IFERROR('Historical Financial Statement'!I13,0)</f>
        <v>0.43303920648330674</v>
      </c>
      <c r="J21" s="24">
        <f>IFERROR('Historical Financial Statement'!J13,0)</f>
        <v>0.42604387513417136</v>
      </c>
      <c r="K21" s="24">
        <f>IFERROR('Historical Financial Statement'!K13,0)</f>
        <v>0.40291747788437188</v>
      </c>
      <c r="L21" s="24">
        <f>IFERROR('Historical Financial Statement'!L13,0)</f>
        <v>0.38338738230640285</v>
      </c>
      <c r="M21" s="49">
        <f t="shared" si="0"/>
        <v>0.4289201093261592</v>
      </c>
      <c r="N21" s="49">
        <f t="shared" si="1"/>
        <v>0.43303920648330674</v>
      </c>
    </row>
    <row r="22" spans="1:14" x14ac:dyDescent="0.25">
      <c r="B22" t="s">
        <v>190</v>
      </c>
      <c r="C22" s="24">
        <f>IFERROR('Historical Financial Statement'!C19,0)</f>
        <v>0.28235738085157303</v>
      </c>
      <c r="D22" s="24">
        <f>IFERROR('Historical Financial Statement'!D19,0)</f>
        <v>0.27390095451231711</v>
      </c>
      <c r="E22" s="24">
        <f>IFERROR('Historical Financial Statement'!E19,0)</f>
        <v>0.26413439043410447</v>
      </c>
      <c r="F22" s="24">
        <f>IFERROR('Historical Financial Statement'!F19,0)</f>
        <v>0.26973365286795981</v>
      </c>
      <c r="G22" s="24">
        <f>IFERROR('Historical Financial Statement'!G19,0)</f>
        <v>0.26829734499741953</v>
      </c>
      <c r="H22" s="24">
        <f>IFERROR('Historical Financial Statement'!H19,0)</f>
        <v>0.28351108864213626</v>
      </c>
      <c r="I22" s="24">
        <f>IFERROR('Historical Financial Statement'!I19,0)</f>
        <v>0.27669305464292793</v>
      </c>
      <c r="J22" s="24">
        <f>IFERROR('Historical Financial Statement'!J19,0)</f>
        <v>0.26283831134845514</v>
      </c>
      <c r="K22" s="24">
        <f>IFERROR('Historical Financial Statement'!K19,0)</f>
        <v>0.26690688396923118</v>
      </c>
      <c r="L22" s="24">
        <f>IFERROR('Historical Financial Statement'!L19,0)</f>
        <v>0.26400573389105608</v>
      </c>
      <c r="M22" s="49">
        <f t="shared" si="0"/>
        <v>0.27000237947840078</v>
      </c>
      <c r="N22" s="49">
        <f t="shared" si="1"/>
        <v>0.26829734499741953</v>
      </c>
    </row>
    <row r="23" spans="1:14" x14ac:dyDescent="0.25">
      <c r="B23" t="s">
        <v>191</v>
      </c>
      <c r="C23" s="24">
        <f>IFERROR('Historical Financial Statement'!C25,0)</f>
        <v>0.26497984279218745</v>
      </c>
      <c r="D23" s="24">
        <f>IFERROR('Historical Financial Statement'!D25,0)</f>
        <v>0.25705711815268806</v>
      </c>
      <c r="E23" s="24">
        <f>IFERROR('Historical Financial Statement'!E25,0)</f>
        <v>0.24777423966727319</v>
      </c>
      <c r="F23" s="24">
        <f>IFERROR('Historical Financial Statement'!F25,0)</f>
        <v>0.2556959778237507</v>
      </c>
      <c r="G23" s="24">
        <f>IFERROR('Historical Financial Statement'!G25,0)</f>
        <v>0.24581233394287316</v>
      </c>
      <c r="H23" s="24">
        <f>IFERROR('Historical Financial Statement'!H25,0)</f>
        <v>0.25875122581116722</v>
      </c>
      <c r="I23" s="24">
        <f>IFERROR('Historical Financial Statement'!I25,0)</f>
        <v>0.25268312525423198</v>
      </c>
      <c r="J23" s="24">
        <f>IFERROR('Historical Financial Statement'!J25,0)</f>
        <v>0.24056365265370933</v>
      </c>
      <c r="K23" s="24">
        <f>IFERROR('Historical Financial Statement'!K25,0)</f>
        <v>0.24621304894704288</v>
      </c>
      <c r="L23" s="24">
        <f>IFERROR('Historical Financial Statement'!L25,0)</f>
        <v>0.24347495730914445</v>
      </c>
      <c r="M23" s="49">
        <f t="shared" si="0"/>
        <v>0.24978063106243123</v>
      </c>
      <c r="N23" s="49">
        <f t="shared" si="1"/>
        <v>0.24777423966727319</v>
      </c>
    </row>
    <row r="24" spans="1:14" x14ac:dyDescent="0.25">
      <c r="B24" t="s">
        <v>192</v>
      </c>
      <c r="C24" s="24">
        <f>IFERROR('Historical Financial Statement'!C37,0)</f>
        <v>0.22401192864900688</v>
      </c>
      <c r="D24" s="24">
        <f>IFERROR('Historical Financial Statement'!D37,0)</f>
        <v>0.22342878456504417</v>
      </c>
      <c r="E24" s="24">
        <f>IFERROR('Historical Financial Statement'!E37,0)</f>
        <v>0.21022874967507149</v>
      </c>
      <c r="F24" s="24">
        <f>IFERROR('Historical Financial Statement'!F37,0)</f>
        <v>0.21549469831971216</v>
      </c>
      <c r="G24" s="24">
        <f>IFERROR('Historical Financial Statement'!G37,0)</f>
        <v>0.20673594607165385</v>
      </c>
      <c r="H24" s="24">
        <f>IFERROR('Historical Financial Statement'!H37,0)</f>
        <v>0.19833472410873632</v>
      </c>
      <c r="I24" s="24">
        <f>IFERROR('Historical Financial Statement'!I37,0)</f>
        <v>0.20051211448001086</v>
      </c>
      <c r="J24" s="24">
        <f>IFERROR('Historical Financial Statement'!J37,0)</f>
        <v>0.18763139919630265</v>
      </c>
      <c r="K24" s="24">
        <f>IFERROR('Historical Financial Statement'!K37,0)</f>
        <v>0.19136712150207769</v>
      </c>
      <c r="L24" s="24">
        <f>IFERROR('Historical Financial Statement'!L37,0)</f>
        <v>0.19111795209224358</v>
      </c>
      <c r="M24" s="49">
        <f t="shared" si="0"/>
        <v>0.2027612766678725</v>
      </c>
      <c r="N24" s="49">
        <f t="shared" si="1"/>
        <v>0.20051211448001086</v>
      </c>
    </row>
    <row r="25" spans="1:14" x14ac:dyDescent="0.25">
      <c r="M25" s="49"/>
      <c r="N25" s="49"/>
    </row>
    <row r="26" spans="1:14" x14ac:dyDescent="0.25">
      <c r="A26" t="s">
        <v>83</v>
      </c>
      <c r="B26" s="26" t="s">
        <v>194</v>
      </c>
      <c r="M26" s="49"/>
      <c r="N26" s="49"/>
    </row>
    <row r="27" spans="1:14" x14ac:dyDescent="0.25">
      <c r="B27" t="s">
        <v>195</v>
      </c>
      <c r="C27" s="24">
        <f>'Historical Financial Statement'!C24/SUM('Historical Financial Statement'!C51:C52,'Historical Financial Statement'!C54:C57)</f>
        <v>0.40367654275979081</v>
      </c>
      <c r="D27" s="24">
        <f>'Historical Financial Statement'!D24/SUM('Historical Financial Statement'!D51:D52,'Historical Financial Statement'!D54:D57)</f>
        <v>0.35055431603528203</v>
      </c>
      <c r="E27" s="24">
        <f>'Historical Financial Statement'!E24/SUM('Historical Financial Statement'!E51:E52,'Historical Financial Statement'!E54:E57)</f>
        <v>0.35727086383601758</v>
      </c>
      <c r="F27" s="24">
        <f>'Historical Financial Statement'!F24/SUM('Historical Financial Statement'!F51:F52,'Historical Financial Statement'!F54:F57)</f>
        <v>0.41839835545426107</v>
      </c>
      <c r="G27" s="24">
        <f>'Historical Financial Statement'!G24/SUM('Historical Financial Statement'!G51:G52,'Historical Financial Statement'!G54:G57)</f>
        <v>0.41798483206933912</v>
      </c>
      <c r="H27" s="24">
        <f>'Historical Financial Statement'!H24/SUM('Historical Financial Statement'!H51:H52,'Historical Financial Statement'!H54:H57)</f>
        <v>0.4508320244513308</v>
      </c>
      <c r="I27" s="24">
        <f>'Historical Financial Statement'!I24/SUM('Historical Financial Statement'!I51:I52,'Historical Financial Statement'!I54:I57)</f>
        <v>0.4997369968130202</v>
      </c>
      <c r="J27" s="24">
        <f>'Historical Financial Statement'!J24/SUM('Historical Financial Statement'!J51:J52,'Historical Financial Statement'!J54:J57)</f>
        <v>0.55280699608610573</v>
      </c>
      <c r="K27" s="24">
        <f>'Historical Financial Statement'!K24/SUM('Historical Financial Statement'!K51:K52,'Historical Financial Statement'!K54:K57)</f>
        <v>0.60208100700436507</v>
      </c>
      <c r="L27" s="24">
        <f>'Historical Financial Statement'!L24/SUM('Historical Financial Statement'!L51:L52,'Historical Financial Statement'!L54:L57)</f>
        <v>0.59689096286054466</v>
      </c>
      <c r="M27" s="49">
        <f t="shared" si="0"/>
        <v>0.47183959495669625</v>
      </c>
      <c r="N27" s="49">
        <f t="shared" si="1"/>
        <v>0.4508320244513308</v>
      </c>
    </row>
    <row r="28" spans="1:14" x14ac:dyDescent="0.25">
      <c r="B28" t="s">
        <v>50</v>
      </c>
      <c r="C28" s="24">
        <f>'Historical Financial Statement'!C36/SUM('Historical Financial Statement'!C51:C52)</f>
        <v>0.34244146780729401</v>
      </c>
      <c r="D28" s="24">
        <f>'Historical Financial Statement'!D36/SUM('Historical Financial Statement'!D51:D52)</f>
        <v>0.30571600900085832</v>
      </c>
      <c r="E28" s="24">
        <f>'Historical Financial Statement'!E36/SUM('Historical Financial Statement'!E51:E52)</f>
        <v>0.30401278075368854</v>
      </c>
      <c r="F28" s="24">
        <f>'Historical Financial Statement'!F36/SUM('Historical Financial Statement'!F51:F52)</f>
        <v>0.35286094403327145</v>
      </c>
      <c r="G28" s="24">
        <f>'Historical Financial Statement'!G36/SUM('Historical Financial Statement'!G51:G52)</f>
        <v>0.38569526662387371</v>
      </c>
      <c r="H28" s="24">
        <f>'Historical Financial Statement'!H36/SUM('Historical Financial Statement'!H51:H52)</f>
        <v>0.37673110964562145</v>
      </c>
      <c r="I28" s="24">
        <f>'Historical Financial Statement'!I36/SUM('Historical Financial Statement'!I51:I52)</f>
        <v>0.43133757390143485</v>
      </c>
      <c r="J28" s="24">
        <f>'Historical Financial Statement'!J36/SUM('Historical Financial Statement'!J51:J52)</f>
        <v>0.46782933734406795</v>
      </c>
      <c r="K28" s="24">
        <f>'Historical Financial Statement'!K36/SUM('Historical Financial Statement'!K51:K52)</f>
        <v>0.50944313673485175</v>
      </c>
      <c r="L28" s="24">
        <f>'Historical Financial Statement'!L36/SUM('Historical Financial Statement'!L51:L52)</f>
        <v>0.514975304993879</v>
      </c>
      <c r="M28" s="49">
        <f t="shared" si="0"/>
        <v>0.40540016255906075</v>
      </c>
      <c r="N28" s="49">
        <f t="shared" si="1"/>
        <v>0.38569526662387371</v>
      </c>
    </row>
    <row r="29" spans="1:14" x14ac:dyDescent="0.25">
      <c r="B29" t="s">
        <v>196</v>
      </c>
      <c r="C29" s="24">
        <f>IFERROR('Historical Financial Statement'!C47,0)</f>
        <v>0.6478962938614512</v>
      </c>
      <c r="D29" s="24">
        <f>IFERROR('Historical Financial Statement'!D47,0)</f>
        <v>0.64870812307925796</v>
      </c>
      <c r="E29" s="24">
        <f>IFERROR('Historical Financial Statement'!E47,0)</f>
        <v>0.6309891808346213</v>
      </c>
      <c r="F29" s="24">
        <f>IFERROR('Historical Financial Statement'!F47,0)</f>
        <v>0.64355870984094798</v>
      </c>
      <c r="G29" s="24">
        <f>IFERROR('Historical Financial Statement'!G47,0)</f>
        <v>0.1563164545258422</v>
      </c>
      <c r="H29" s="24">
        <f>IFERROR('Historical Financial Statement'!H47,0)</f>
        <v>0.56820834101099438</v>
      </c>
      <c r="I29" s="24">
        <f>IFERROR('Historical Financial Statement'!I47,0)</f>
        <v>0.59067856121095486</v>
      </c>
      <c r="J29" s="24">
        <f>IFERROR('Historical Financial Statement'!J47,0)</f>
        <v>5.035103893341053E-3</v>
      </c>
      <c r="K29" s="24">
        <f>IFERROR('Historical Financial Statement'!K47,0)</f>
        <v>0.42675546107290829</v>
      </c>
      <c r="L29" s="24">
        <f>IFERROR('Historical Financial Statement'!L47,0)</f>
        <v>6.5270405967580047E-2</v>
      </c>
      <c r="M29" s="49">
        <f t="shared" si="0"/>
        <v>0.41505781571516087</v>
      </c>
      <c r="N29" s="49">
        <f t="shared" si="1"/>
        <v>0.56820834101099438</v>
      </c>
    </row>
    <row r="30" spans="1:14" x14ac:dyDescent="0.25">
      <c r="B30" t="s">
        <v>197</v>
      </c>
      <c r="C30" s="5">
        <f>C29*C28</f>
        <v>0.22186655785682124</v>
      </c>
      <c r="D30" s="5">
        <f t="shared" ref="D30:L30" si="2">D29*D28</f>
        <v>0.19832045839422835</v>
      </c>
      <c r="E30" s="5">
        <f t="shared" si="2"/>
        <v>0.19182877549102526</v>
      </c>
      <c r="F30" s="5">
        <f t="shared" si="2"/>
        <v>0.22708673389531112</v>
      </c>
      <c r="G30" s="5">
        <f t="shared" si="2"/>
        <v>6.0290516606043336E-2</v>
      </c>
      <c r="H30" s="5">
        <f t="shared" si="2"/>
        <v>0.21406175881896958</v>
      </c>
      <c r="I30" s="5">
        <f t="shared" si="2"/>
        <v>0.25478185754832344</v>
      </c>
      <c r="J30" s="5">
        <f t="shared" si="2"/>
        <v>2.3555693178802816E-3</v>
      </c>
      <c r="K30" s="5">
        <f t="shared" si="2"/>
        <v>0.21740764070771032</v>
      </c>
      <c r="L30" s="5">
        <f t="shared" si="2"/>
        <v>3.3612647220228838E-2</v>
      </c>
      <c r="M30" s="49">
        <f t="shared" si="0"/>
        <v>0.15552732866663563</v>
      </c>
      <c r="N30" s="49">
        <f t="shared" si="1"/>
        <v>0.19832045839422835</v>
      </c>
    </row>
    <row r="31" spans="1:14" x14ac:dyDescent="0.25">
      <c r="B31" t="s">
        <v>198</v>
      </c>
      <c r="C31" s="47">
        <f>IFERROR('Historical Financial Statement'!C24/'Historical Financial Statement'!C29,0)</f>
        <v>872.39393939393938</v>
      </c>
      <c r="D31" s="47">
        <f>IFERROR('Historical Financial Statement'!D24/'Historical Financial Statement'!D29,0)</f>
        <v>947.625</v>
      </c>
      <c r="E31" s="47">
        <f>IFERROR('Historical Financial Statement'!E24/'Historical Financial Statement'!E29,0)</f>
        <v>586.57692307692309</v>
      </c>
      <c r="F31" s="47">
        <f>IFERROR('Historical Financial Statement'!F24/'Historical Financial Statement'!F29,0)</f>
        <v>189.14141414141415</v>
      </c>
      <c r="G31" s="47">
        <f>IFERROR('Historical Financial Statement'!G24/'Historical Financial Statement'!G29,0)</f>
        <v>41.753246753246756</v>
      </c>
      <c r="H31" s="47">
        <f>IFERROR('Historical Financial Statement'!H24/'Historical Financial Statement'!H29,0)</f>
        <v>66.689167974882267</v>
      </c>
      <c r="I31" s="47">
        <f>IFERROR('Historical Financial Statement'!I24/'Historical Financial Statement'!I29,0)</f>
        <v>61.802295918367349</v>
      </c>
      <c r="J31" s="47">
        <f>IFERROR('Historical Financial Statement'!J24/'Historical Financial Statement'!J29,0)</f>
        <v>69.623876765083438</v>
      </c>
      <c r="K31" s="47">
        <f>IFERROR('Historical Financial Statement'!K24/'Historical Financial Statement'!K29,0)</f>
        <v>76.235218508997434</v>
      </c>
      <c r="L31" s="47">
        <f>IFERROR('Historical Financial Statement'!L24/'Historical Financial Statement'!L29,0)</f>
        <v>78.096733668341713</v>
      </c>
      <c r="M31" s="50">
        <f t="shared" si="0"/>
        <v>235.28265297858403</v>
      </c>
      <c r="N31" s="50">
        <f t="shared" si="1"/>
        <v>76.235218508997434</v>
      </c>
    </row>
    <row r="32" spans="1:14" x14ac:dyDescent="0.25">
      <c r="M32" s="49"/>
      <c r="N32" s="49"/>
    </row>
    <row r="33" spans="2:14" x14ac:dyDescent="0.25">
      <c r="B33" s="26" t="s">
        <v>199</v>
      </c>
      <c r="M33" s="49"/>
      <c r="N33" s="49"/>
    </row>
    <row r="34" spans="2:14" x14ac:dyDescent="0.25">
      <c r="B34" t="s">
        <v>200</v>
      </c>
      <c r="C34" s="47">
        <f>IFERROR('Historical Financial Statement'!C6/'Historical Financial Statement'!C83,0)</f>
        <v>4.5131890499729987</v>
      </c>
      <c r="D34" s="47">
        <f>IFERROR('Historical Financial Statement'!D6/(('Historical Financial Statement'!C83+'Historical Financial Statement'!D83)/2),0)</f>
        <v>5.0531591347183555</v>
      </c>
      <c r="E34" s="47">
        <f>IFERROR('Historical Financial Statement'!E6/(('Historical Financial Statement'!D83+'Historical Financial Statement'!E83)/2),0)</f>
        <v>5.176787216148024</v>
      </c>
      <c r="F34" s="47">
        <f>IFERROR('Historical Financial Statement'!F6/(('Historical Financial Statement'!E83+'Historical Financial Statement'!F83)/2),0)</f>
        <v>5.6020577941823326</v>
      </c>
      <c r="G34" s="47">
        <f>IFERROR('Historical Financial Statement'!G6/(('Historical Financial Statement'!F83+'Historical Financial Statement'!G83)/2),0)</f>
        <v>5.4234424133522232</v>
      </c>
      <c r="H34" s="47">
        <f>IFERROR('Historical Financial Statement'!H6/(('Historical Financial Statement'!G83+'Historical Financial Statement'!H83)/2),0)</f>
        <v>5.4173994819422218</v>
      </c>
      <c r="I34" s="47">
        <f>IFERROR('Historical Financial Statement'!I6/(('Historical Financial Statement'!H83+'Historical Financial Statement'!I83)/2),0)</f>
        <v>5.3347243667320452</v>
      </c>
      <c r="J34" s="47">
        <f>IFERROR('Historical Financial Statement'!J6/(('Historical Financial Statement'!I83+'Historical Financial Statement'!J83)/2),0)</f>
        <v>4.9138660040974678</v>
      </c>
      <c r="K34" s="47">
        <f>IFERROR('Historical Financial Statement'!K6/(('Historical Financial Statement'!J83+'Historical Financial Statement'!K83)/2),0)</f>
        <v>4.6535433831412814</v>
      </c>
      <c r="L34" s="47">
        <f>IFERROR('Historical Financial Statement'!L6/(('Historical Financial Statement'!K83+'Historical Financial Statement'!L83)/2),0)</f>
        <v>4.5341360112943185</v>
      </c>
      <c r="M34" s="50">
        <f t="shared" si="0"/>
        <v>5.12323508951203</v>
      </c>
      <c r="N34" s="50">
        <f t="shared" si="1"/>
        <v>5.176787216148024</v>
      </c>
    </row>
    <row r="35" spans="2:14" x14ac:dyDescent="0.25">
      <c r="B35" t="s">
        <v>201</v>
      </c>
      <c r="C35" s="47">
        <f>IFERROR(('Historical Financial Statement'!C9+'Historical Financial Statement'!C82)/'Historical Financial Statement'!C60,0)</f>
        <v>7.6826680811563453</v>
      </c>
      <c r="D35" s="47">
        <f>IFERROR(('Historical Financial Statement'!D9+'Historical Financial Statement'!D82-'Historical Financial Statement'!C82)/(('Historical Financial Statement'!C60+'Historical Financial Statement'!D60)/2),0)</f>
        <v>10.354170014462477</v>
      </c>
      <c r="E35" s="47">
        <f>IFERROR(('Historical Financial Statement'!E9+'Historical Financial Statement'!E82-'Historical Financial Statement'!D82)/(('Historical Financial Statement'!D60+'Historical Financial Statement'!E60)/2),0)</f>
        <v>13.821582158215822</v>
      </c>
      <c r="F35" s="47">
        <f>IFERROR(('Historical Financial Statement'!F9+'Historical Financial Statement'!F82-'Historical Financial Statement'!E82)/(('Historical Financial Statement'!E60+'Historical Financial Statement'!F60)/2),0)</f>
        <v>14.140172141226067</v>
      </c>
      <c r="G35" s="47">
        <f>IFERROR(('Historical Financial Statement'!G9+'Historical Financial Statement'!G82-'Historical Financial Statement'!F82)/(('Historical Financial Statement'!F60+'Historical Financial Statement'!G60)/2),0)</f>
        <v>13.482504604051565</v>
      </c>
      <c r="H35" s="47">
        <f>IFERROR(('Historical Financial Statement'!H9+'Historical Financial Statement'!H82-'Historical Financial Statement'!G82)/(('Historical Financial Statement'!G60+'Historical Financial Statement'!H60)/2),0)</f>
        <v>12.777945205479453</v>
      </c>
      <c r="I35" s="47">
        <f>IFERROR(('Historical Financial Statement'!I9+'Historical Financial Statement'!I82-'Historical Financial Statement'!H82)/(('Historical Financial Statement'!H60+'Historical Financial Statement'!I60)/2),0)</f>
        <v>13.672304306821754</v>
      </c>
      <c r="J35" s="47">
        <f>IFERROR(('Historical Financial Statement'!J9+'Historical Financial Statement'!J82-'Historical Financial Statement'!I82)/(('Historical Financial Statement'!I60+'Historical Financial Statement'!J60)/2),0)</f>
        <v>13.945150862068965</v>
      </c>
      <c r="K35" s="47">
        <f>IFERROR(('Historical Financial Statement'!K9+'Historical Financial Statement'!K82-'Historical Financial Statement'!J82)/(('Historical Financial Statement'!J60+'Historical Financial Statement'!K60)/2),0)</f>
        <v>14.035226385636221</v>
      </c>
      <c r="L35" s="47">
        <f>IFERROR(('Historical Financial Statement'!L9+'Historical Financial Statement'!L82-'Historical Financial Statement'!K82)/(('Historical Financial Statement'!K60+'Historical Financial Statement'!L60)/2),0)</f>
        <v>13.179489326077857</v>
      </c>
      <c r="M35" s="50">
        <f t="shared" si="0"/>
        <v>13.267616111560022</v>
      </c>
      <c r="N35" s="50">
        <f t="shared" si="1"/>
        <v>13.672304306821754</v>
      </c>
    </row>
    <row r="36" spans="2:14" x14ac:dyDescent="0.25">
      <c r="B36" t="s">
        <v>202</v>
      </c>
      <c r="C36" s="47">
        <f>IFERROR('Historical Financial Statement'!C6/'Historical Financial Statement'!C76,0)</f>
        <v>5.0331696469934215</v>
      </c>
      <c r="D36" s="47">
        <f>IFERROR('Historical Financial Statement'!D6/(('Historical Financial Statement'!C78+'Historical Financial Statement'!D78)/2),0)</f>
        <v>10.05035143769968</v>
      </c>
      <c r="E36" s="47">
        <f>IFERROR('Historical Financial Statement'!E6/(('Historical Financial Statement'!D78+'Historical Financial Statement'!E78)/2),0)</f>
        <v>10.399932415307934</v>
      </c>
      <c r="F36" s="47">
        <f>IFERROR('Historical Financial Statement'!F6/(('Historical Financial Statement'!E78+'Historical Financial Statement'!F78)/2),0)</f>
        <v>12.072950583192515</v>
      </c>
      <c r="G36" s="47">
        <f>IFERROR('Historical Financial Statement'!G6/(('Historical Financial Statement'!F78+'Historical Financial Statement'!G78)/2),0)</f>
        <v>9.4496357396592217</v>
      </c>
      <c r="H36" s="47">
        <f>IFERROR('Historical Financial Statement'!H6/(('Historical Financial Statement'!G78+'Historical Financial Statement'!H78)/2),0)</f>
        <v>7.8274571503492334</v>
      </c>
      <c r="I36" s="47">
        <f>IFERROR('Historical Financial Statement'!I6/(('Historical Financial Statement'!H78+'Historical Financial Statement'!I78)/2),0)</f>
        <v>9.0623124364942456</v>
      </c>
      <c r="J36" s="47">
        <f>IFERROR('Historical Financial Statement'!J6/(('Historical Financial Statement'!I78+'Historical Financial Statement'!J78)/2),0)</f>
        <v>10.78411020496018</v>
      </c>
      <c r="K36" s="47">
        <f>IFERROR('Historical Financial Statement'!K6/(('Historical Financial Statement'!J78+'Historical Financial Statement'!K78)/2),0)</f>
        <v>12.008923452728133</v>
      </c>
      <c r="L36" s="47">
        <f>IFERROR('Historical Financial Statement'!L6/(('Historical Financial Statement'!K78+'Historical Financial Statement'!L78)/2),0)</f>
        <v>11.971024685280259</v>
      </c>
      <c r="M36" s="50">
        <f t="shared" si="0"/>
        <v>10.402966456185711</v>
      </c>
      <c r="N36" s="50">
        <f t="shared" si="1"/>
        <v>10.399932415307934</v>
      </c>
    </row>
    <row r="37" spans="2:14" x14ac:dyDescent="0.25">
      <c r="B37" t="s">
        <v>203</v>
      </c>
      <c r="C37" s="47">
        <f>IFERROR('Historical Financial Statement'!C6/SUM('Historical Financial Statement'!C51:C52,'Historical Financial Statement'!C54:C57),0)</f>
        <v>1.5234235876438997</v>
      </c>
      <c r="D37" s="47">
        <f>IFERROR('Historical Financial Statement'!D6/((SUM('Historical Financial Statement'!C51:C52,'Historical Financial Statement'!C54:C57)+SUM('Historical Financial Statement'!D51:D52,'Historical Financial Statement'!D54:D57))/2),0)</f>
        <v>1.4949436066404764</v>
      </c>
      <c r="E37" s="47">
        <f>IFERROR('Historical Financial Statement'!E6/((SUM('Historical Financial Statement'!D51:D52,'Historical Financial Statement'!D54:D57)+SUM('Historical Financial Statement'!E51:E52,'Historical Financial Statement'!E54:E57))/2),0)</f>
        <v>1.4324579061892737</v>
      </c>
      <c r="F37" s="47">
        <f>IFERROR('Historical Financial Statement'!F6/((SUM('Historical Financial Statement'!E51:E52,'Historical Financial Statement'!E54:E57)+SUM('Historical Financial Statement'!F51:F52,'Historical Financial Statement'!F54:F57))/2),0)</f>
        <v>1.6749827027212478</v>
      </c>
      <c r="G37" s="47">
        <f>IFERROR('Historical Financial Statement'!G6/((SUM('Historical Financial Statement'!F51:F52,'Historical Financial Statement'!F54:F57)+SUM('Historical Financial Statement'!G51:G52,'Historical Financial Statement'!G54:G57))/2),0)</f>
        <v>1.726535685998416</v>
      </c>
      <c r="H37" s="47">
        <f>IFERROR('Historical Financial Statement'!H6/((SUM('Historical Financial Statement'!G51:G52,'Historical Financial Statement'!G54:G57)+SUM('Historical Financial Statement'!H51:H52,'Historical Financial Statement'!H54:H57))/2),0)</f>
        <v>1.7603469720363698</v>
      </c>
      <c r="I37" s="47">
        <f>IFERROR('Historical Financial Statement'!I6/((SUM('Historical Financial Statement'!H51:H52,'Historical Financial Statement'!H54:H57)+SUM('Historical Financial Statement'!I51:I52,'Historical Financial Statement'!I54:I57))/2),0)</f>
        <v>2.005952349818239</v>
      </c>
      <c r="J37" s="47">
        <f>IFERROR('Historical Financial Statement'!J6/((SUM('Historical Financial Statement'!I51:I52,'Historical Financial Statement'!I54:I57)+SUM('Historical Financial Statement'!J51:J52,'Historical Financial Statement'!J54:J57))/2),0)</f>
        <v>2.3115718027979844</v>
      </c>
      <c r="K37" s="47">
        <f>IFERROR('Historical Financial Statement'!K6/((SUM('Historical Financial Statement'!J51:J52,'Historical Financial Statement'!J54:J57)+SUM('Historical Financial Statement'!K51:K52,'Historical Financial Statement'!K54:K57))/2),0)</f>
        <v>2.4503158344437552</v>
      </c>
      <c r="L37" s="47">
        <f>IFERROR('Historical Financial Statement'!L6/((SUM('Historical Financial Statement'!K51:K52,'Historical Financial Statement'!K54:K57)+SUM('Historical Financial Statement'!L51:L52,'Historical Financial Statement'!L54:L57))/2),0)</f>
        <v>2.5197524894156658</v>
      </c>
      <c r="M37" s="50">
        <f t="shared" si="0"/>
        <v>1.9307621500068255</v>
      </c>
      <c r="N37" s="50">
        <f t="shared" si="1"/>
        <v>1.7603469720363698</v>
      </c>
    </row>
    <row r="38" spans="2:14" x14ac:dyDescent="0.25">
      <c r="M38" s="49"/>
      <c r="N38" s="49"/>
    </row>
    <row r="39" spans="2:14" x14ac:dyDescent="0.25">
      <c r="B39" s="26" t="s">
        <v>204</v>
      </c>
      <c r="M39" s="49"/>
      <c r="N39" s="49"/>
    </row>
    <row r="40" spans="2:14" x14ac:dyDescent="0.25">
      <c r="B40" t="s">
        <v>46</v>
      </c>
      <c r="C40" s="48">
        <f>365/C34</f>
        <v>80.87407727850082</v>
      </c>
      <c r="D40" s="48">
        <f>365/D34</f>
        <v>72.232041435667895</v>
      </c>
      <c r="E40" s="48">
        <f t="shared" ref="E40:L40" si="3">365/E34</f>
        <v>70.50705094879126</v>
      </c>
      <c r="F40" s="48">
        <f t="shared" si="3"/>
        <v>65.154629496869518</v>
      </c>
      <c r="G40" s="48">
        <f t="shared" si="3"/>
        <v>67.30042880171267</v>
      </c>
      <c r="H40" s="48">
        <f t="shared" si="3"/>
        <v>67.375500222321037</v>
      </c>
      <c r="I40" s="48">
        <f t="shared" si="3"/>
        <v>68.41965487030258</v>
      </c>
      <c r="J40" s="48">
        <f t="shared" si="3"/>
        <v>74.279599748068378</v>
      </c>
      <c r="K40" s="48">
        <f t="shared" si="3"/>
        <v>78.43485489408161</v>
      </c>
      <c r="L40" s="48">
        <f t="shared" si="3"/>
        <v>80.500452366405028</v>
      </c>
      <c r="M40" s="51">
        <f t="shared" si="0"/>
        <v>71.578245864913328</v>
      </c>
      <c r="N40" s="51">
        <f t="shared" si="1"/>
        <v>70.50705094879126</v>
      </c>
    </row>
    <row r="41" spans="2:14" x14ac:dyDescent="0.25">
      <c r="B41" t="s">
        <v>205</v>
      </c>
      <c r="C41" s="48">
        <f>365/C35</f>
        <v>47.509536549581426</v>
      </c>
      <c r="D41" s="48">
        <f>365/D35</f>
        <v>35.251497656516747</v>
      </c>
      <c r="E41" s="48">
        <f t="shared" ref="E41:L41" si="4">365/E35</f>
        <v>26.407975282557416</v>
      </c>
      <c r="F41" s="48">
        <f t="shared" si="4"/>
        <v>25.812981366459628</v>
      </c>
      <c r="G41" s="48">
        <f t="shared" si="4"/>
        <v>27.07212129490507</v>
      </c>
      <c r="H41" s="48">
        <f t="shared" si="4"/>
        <v>28.56484310509332</v>
      </c>
      <c r="I41" s="48">
        <f t="shared" si="4"/>
        <v>26.69630457375677</v>
      </c>
      <c r="J41" s="48">
        <f t="shared" si="4"/>
        <v>26.173972846203181</v>
      </c>
      <c r="K41" s="48">
        <f t="shared" si="4"/>
        <v>26.005993061397593</v>
      </c>
      <c r="L41" s="48">
        <f t="shared" si="4"/>
        <v>27.694548018471821</v>
      </c>
      <c r="M41" s="51">
        <f t="shared" si="0"/>
        <v>27.742248578373506</v>
      </c>
      <c r="N41" s="51">
        <f t="shared" si="1"/>
        <v>26.69630457375677</v>
      </c>
    </row>
    <row r="42" spans="2:14" x14ac:dyDescent="0.25">
      <c r="B42" t="s">
        <v>206</v>
      </c>
      <c r="C42" s="25">
        <f>C40-C41</f>
        <v>33.364540728919394</v>
      </c>
      <c r="D42" s="25">
        <f t="shared" ref="D42:L42" si="5">D40-D41</f>
        <v>36.980543779151148</v>
      </c>
      <c r="E42" s="25">
        <f t="shared" si="5"/>
        <v>44.099075666233844</v>
      </c>
      <c r="F42" s="25">
        <f t="shared" si="5"/>
        <v>39.341648130409894</v>
      </c>
      <c r="G42" s="25">
        <f t="shared" si="5"/>
        <v>40.228307506807596</v>
      </c>
      <c r="H42" s="25">
        <f t="shared" si="5"/>
        <v>38.81065711722772</v>
      </c>
      <c r="I42" s="25">
        <f t="shared" si="5"/>
        <v>41.72335029654581</v>
      </c>
      <c r="J42" s="25">
        <f t="shared" si="5"/>
        <v>48.105626901865193</v>
      </c>
      <c r="K42" s="25">
        <f t="shared" si="5"/>
        <v>52.428861832684021</v>
      </c>
      <c r="L42" s="25">
        <f t="shared" si="5"/>
        <v>52.805904347933208</v>
      </c>
      <c r="M42" s="51">
        <f t="shared" si="0"/>
        <v>43.835997286539829</v>
      </c>
      <c r="N42" s="51">
        <f t="shared" si="1"/>
        <v>41.72335029654581</v>
      </c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Profit &amp; Loss</vt:lpstr>
      <vt:lpstr>Quarters</vt:lpstr>
      <vt:lpstr>Balance Sheet</vt:lpstr>
      <vt:lpstr>Cash Flow</vt:lpstr>
      <vt:lpstr>Balance Shaeet2</vt:lpstr>
      <vt:lpstr>Cash Flow Statement 2</vt:lpstr>
      <vt:lpstr>Data Sheet</vt:lpstr>
      <vt:lpstr>Historical Financial Statement</vt:lpstr>
      <vt:lpstr>Ratio Analysis</vt:lpstr>
      <vt:lpstr>WACC</vt:lpstr>
      <vt:lpstr>Intrinsic Growth</vt:lpstr>
      <vt:lpstr>DCF</vt:lpstr>
      <vt:lpstr>Relative Valuation</vt:lpstr>
      <vt:lpstr>Equity Premium</vt:lpstr>
      <vt:lpstr>Beta</vt:lpstr>
      <vt:lpstr>Peer Data</vt:lpstr>
      <vt:lpstr>Relative Valuation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Rajneesh Choudhary</cp:lastModifiedBy>
  <cp:lastPrinted>2012-12-06T18:14:13Z</cp:lastPrinted>
  <dcterms:created xsi:type="dcterms:W3CDTF">2012-08-17T09:55:37Z</dcterms:created>
  <dcterms:modified xsi:type="dcterms:W3CDTF">2025-09-20T12:14:27Z</dcterms:modified>
</cp:coreProperties>
</file>