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3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6.xml" ContentType="application/vnd.openxmlformats-officedocument.drawingml.chartshapes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7.xml" ContentType="application/vnd.openxmlformats-officedocument.drawingml.chartshapes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8.xml" ContentType="application/vnd.openxmlformats-officedocument.drawingml.chartshapes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9.xml" ContentType="application/vnd.openxmlformats-officedocument.drawingml.chartshapes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10.xml" ContentType="application/vnd.openxmlformats-officedocument.drawingml.chartshapes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11.xml" ContentType="application/vnd.openxmlformats-officedocument.drawingml.chartshapes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12.xml" ContentType="application/vnd.openxmlformats-officedocument.drawingml.chartshapes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13.xml" ContentType="application/vnd.openxmlformats-officedocument.drawingml.chartshape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UP3WO\Desktop\Nature Sustainability Paper Documents\"/>
    </mc:Choice>
  </mc:AlternateContent>
  <xr:revisionPtr revIDLastSave="0" documentId="13_ncr:1_{9DDCF462-97BE-4A0A-AFBD-9C32887817B9}" xr6:coauthVersionLast="47" xr6:coauthVersionMax="47" xr10:uidLastSave="{00000000-0000-0000-0000-000000000000}"/>
  <bookViews>
    <workbookView xWindow="-110" yWindow="-110" windowWidth="19420" windowHeight="10300" firstSheet="10" activeTab="12" xr2:uid="{E549F565-2109-42F1-9397-AB319B1C8B6A}"/>
  </bookViews>
  <sheets>
    <sheet name="EEC India Dengue Season Scenari" sheetId="25" r:id="rId1"/>
    <sheet name="EEC Dengue Endemic Asia Scenari" sheetId="34" r:id="rId2"/>
    <sheet name="ACC India Dengue Season" sheetId="26" r:id="rId3"/>
    <sheet name="ACC Dengue Endemic Asia" sheetId="36" r:id="rId4"/>
    <sheet name="Vector Products ACC and AEEC" sheetId="2" r:id="rId5"/>
    <sheet name="Dengue Treatment Costs Countrie" sheetId="45" r:id="rId6"/>
    <sheet name="SHC Summary India Deng. Scena  " sheetId="37" r:id="rId7"/>
    <sheet name="SHC Summary_Ind.Deng-Season" sheetId="39" r:id="rId8"/>
    <sheet name=" SHC for Chennai_Ind.Deng. Seas" sheetId="42" r:id="rId9"/>
    <sheet name="Total SHC India Dengue Season" sheetId="41" r:id="rId10"/>
    <sheet name="Total SHC Dengue Endemic Asia " sheetId="43" r:id="rId11"/>
    <sheet name="Graphs_Dengue Endemic Asia" sheetId="44" r:id="rId12"/>
    <sheet name="Household" sheetId="16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74" i="45" l="1"/>
  <c r="K5" i="2"/>
  <c r="I25" i="2"/>
  <c r="H25" i="2"/>
  <c r="J25" i="2"/>
  <c r="E25" i="2"/>
  <c r="E158" i="43" l="1"/>
  <c r="F158" i="43"/>
  <c r="G158" i="43"/>
  <c r="D158" i="43"/>
  <c r="E157" i="43"/>
  <c r="F157" i="43"/>
  <c r="G157" i="43"/>
  <c r="D157" i="43"/>
  <c r="E156" i="43"/>
  <c r="F156" i="43"/>
  <c r="G156" i="43"/>
  <c r="D156" i="43"/>
  <c r="E155" i="43"/>
  <c r="F155" i="43"/>
  <c r="G155" i="43"/>
  <c r="D155" i="43"/>
  <c r="E136" i="43"/>
  <c r="F136" i="43"/>
  <c r="G136" i="43"/>
  <c r="D136" i="43"/>
  <c r="E135" i="43"/>
  <c r="F135" i="43"/>
  <c r="G135" i="43"/>
  <c r="D135" i="43"/>
  <c r="E134" i="43"/>
  <c r="F134" i="43"/>
  <c r="G134" i="43"/>
  <c r="D134" i="43"/>
  <c r="E133" i="43"/>
  <c r="F133" i="43"/>
  <c r="G133" i="43"/>
  <c r="D133" i="43"/>
  <c r="E115" i="43"/>
  <c r="F115" i="43"/>
  <c r="G115" i="43"/>
  <c r="D115" i="43"/>
  <c r="E114" i="43"/>
  <c r="F114" i="43"/>
  <c r="G114" i="43"/>
  <c r="D114" i="43"/>
  <c r="E113" i="43"/>
  <c r="F113" i="43"/>
  <c r="G113" i="43"/>
  <c r="D113" i="43"/>
  <c r="E112" i="43"/>
  <c r="F112" i="43"/>
  <c r="G112" i="43"/>
  <c r="D112" i="43"/>
  <c r="E93" i="43"/>
  <c r="F93" i="43"/>
  <c r="G93" i="43"/>
  <c r="D93" i="43"/>
  <c r="E92" i="43"/>
  <c r="F92" i="43"/>
  <c r="G92" i="43"/>
  <c r="D92" i="43"/>
  <c r="E91" i="43"/>
  <c r="F91" i="43"/>
  <c r="G91" i="43"/>
  <c r="D91" i="43"/>
  <c r="F90" i="43"/>
  <c r="G90" i="43"/>
  <c r="E90" i="43"/>
  <c r="D90" i="43"/>
  <c r="E72" i="43"/>
  <c r="F72" i="43"/>
  <c r="G72" i="43"/>
  <c r="D72" i="43"/>
  <c r="E71" i="43"/>
  <c r="F71" i="43"/>
  <c r="G71" i="43"/>
  <c r="D71" i="43"/>
  <c r="E70" i="43"/>
  <c r="F70" i="43"/>
  <c r="G70" i="43"/>
  <c r="D70" i="43"/>
  <c r="E69" i="43"/>
  <c r="F69" i="43"/>
  <c r="G69" i="43"/>
  <c r="D69" i="43"/>
  <c r="N57" i="43"/>
  <c r="E51" i="43"/>
  <c r="F51" i="43"/>
  <c r="G51" i="43"/>
  <c r="D51" i="43"/>
  <c r="E50" i="43"/>
  <c r="F50" i="43"/>
  <c r="G50" i="43"/>
  <c r="D50" i="43"/>
  <c r="E49" i="43"/>
  <c r="F49" i="43"/>
  <c r="G49" i="43"/>
  <c r="D49" i="43"/>
  <c r="E48" i="43"/>
  <c r="F48" i="43"/>
  <c r="G48" i="43"/>
  <c r="D48" i="43"/>
  <c r="N35" i="43"/>
  <c r="E29" i="43"/>
  <c r="F29" i="43"/>
  <c r="G29" i="43"/>
  <c r="D29" i="43"/>
  <c r="E28" i="43"/>
  <c r="F28" i="43"/>
  <c r="G28" i="43"/>
  <c r="D28" i="43"/>
  <c r="E27" i="43"/>
  <c r="F27" i="43"/>
  <c r="G27" i="43"/>
  <c r="D27" i="43"/>
  <c r="E26" i="43"/>
  <c r="F26" i="43"/>
  <c r="G26" i="43"/>
  <c r="D26" i="43"/>
  <c r="N15" i="43"/>
  <c r="D9" i="43"/>
  <c r="E8" i="43"/>
  <c r="F8" i="43"/>
  <c r="G8" i="43"/>
  <c r="D8" i="43"/>
  <c r="E7" i="43"/>
  <c r="F7" i="43"/>
  <c r="G7" i="43"/>
  <c r="D7" i="43"/>
  <c r="E6" i="43"/>
  <c r="F6" i="43"/>
  <c r="G6" i="43"/>
  <c r="D6" i="43"/>
  <c r="E5" i="43"/>
  <c r="F5" i="43"/>
  <c r="G5" i="43"/>
  <c r="D5" i="43"/>
  <c r="G10" i="43"/>
  <c r="G160" i="43"/>
  <c r="O328" i="45"/>
  <c r="O327" i="45"/>
  <c r="O326" i="45"/>
  <c r="O325" i="45"/>
  <c r="M327" i="45"/>
  <c r="M325" i="45"/>
  <c r="G138" i="43"/>
  <c r="O289" i="45"/>
  <c r="O288" i="45"/>
  <c r="N288" i="45"/>
  <c r="M288" i="45"/>
  <c r="O287" i="45"/>
  <c r="M286" i="45"/>
  <c r="O285" i="45"/>
  <c r="N285" i="45"/>
  <c r="M285" i="45"/>
  <c r="I299" i="45"/>
  <c r="G117" i="43"/>
  <c r="L238" i="45"/>
  <c r="N237" i="45"/>
  <c r="N238" i="45" s="1"/>
  <c r="M236" i="45"/>
  <c r="M238" i="45" s="1"/>
  <c r="L236" i="45"/>
  <c r="H237" i="45"/>
  <c r="G95" i="43"/>
  <c r="N198" i="45"/>
  <c r="M198" i="45"/>
  <c r="L198" i="45"/>
  <c r="L197" i="45"/>
  <c r="N196" i="45"/>
  <c r="M196" i="45"/>
  <c r="L196" i="45"/>
  <c r="G74" i="43"/>
  <c r="H185" i="45"/>
  <c r="N171" i="45"/>
  <c r="N173" i="45" s="1"/>
  <c r="M171" i="45"/>
  <c r="L171" i="45"/>
  <c r="G53" i="43"/>
  <c r="N147" i="45"/>
  <c r="N146" i="45"/>
  <c r="L146" i="45"/>
  <c r="N145" i="45"/>
  <c r="M145" i="45"/>
  <c r="M148" i="45" s="1"/>
  <c r="L145" i="45"/>
  <c r="G31" i="43"/>
  <c r="H127" i="45"/>
  <c r="H126" i="45"/>
  <c r="H125" i="45"/>
  <c r="O125" i="45"/>
  <c r="O124" i="45"/>
  <c r="N124" i="45"/>
  <c r="N126" i="45" s="1"/>
  <c r="M124" i="45"/>
  <c r="M126" i="45" s="1"/>
  <c r="J10" i="41"/>
  <c r="J51" i="41"/>
  <c r="F51" i="41"/>
  <c r="J30" i="41"/>
  <c r="F30" i="41"/>
  <c r="F10" i="41"/>
  <c r="O13" i="45"/>
  <c r="M12" i="45"/>
  <c r="H104" i="45"/>
  <c r="O11" i="45"/>
  <c r="M11" i="45"/>
  <c r="O10" i="45"/>
  <c r="M10" i="45"/>
  <c r="O9" i="45"/>
  <c r="N9" i="45"/>
  <c r="M9" i="45"/>
  <c r="M8" i="45"/>
  <c r="N8" i="45"/>
  <c r="M7" i="45"/>
  <c r="H10" i="45"/>
  <c r="F63" i="36"/>
  <c r="H112" i="36"/>
  <c r="H104" i="36"/>
  <c r="H96" i="36"/>
  <c r="H97" i="36"/>
  <c r="H88" i="36"/>
  <c r="H80" i="36"/>
  <c r="H72" i="36"/>
  <c r="H64" i="36"/>
  <c r="P165" i="43"/>
  <c r="O165" i="43"/>
  <c r="M165" i="43"/>
  <c r="P143" i="43"/>
  <c r="O143" i="43"/>
  <c r="M143" i="43"/>
  <c r="P122" i="43"/>
  <c r="O122" i="43"/>
  <c r="M122" i="43"/>
  <c r="P100" i="43"/>
  <c r="O100" i="43"/>
  <c r="M100" i="43"/>
  <c r="P79" i="43"/>
  <c r="O79" i="43"/>
  <c r="M79" i="43"/>
  <c r="P58" i="43"/>
  <c r="O58" i="43"/>
  <c r="M58" i="43"/>
  <c r="P57" i="43"/>
  <c r="O57" i="43"/>
  <c r="M57" i="43"/>
  <c r="P36" i="43"/>
  <c r="O36" i="43"/>
  <c r="M36" i="43"/>
  <c r="P35" i="43"/>
  <c r="O35" i="43"/>
  <c r="M35" i="43"/>
  <c r="P16" i="43"/>
  <c r="O16" i="43"/>
  <c r="M16" i="43"/>
  <c r="P15" i="43"/>
  <c r="O15" i="43"/>
  <c r="M15" i="43"/>
  <c r="D139" i="43" l="1"/>
  <c r="F118" i="43"/>
  <c r="L173" i="45"/>
  <c r="L199" i="45"/>
  <c r="M199" i="45"/>
  <c r="N199" i="45"/>
  <c r="N239" i="45"/>
  <c r="L148" i="45"/>
  <c r="N148" i="45"/>
  <c r="O126" i="45"/>
  <c r="O127" i="45" s="1"/>
  <c r="O14" i="45"/>
  <c r="N14" i="45"/>
  <c r="M14" i="45"/>
  <c r="N7" i="37"/>
  <c r="N10" i="37" s="1"/>
  <c r="M7" i="37"/>
  <c r="M10" i="37" s="1"/>
  <c r="L7" i="37"/>
  <c r="L10" i="37" s="1"/>
  <c r="K7" i="37"/>
  <c r="K10" i="37" s="1"/>
  <c r="J7" i="37"/>
  <c r="J10" i="37" s="1"/>
  <c r="I7" i="37"/>
  <c r="H7" i="37"/>
  <c r="H10" i="37" s="1"/>
  <c r="G7" i="37"/>
  <c r="F7" i="37"/>
  <c r="F10" i="37" s="1"/>
  <c r="V57" i="41"/>
  <c r="W57" i="41"/>
  <c r="U57" i="41"/>
  <c r="V36" i="41"/>
  <c r="W36" i="41"/>
  <c r="U36" i="41"/>
  <c r="G10" i="37"/>
  <c r="V15" i="41"/>
  <c r="W15" i="41"/>
  <c r="U15" i="41"/>
  <c r="P52" i="41"/>
  <c r="W56" i="41"/>
  <c r="V56" i="41"/>
  <c r="U56" i="41"/>
  <c r="G159" i="43"/>
  <c r="F159" i="43"/>
  <c r="F161" i="43" s="1"/>
  <c r="E159" i="43"/>
  <c r="E161" i="43" s="1"/>
  <c r="D159" i="43"/>
  <c r="D161" i="43" s="1"/>
  <c r="G137" i="43"/>
  <c r="F137" i="43"/>
  <c r="F139" i="43" s="1"/>
  <c r="E137" i="43"/>
  <c r="E139" i="43" s="1"/>
  <c r="D137" i="43"/>
  <c r="G116" i="43"/>
  <c r="F116" i="43"/>
  <c r="E116" i="43"/>
  <c r="E118" i="43" s="1"/>
  <c r="D116" i="43"/>
  <c r="D118" i="43" s="1"/>
  <c r="G94" i="43"/>
  <c r="F94" i="43"/>
  <c r="F96" i="43" s="1"/>
  <c r="E94" i="43"/>
  <c r="E96" i="43" s="1"/>
  <c r="D94" i="43"/>
  <c r="D96" i="43" s="1"/>
  <c r="G73" i="43"/>
  <c r="F73" i="43"/>
  <c r="F75" i="43" s="1"/>
  <c r="E73" i="43"/>
  <c r="E75" i="43" s="1"/>
  <c r="D73" i="43"/>
  <c r="D75" i="43" s="1"/>
  <c r="G52" i="43"/>
  <c r="F52" i="43"/>
  <c r="F54" i="43" s="1"/>
  <c r="E52" i="43"/>
  <c r="E54" i="43" s="1"/>
  <c r="D52" i="43"/>
  <c r="D54" i="43" s="1"/>
  <c r="G30" i="43"/>
  <c r="F30" i="43"/>
  <c r="F32" i="43" s="1"/>
  <c r="E30" i="43"/>
  <c r="E32" i="43" s="1"/>
  <c r="D30" i="43"/>
  <c r="D32" i="43" s="1"/>
  <c r="G9" i="43"/>
  <c r="F9" i="43"/>
  <c r="E9" i="43"/>
  <c r="E11" i="43" s="1"/>
  <c r="D11" i="43"/>
  <c r="N52" i="41"/>
  <c r="L52" i="41"/>
  <c r="J52" i="41"/>
  <c r="F52" i="41"/>
  <c r="I50" i="41"/>
  <c r="H50" i="41"/>
  <c r="E50" i="41"/>
  <c r="D50" i="41"/>
  <c r="H46" i="41"/>
  <c r="D46" i="41"/>
  <c r="W35" i="41"/>
  <c r="V35" i="41"/>
  <c r="U35" i="41"/>
  <c r="P31" i="41"/>
  <c r="N31" i="41"/>
  <c r="L31" i="41"/>
  <c r="J31" i="41"/>
  <c r="F31" i="41"/>
  <c r="I29" i="41"/>
  <c r="H29" i="41"/>
  <c r="E29" i="41"/>
  <c r="D29" i="41"/>
  <c r="H25" i="41"/>
  <c r="D25" i="41"/>
  <c r="W14" i="41"/>
  <c r="V14" i="41"/>
  <c r="U14" i="41"/>
  <c r="P11" i="41"/>
  <c r="N11" i="41"/>
  <c r="L11" i="41"/>
  <c r="J11" i="41"/>
  <c r="F11" i="41"/>
  <c r="I9" i="41"/>
  <c r="H9" i="41"/>
  <c r="E9" i="41"/>
  <c r="D9" i="41"/>
  <c r="I5" i="41"/>
  <c r="H5" i="41"/>
  <c r="E5" i="41"/>
  <c r="D5" i="41"/>
  <c r="Q12" i="39"/>
  <c r="Q13" i="39" s="1"/>
  <c r="M20" i="37"/>
  <c r="L20" i="37"/>
  <c r="K20" i="37"/>
  <c r="H20" i="37"/>
  <c r="G20" i="37"/>
  <c r="F20" i="37"/>
  <c r="I10" i="37"/>
  <c r="E21" i="2"/>
  <c r="F21" i="2" s="1"/>
  <c r="M26" i="2" s="1"/>
  <c r="E20" i="2"/>
  <c r="F20" i="2" s="1"/>
  <c r="G14" i="2"/>
  <c r="P14" i="2" s="1"/>
  <c r="G13" i="2"/>
  <c r="K13" i="2" s="1"/>
  <c r="G12" i="2"/>
  <c r="P12" i="2" s="1"/>
  <c r="G11" i="2"/>
  <c r="P11" i="2" s="1"/>
  <c r="P10" i="2"/>
  <c r="G10" i="2"/>
  <c r="I10" i="2" s="1"/>
  <c r="P9" i="2"/>
  <c r="G9" i="2"/>
  <c r="M9" i="2" s="1"/>
  <c r="G8" i="2"/>
  <c r="M8" i="2" s="1"/>
  <c r="G7" i="2"/>
  <c r="M7" i="2" s="1"/>
  <c r="G6" i="2"/>
  <c r="P6" i="2" s="1"/>
  <c r="G5" i="2"/>
  <c r="I5" i="2" s="1"/>
  <c r="E46" i="36"/>
  <c r="F46" i="36" s="1"/>
  <c r="F112" i="36" s="1"/>
  <c r="E45" i="36"/>
  <c r="F45" i="36" s="1"/>
  <c r="E44" i="36"/>
  <c r="F44" i="36" s="1"/>
  <c r="F96" i="36" s="1"/>
  <c r="E43" i="36"/>
  <c r="F43" i="36" s="1"/>
  <c r="F88" i="36" s="1"/>
  <c r="E42" i="36"/>
  <c r="F42" i="36" s="1"/>
  <c r="E41" i="36"/>
  <c r="F41" i="36" s="1"/>
  <c r="E40" i="36"/>
  <c r="F40" i="36" s="1"/>
  <c r="F64" i="36" s="1"/>
  <c r="E39" i="36"/>
  <c r="F39" i="36" s="1"/>
  <c r="E38" i="36"/>
  <c r="F38" i="36" s="1"/>
  <c r="E37" i="36"/>
  <c r="F37" i="36" s="1"/>
  <c r="F55" i="36" s="1"/>
  <c r="E33" i="36"/>
  <c r="F33" i="36" s="1"/>
  <c r="E32" i="36"/>
  <c r="F32" i="36" s="1"/>
  <c r="E31" i="36"/>
  <c r="F31" i="36" s="1"/>
  <c r="F95" i="36" s="1"/>
  <c r="E30" i="36"/>
  <c r="F30" i="36" s="1"/>
  <c r="F89" i="36" s="1"/>
  <c r="E29" i="36"/>
  <c r="F29" i="36" s="1"/>
  <c r="E28" i="36"/>
  <c r="F28" i="36" s="1"/>
  <c r="E27" i="36"/>
  <c r="F27" i="36" s="1"/>
  <c r="E26" i="36"/>
  <c r="F26" i="36" s="1"/>
  <c r="F57" i="36" s="1"/>
  <c r="E25" i="36"/>
  <c r="F25" i="36" s="1"/>
  <c r="F56" i="36" s="1"/>
  <c r="E24" i="36"/>
  <c r="F24" i="36" s="1"/>
  <c r="F54" i="36" s="1"/>
  <c r="F19" i="36"/>
  <c r="E19" i="36"/>
  <c r="F18" i="36"/>
  <c r="E18" i="36"/>
  <c r="F17" i="36"/>
  <c r="E17" i="36"/>
  <c r="G11" i="36"/>
  <c r="F11" i="36"/>
  <c r="G10" i="36"/>
  <c r="F10" i="36"/>
  <c r="G5" i="36"/>
  <c r="F5" i="36"/>
  <c r="G4" i="36"/>
  <c r="F4" i="36"/>
  <c r="C54" i="26"/>
  <c r="C50" i="26"/>
  <c r="C48" i="26"/>
  <c r="C46" i="26"/>
  <c r="F40" i="26"/>
  <c r="E40" i="26"/>
  <c r="G40" i="26" s="1"/>
  <c r="C57" i="26" s="1"/>
  <c r="G39" i="26"/>
  <c r="C53" i="26" s="1"/>
  <c r="F39" i="26"/>
  <c r="E39" i="26"/>
  <c r="F38" i="26"/>
  <c r="E38" i="26"/>
  <c r="G38" i="26" s="1"/>
  <c r="C49" i="26" s="1"/>
  <c r="F32" i="26"/>
  <c r="E32" i="26"/>
  <c r="G32" i="26" s="1"/>
  <c r="C56" i="26" s="1"/>
  <c r="G31" i="26"/>
  <c r="C52" i="26" s="1"/>
  <c r="F31" i="26"/>
  <c r="E31" i="26"/>
  <c r="G30" i="26"/>
  <c r="F30" i="26"/>
  <c r="E30" i="26"/>
  <c r="F25" i="26"/>
  <c r="E25" i="26"/>
  <c r="G25" i="26" s="1"/>
  <c r="C55" i="26" s="1"/>
  <c r="G24" i="26"/>
  <c r="C51" i="26" s="1"/>
  <c r="F24" i="26"/>
  <c r="E24" i="26"/>
  <c r="F23" i="26"/>
  <c r="E23" i="26"/>
  <c r="G23" i="26" s="1"/>
  <c r="C47" i="26" s="1"/>
  <c r="G19" i="26"/>
  <c r="F19" i="26"/>
  <c r="E19" i="26"/>
  <c r="G18" i="26"/>
  <c r="F18" i="26"/>
  <c r="E18" i="26"/>
  <c r="G17" i="26"/>
  <c r="F17" i="26"/>
  <c r="E17" i="26"/>
  <c r="H12" i="26"/>
  <c r="H11" i="26"/>
  <c r="G11" i="26"/>
  <c r="F11" i="26"/>
  <c r="H10" i="26"/>
  <c r="G10" i="26"/>
  <c r="F10" i="26"/>
  <c r="H6" i="26"/>
  <c r="H5" i="26"/>
  <c r="G5" i="26"/>
  <c r="F5" i="26"/>
  <c r="H4" i="26"/>
  <c r="G4" i="26"/>
  <c r="F4" i="26"/>
  <c r="G132" i="34"/>
  <c r="G131" i="34"/>
  <c r="G130" i="34"/>
  <c r="P130" i="34" s="1"/>
  <c r="J129" i="34"/>
  <c r="G129" i="34"/>
  <c r="G128" i="34"/>
  <c r="J128" i="34" s="1"/>
  <c r="G127" i="34"/>
  <c r="G126" i="34"/>
  <c r="G125" i="34"/>
  <c r="L125" i="34" s="1"/>
  <c r="L124" i="34"/>
  <c r="G124" i="34"/>
  <c r="G123" i="34"/>
  <c r="N123" i="34" s="1"/>
  <c r="G115" i="34"/>
  <c r="L115" i="34" s="1"/>
  <c r="G114" i="34"/>
  <c r="N114" i="34" s="1"/>
  <c r="G113" i="34"/>
  <c r="J113" i="34" s="1"/>
  <c r="G112" i="34"/>
  <c r="L112" i="34" s="1"/>
  <c r="G111" i="34"/>
  <c r="P111" i="34" s="1"/>
  <c r="G110" i="34"/>
  <c r="L110" i="34" s="1"/>
  <c r="G109" i="34"/>
  <c r="L109" i="34" s="1"/>
  <c r="G108" i="34"/>
  <c r="L108" i="34" s="1"/>
  <c r="G107" i="34"/>
  <c r="L107" i="34" s="1"/>
  <c r="P106" i="34"/>
  <c r="G106" i="34"/>
  <c r="L106" i="34" s="1"/>
  <c r="G98" i="34"/>
  <c r="L98" i="34" s="1"/>
  <c r="G97" i="34"/>
  <c r="L97" i="34" s="1"/>
  <c r="N96" i="34"/>
  <c r="G96" i="34"/>
  <c r="J96" i="34" s="1"/>
  <c r="G95" i="34"/>
  <c r="L95" i="34" s="1"/>
  <c r="G94" i="34"/>
  <c r="P94" i="34" s="1"/>
  <c r="G93" i="34"/>
  <c r="L93" i="34" s="1"/>
  <c r="N92" i="34"/>
  <c r="G92" i="34"/>
  <c r="L92" i="34" s="1"/>
  <c r="G91" i="34"/>
  <c r="N91" i="34" s="1"/>
  <c r="G90" i="34"/>
  <c r="L90" i="34" s="1"/>
  <c r="P89" i="34"/>
  <c r="J89" i="34"/>
  <c r="G89" i="34"/>
  <c r="L89" i="34" s="1"/>
  <c r="G81" i="34"/>
  <c r="L81" i="34" s="1"/>
  <c r="G80" i="34"/>
  <c r="L80" i="34" s="1"/>
  <c r="G79" i="34"/>
  <c r="J79" i="34" s="1"/>
  <c r="P78" i="34"/>
  <c r="G78" i="34"/>
  <c r="L78" i="34" s="1"/>
  <c r="G77" i="34"/>
  <c r="P77" i="34" s="1"/>
  <c r="G76" i="34"/>
  <c r="L76" i="34" s="1"/>
  <c r="G75" i="34"/>
  <c r="L75" i="34" s="1"/>
  <c r="G74" i="34"/>
  <c r="N74" i="34" s="1"/>
  <c r="G73" i="34"/>
  <c r="L73" i="34" s="1"/>
  <c r="G72" i="34"/>
  <c r="L72" i="34" s="1"/>
  <c r="G64" i="34"/>
  <c r="L64" i="34" s="1"/>
  <c r="L63" i="34"/>
  <c r="G63" i="34"/>
  <c r="P63" i="34" s="1"/>
  <c r="G62" i="34"/>
  <c r="L62" i="34" s="1"/>
  <c r="P61" i="34"/>
  <c r="G61" i="34"/>
  <c r="L61" i="34" s="1"/>
  <c r="G60" i="34"/>
  <c r="P60" i="34" s="1"/>
  <c r="G59" i="34"/>
  <c r="L59" i="34" s="1"/>
  <c r="G58" i="34"/>
  <c r="L58" i="34" s="1"/>
  <c r="G57" i="34"/>
  <c r="N57" i="34" s="1"/>
  <c r="G56" i="34"/>
  <c r="L56" i="34" s="1"/>
  <c r="G55" i="34"/>
  <c r="L55" i="34" s="1"/>
  <c r="G48" i="34"/>
  <c r="L48" i="34" s="1"/>
  <c r="G47" i="34"/>
  <c r="L47" i="34" s="1"/>
  <c r="G46" i="34"/>
  <c r="J46" i="34" s="1"/>
  <c r="G45" i="34"/>
  <c r="L45" i="34" s="1"/>
  <c r="G44" i="34"/>
  <c r="P44" i="34" s="1"/>
  <c r="G43" i="34"/>
  <c r="L43" i="34" s="1"/>
  <c r="N42" i="34"/>
  <c r="G42" i="34"/>
  <c r="L42" i="34" s="1"/>
  <c r="G41" i="34"/>
  <c r="N41" i="34" s="1"/>
  <c r="G40" i="34"/>
  <c r="L40" i="34" s="1"/>
  <c r="G39" i="34"/>
  <c r="L39" i="34" s="1"/>
  <c r="G31" i="34"/>
  <c r="L31" i="34" s="1"/>
  <c r="G30" i="34"/>
  <c r="L30" i="34" s="1"/>
  <c r="G29" i="34"/>
  <c r="J29" i="34" s="1"/>
  <c r="G28" i="34"/>
  <c r="L28" i="34" s="1"/>
  <c r="G27" i="34"/>
  <c r="P27" i="34" s="1"/>
  <c r="G26" i="34"/>
  <c r="L26" i="34" s="1"/>
  <c r="G25" i="34"/>
  <c r="L25" i="34" s="1"/>
  <c r="G24" i="34"/>
  <c r="N24" i="34" s="1"/>
  <c r="G23" i="34"/>
  <c r="L23" i="34" s="1"/>
  <c r="J22" i="34"/>
  <c r="G22" i="34"/>
  <c r="L22" i="34" s="1"/>
  <c r="G13" i="34"/>
  <c r="L13" i="34" s="1"/>
  <c r="G12" i="34"/>
  <c r="L12" i="34" s="1"/>
  <c r="G11" i="34"/>
  <c r="J11" i="34" s="1"/>
  <c r="G10" i="34"/>
  <c r="L10" i="34" s="1"/>
  <c r="G9" i="34"/>
  <c r="P9" i="34" s="1"/>
  <c r="J8" i="34"/>
  <c r="G8" i="34"/>
  <c r="L8" i="34" s="1"/>
  <c r="N7" i="34"/>
  <c r="G7" i="34"/>
  <c r="L7" i="34" s="1"/>
  <c r="P6" i="34"/>
  <c r="G6" i="34"/>
  <c r="N6" i="34" s="1"/>
  <c r="G5" i="34"/>
  <c r="L5" i="34" s="1"/>
  <c r="P4" i="34"/>
  <c r="J4" i="34"/>
  <c r="G4" i="34"/>
  <c r="L4" i="34" s="1"/>
  <c r="S49" i="25"/>
  <c r="P49" i="25"/>
  <c r="M49" i="25"/>
  <c r="J49" i="25"/>
  <c r="S48" i="25"/>
  <c r="P48" i="25"/>
  <c r="M48" i="25"/>
  <c r="J48" i="25"/>
  <c r="G48" i="25"/>
  <c r="S47" i="25"/>
  <c r="P47" i="25"/>
  <c r="M47" i="25"/>
  <c r="J47" i="25"/>
  <c r="G47" i="25"/>
  <c r="S46" i="25"/>
  <c r="P46" i="25"/>
  <c r="M46" i="25"/>
  <c r="J46" i="25"/>
  <c r="G46" i="25"/>
  <c r="S45" i="25"/>
  <c r="P45" i="25"/>
  <c r="M45" i="25"/>
  <c r="J45" i="25"/>
  <c r="G45" i="25"/>
  <c r="S44" i="25"/>
  <c r="P44" i="25"/>
  <c r="M44" i="25"/>
  <c r="J44" i="25"/>
  <c r="G44" i="25"/>
  <c r="S43" i="25"/>
  <c r="P43" i="25"/>
  <c r="M43" i="25"/>
  <c r="J43" i="25"/>
  <c r="G43" i="25"/>
  <c r="S42" i="25"/>
  <c r="P42" i="25"/>
  <c r="M42" i="25"/>
  <c r="J42" i="25"/>
  <c r="G42" i="25"/>
  <c r="S41" i="25"/>
  <c r="P41" i="25"/>
  <c r="M41" i="25"/>
  <c r="J41" i="25"/>
  <c r="G41" i="25"/>
  <c r="S40" i="25"/>
  <c r="P40" i="25"/>
  <c r="M40" i="25"/>
  <c r="J40" i="25"/>
  <c r="G40" i="25"/>
  <c r="S39" i="25"/>
  <c r="P39" i="25"/>
  <c r="M39" i="25"/>
  <c r="J39" i="25"/>
  <c r="G39" i="25"/>
  <c r="S31" i="25"/>
  <c r="P31" i="25"/>
  <c r="M31" i="25"/>
  <c r="J31" i="25"/>
  <c r="S30" i="25"/>
  <c r="P30" i="25"/>
  <c r="M30" i="25"/>
  <c r="J30" i="25"/>
  <c r="G30" i="25"/>
  <c r="S29" i="25"/>
  <c r="P29" i="25"/>
  <c r="M29" i="25"/>
  <c r="J29" i="25"/>
  <c r="G29" i="25"/>
  <c r="S28" i="25"/>
  <c r="P28" i="25"/>
  <c r="M28" i="25"/>
  <c r="J28" i="25"/>
  <c r="G28" i="25"/>
  <c r="S27" i="25"/>
  <c r="P27" i="25"/>
  <c r="M27" i="25"/>
  <c r="J27" i="25"/>
  <c r="G27" i="25"/>
  <c r="S26" i="25"/>
  <c r="P26" i="25"/>
  <c r="M26" i="25"/>
  <c r="J26" i="25"/>
  <c r="G26" i="25"/>
  <c r="S25" i="25"/>
  <c r="P25" i="25"/>
  <c r="M25" i="25"/>
  <c r="J25" i="25"/>
  <c r="G25" i="25"/>
  <c r="S24" i="25"/>
  <c r="P24" i="25"/>
  <c r="M24" i="25"/>
  <c r="J24" i="25"/>
  <c r="G24" i="25"/>
  <c r="S23" i="25"/>
  <c r="P23" i="25"/>
  <c r="M23" i="25"/>
  <c r="J23" i="25"/>
  <c r="G23" i="25"/>
  <c r="S22" i="25"/>
  <c r="P22" i="25"/>
  <c r="M22" i="25"/>
  <c r="J22" i="25"/>
  <c r="G22" i="25"/>
  <c r="S21" i="25"/>
  <c r="P21" i="25"/>
  <c r="M21" i="25"/>
  <c r="J21" i="25"/>
  <c r="G21" i="25"/>
  <c r="S14" i="25"/>
  <c r="P14" i="25"/>
  <c r="M14" i="25"/>
  <c r="J14" i="25"/>
  <c r="S13" i="25"/>
  <c r="P13" i="25"/>
  <c r="M13" i="25"/>
  <c r="J13" i="25"/>
  <c r="G13" i="25"/>
  <c r="S12" i="25"/>
  <c r="P12" i="25"/>
  <c r="M12" i="25"/>
  <c r="J12" i="25"/>
  <c r="G12" i="25"/>
  <c r="S11" i="25"/>
  <c r="P11" i="25"/>
  <c r="M11" i="25"/>
  <c r="J11" i="25"/>
  <c r="G11" i="25"/>
  <c r="S10" i="25"/>
  <c r="P10" i="25"/>
  <c r="M10" i="25"/>
  <c r="J10" i="25"/>
  <c r="G10" i="25"/>
  <c r="S9" i="25"/>
  <c r="P9" i="25"/>
  <c r="M9" i="25"/>
  <c r="J9" i="25"/>
  <c r="G9" i="25"/>
  <c r="S8" i="25"/>
  <c r="P8" i="25"/>
  <c r="M8" i="25"/>
  <c r="J8" i="25"/>
  <c r="G8" i="25"/>
  <c r="S7" i="25"/>
  <c r="P7" i="25"/>
  <c r="M7" i="25"/>
  <c r="J7" i="25"/>
  <c r="G7" i="25"/>
  <c r="S6" i="25"/>
  <c r="P6" i="25"/>
  <c r="M6" i="25"/>
  <c r="J6" i="25"/>
  <c r="G6" i="25"/>
  <c r="S5" i="25"/>
  <c r="P5" i="25"/>
  <c r="M5" i="25"/>
  <c r="J5" i="25"/>
  <c r="G5" i="25"/>
  <c r="S4" i="25"/>
  <c r="P4" i="25"/>
  <c r="M4" i="25"/>
  <c r="J4" i="25"/>
  <c r="G4" i="25"/>
  <c r="K11" i="2" l="1"/>
  <c r="M11" i="2"/>
  <c r="I9" i="2"/>
  <c r="K12" i="2"/>
  <c r="M25" i="2"/>
  <c r="M5" i="2"/>
  <c r="I7" i="2"/>
  <c r="P8" i="2"/>
  <c r="K10" i="2"/>
  <c r="M13" i="2"/>
  <c r="K6" i="2"/>
  <c r="I8" i="2"/>
  <c r="P5" i="2"/>
  <c r="K7" i="2"/>
  <c r="M10" i="2"/>
  <c r="I12" i="2"/>
  <c r="P13" i="2"/>
  <c r="E26" i="2"/>
  <c r="I6" i="2"/>
  <c r="I15" i="2" s="1"/>
  <c r="D25" i="2" s="1"/>
  <c r="F25" i="2" s="1"/>
  <c r="P7" i="2"/>
  <c r="K9" i="2"/>
  <c r="M12" i="2"/>
  <c r="I14" i="2"/>
  <c r="I11" i="2"/>
  <c r="K14" i="2"/>
  <c r="I26" i="2"/>
  <c r="M14" i="2"/>
  <c r="M6" i="2"/>
  <c r="K8" i="2"/>
  <c r="I13" i="2"/>
  <c r="N200" i="45"/>
  <c r="N149" i="45"/>
  <c r="O15" i="45"/>
  <c r="F11" i="43"/>
  <c r="G11" i="43"/>
  <c r="G32" i="43"/>
  <c r="G96" i="43"/>
  <c r="G18" i="36"/>
  <c r="F104" i="36"/>
  <c r="F72" i="36"/>
  <c r="F80" i="36"/>
  <c r="H4" i="36"/>
  <c r="G17" i="36"/>
  <c r="H5" i="36"/>
  <c r="G19" i="36"/>
  <c r="H11" i="36"/>
  <c r="H10" i="36"/>
  <c r="F71" i="36"/>
  <c r="F74" i="36"/>
  <c r="F73" i="36"/>
  <c r="F82" i="36"/>
  <c r="F81" i="36"/>
  <c r="F79" i="36"/>
  <c r="F103" i="36"/>
  <c r="F106" i="36"/>
  <c r="F105" i="36"/>
  <c r="F114" i="36"/>
  <c r="F113" i="36"/>
  <c r="F111" i="36"/>
  <c r="F65" i="36"/>
  <c r="F97" i="36"/>
  <c r="F90" i="36"/>
  <c r="F66" i="36"/>
  <c r="F87" i="36"/>
  <c r="F98" i="36"/>
  <c r="G75" i="43"/>
  <c r="G54" i="43"/>
  <c r="G139" i="43"/>
  <c r="G161" i="43"/>
  <c r="G118" i="43"/>
  <c r="J28" i="34"/>
  <c r="J39" i="34"/>
  <c r="J76" i="34"/>
  <c r="L79" i="34"/>
  <c r="J93" i="34"/>
  <c r="J108" i="34"/>
  <c r="P79" i="34"/>
  <c r="P10" i="34"/>
  <c r="P76" i="34"/>
  <c r="P45" i="34"/>
  <c r="J55" i="34"/>
  <c r="J91" i="34"/>
  <c r="J132" i="34"/>
  <c r="J43" i="34"/>
  <c r="N11" i="34"/>
  <c r="J30" i="34"/>
  <c r="P41" i="34"/>
  <c r="J62" i="34"/>
  <c r="J72" i="34"/>
  <c r="L77" i="34"/>
  <c r="P91" i="34"/>
  <c r="P95" i="34"/>
  <c r="J123" i="34"/>
  <c r="P132" i="34"/>
  <c r="N46" i="34"/>
  <c r="L91" i="34"/>
  <c r="J106" i="34"/>
  <c r="L123" i="34"/>
  <c r="J97" i="34"/>
  <c r="N63" i="34"/>
  <c r="N4" i="34"/>
  <c r="J26" i="34"/>
  <c r="N29" i="34"/>
  <c r="J59" i="34"/>
  <c r="P74" i="34"/>
  <c r="J110" i="34"/>
  <c r="N113" i="34"/>
  <c r="N124" i="34"/>
  <c r="J131" i="34"/>
  <c r="N132" i="34"/>
  <c r="L29" i="34"/>
  <c r="L74" i="34"/>
  <c r="P8" i="34"/>
  <c r="L11" i="34"/>
  <c r="N39" i="34"/>
  <c r="P43" i="34"/>
  <c r="L46" i="34"/>
  <c r="P59" i="34"/>
  <c r="N62" i="34"/>
  <c r="J80" i="34"/>
  <c r="N93" i="34"/>
  <c r="P96" i="34"/>
  <c r="N108" i="34"/>
  <c r="P110" i="34"/>
  <c r="L113" i="34"/>
  <c r="J127" i="34"/>
  <c r="N129" i="34"/>
  <c r="P131" i="34"/>
  <c r="L132" i="34"/>
  <c r="N131" i="34"/>
  <c r="L27" i="34"/>
  <c r="P62" i="34"/>
  <c r="N75" i="34"/>
  <c r="J78" i="34"/>
  <c r="P93" i="34"/>
  <c r="L96" i="34"/>
  <c r="P108" i="34"/>
  <c r="P127" i="34"/>
  <c r="P129" i="34"/>
  <c r="L131" i="34"/>
  <c r="P26" i="34"/>
  <c r="P113" i="34"/>
  <c r="L9" i="34"/>
  <c r="J12" i="34"/>
  <c r="P24" i="34"/>
  <c r="N30" i="34"/>
  <c r="L44" i="34"/>
  <c r="J47" i="34"/>
  <c r="P57" i="34"/>
  <c r="L60" i="34"/>
  <c r="N106" i="34"/>
  <c r="L111" i="34"/>
  <c r="J114" i="34"/>
  <c r="P123" i="34"/>
  <c r="J125" i="34"/>
  <c r="N110" i="34"/>
  <c r="L94" i="34"/>
  <c r="P114" i="34"/>
  <c r="P125" i="34"/>
  <c r="N59" i="34"/>
  <c r="J10" i="34"/>
  <c r="N25" i="34"/>
  <c r="P28" i="34"/>
  <c r="J45" i="34"/>
  <c r="N58" i="34"/>
  <c r="J61" i="34"/>
  <c r="J63" i="34"/>
  <c r="N76" i="34"/>
  <c r="N79" i="34"/>
  <c r="P97" i="34"/>
  <c r="N109" i="34"/>
  <c r="P112" i="34"/>
  <c r="L114" i="34"/>
  <c r="N128" i="34"/>
  <c r="L130" i="34"/>
  <c r="J5" i="34"/>
  <c r="L6" i="34"/>
  <c r="L14" i="34" s="1"/>
  <c r="N8" i="34"/>
  <c r="P11" i="34"/>
  <c r="J13" i="34"/>
  <c r="J23" i="34"/>
  <c r="L24" i="34"/>
  <c r="N26" i="34"/>
  <c r="P29" i="34"/>
  <c r="J31" i="34"/>
  <c r="J40" i="34"/>
  <c r="L41" i="34"/>
  <c r="N43" i="34"/>
  <c r="P46" i="34"/>
  <c r="J48" i="34"/>
  <c r="J56" i="34"/>
  <c r="L57" i="34"/>
  <c r="J64" i="34"/>
  <c r="J73" i="34"/>
  <c r="J81" i="34"/>
  <c r="J90" i="34"/>
  <c r="J98" i="34"/>
  <c r="J107" i="34"/>
  <c r="J115" i="34"/>
  <c r="J126" i="34"/>
  <c r="N127" i="34"/>
  <c r="P128" i="34"/>
  <c r="L129" i="34"/>
  <c r="N5" i="34"/>
  <c r="N13" i="34"/>
  <c r="N23" i="34"/>
  <c r="N31" i="34"/>
  <c r="N40" i="34"/>
  <c r="N48" i="34"/>
  <c r="N56" i="34"/>
  <c r="N64" i="34"/>
  <c r="N73" i="34"/>
  <c r="N81" i="34"/>
  <c r="N90" i="34"/>
  <c r="J95" i="34"/>
  <c r="N98" i="34"/>
  <c r="N107" i="34"/>
  <c r="J112" i="34"/>
  <c r="N115" i="34"/>
  <c r="N126" i="34"/>
  <c r="L128" i="34"/>
  <c r="P5" i="34"/>
  <c r="J7" i="34"/>
  <c r="N10" i="34"/>
  <c r="P13" i="34"/>
  <c r="P23" i="34"/>
  <c r="J25" i="34"/>
  <c r="N28" i="34"/>
  <c r="P31" i="34"/>
  <c r="P40" i="34"/>
  <c r="J42" i="34"/>
  <c r="N45" i="34"/>
  <c r="P48" i="34"/>
  <c r="P56" i="34"/>
  <c r="J58" i="34"/>
  <c r="N61" i="34"/>
  <c r="P64" i="34"/>
  <c r="P73" i="34"/>
  <c r="J75" i="34"/>
  <c r="N78" i="34"/>
  <c r="P81" i="34"/>
  <c r="P90" i="34"/>
  <c r="J92" i="34"/>
  <c r="N95" i="34"/>
  <c r="P98" i="34"/>
  <c r="P107" i="34"/>
  <c r="J109" i="34"/>
  <c r="N112" i="34"/>
  <c r="P115" i="34"/>
  <c r="J124" i="34"/>
  <c r="N125" i="34"/>
  <c r="P126" i="34"/>
  <c r="L127" i="34"/>
  <c r="L126" i="34"/>
  <c r="P7" i="34"/>
  <c r="J9" i="34"/>
  <c r="N12" i="34"/>
  <c r="N22" i="34"/>
  <c r="P25" i="34"/>
  <c r="J27" i="34"/>
  <c r="P42" i="34"/>
  <c r="J44" i="34"/>
  <c r="N47" i="34"/>
  <c r="N55" i="34"/>
  <c r="P58" i="34"/>
  <c r="J60" i="34"/>
  <c r="N72" i="34"/>
  <c r="P75" i="34"/>
  <c r="J77" i="34"/>
  <c r="N80" i="34"/>
  <c r="N89" i="34"/>
  <c r="P92" i="34"/>
  <c r="J94" i="34"/>
  <c r="N97" i="34"/>
  <c r="P109" i="34"/>
  <c r="J111" i="34"/>
  <c r="P124" i="34"/>
  <c r="J130" i="34"/>
  <c r="J6" i="34"/>
  <c r="N9" i="34"/>
  <c r="P12" i="34"/>
  <c r="P22" i="34"/>
  <c r="J24" i="34"/>
  <c r="N27" i="34"/>
  <c r="P30" i="34"/>
  <c r="P39" i="34"/>
  <c r="J41" i="34"/>
  <c r="N44" i="34"/>
  <c r="P47" i="34"/>
  <c r="P55" i="34"/>
  <c r="J57" i="34"/>
  <c r="N60" i="34"/>
  <c r="P72" i="34"/>
  <c r="J74" i="34"/>
  <c r="N77" i="34"/>
  <c r="P80" i="34"/>
  <c r="N94" i="34"/>
  <c r="N111" i="34"/>
  <c r="N130" i="34"/>
  <c r="M15" i="2" l="1"/>
  <c r="L25" i="2" s="1"/>
  <c r="N25" i="2" s="1"/>
  <c r="P15" i="2"/>
  <c r="K15" i="2"/>
  <c r="H6" i="36"/>
  <c r="H12" i="36"/>
  <c r="G98" i="36" s="1"/>
  <c r="H98" i="36" s="1"/>
  <c r="L99" i="34"/>
  <c r="L82" i="34"/>
  <c r="P116" i="34"/>
  <c r="P14" i="34"/>
  <c r="P99" i="34"/>
  <c r="L65" i="34"/>
  <c r="J14" i="34"/>
  <c r="P133" i="34"/>
  <c r="L116" i="34"/>
  <c r="L49" i="34"/>
  <c r="N32" i="34"/>
  <c r="N133" i="34"/>
  <c r="J99" i="34"/>
  <c r="N14" i="34"/>
  <c r="J116" i="34"/>
  <c r="L32" i="34"/>
  <c r="J32" i="34"/>
  <c r="J133" i="34"/>
  <c r="J65" i="34"/>
  <c r="P82" i="34"/>
  <c r="L133" i="34"/>
  <c r="N49" i="34"/>
  <c r="J82" i="34"/>
  <c r="J49" i="34"/>
  <c r="P65" i="34"/>
  <c r="P32" i="34"/>
  <c r="N82" i="34"/>
  <c r="N65" i="34"/>
  <c r="N99" i="34"/>
  <c r="N116" i="34"/>
  <c r="P49" i="34"/>
  <c r="L26" i="2" l="1"/>
  <c r="N26" i="2" s="1"/>
  <c r="H26" i="2"/>
  <c r="J26" i="2" s="1"/>
  <c r="D26" i="2"/>
  <c r="F26" i="2" s="1"/>
  <c r="G106" i="36"/>
  <c r="H106" i="36" s="1"/>
  <c r="G105" i="36"/>
  <c r="H105" i="36" s="1"/>
  <c r="G65" i="36"/>
  <c r="H65" i="36" s="1"/>
  <c r="G54" i="36"/>
  <c r="H54" i="36" s="1"/>
  <c r="G66" i="36"/>
  <c r="H66" i="36" s="1"/>
  <c r="G73" i="36"/>
  <c r="H73" i="36" s="1"/>
  <c r="G74" i="36"/>
  <c r="H74" i="36" s="1"/>
  <c r="G63" i="36"/>
  <c r="H63" i="36" s="1"/>
  <c r="G79" i="36"/>
  <c r="H79" i="36" s="1"/>
  <c r="G113" i="36"/>
  <c r="H113" i="36" s="1"/>
  <c r="G111" i="36"/>
  <c r="H111" i="36" s="1"/>
  <c r="G55" i="36"/>
  <c r="H55" i="36" s="1"/>
  <c r="G104" i="36"/>
  <c r="G96" i="36"/>
  <c r="G112" i="36"/>
  <c r="G88" i="36"/>
  <c r="G64" i="36"/>
  <c r="G80" i="36"/>
  <c r="G72" i="36"/>
  <c r="G71" i="36"/>
  <c r="H71" i="36" s="1"/>
  <c r="G103" i="36"/>
  <c r="H103" i="36" s="1"/>
  <c r="G87" i="36"/>
  <c r="H87" i="36" s="1"/>
  <c r="G57" i="36"/>
  <c r="H57" i="36" s="1"/>
  <c r="G97" i="36"/>
  <c r="G95" i="36"/>
  <c r="H95" i="36" s="1"/>
  <c r="G90" i="36"/>
  <c r="H90" i="36" s="1"/>
  <c r="G82" i="36"/>
  <c r="H82" i="36" s="1"/>
  <c r="G81" i="36"/>
  <c r="H81" i="36" s="1"/>
  <c r="G56" i="36"/>
  <c r="H56" i="36" s="1"/>
  <c r="G114" i="36"/>
  <c r="H114" i="36" s="1"/>
  <c r="G89" i="36"/>
  <c r="H89" i="36" s="1"/>
</calcChain>
</file>

<file path=xl/sharedStrings.xml><?xml version="1.0" encoding="utf-8"?>
<sst xmlns="http://schemas.openxmlformats.org/spreadsheetml/2006/main" count="1524" uniqueCount="539">
  <si>
    <t>Impact category</t>
  </si>
  <si>
    <t>Unit</t>
  </si>
  <si>
    <t>Climate change</t>
  </si>
  <si>
    <t>kg CO2 eq</t>
  </si>
  <si>
    <t>Ozone depletion</t>
  </si>
  <si>
    <t>kg CFC11 eq</t>
  </si>
  <si>
    <t>Human toxicity, cancer</t>
  </si>
  <si>
    <t>CTUh</t>
  </si>
  <si>
    <t>Human toxicity, non-cancer</t>
  </si>
  <si>
    <t>Particulate matter</t>
  </si>
  <si>
    <t>disease inc.</t>
  </si>
  <si>
    <t>Photochemical ozone formation</t>
  </si>
  <si>
    <t>kg NMVOC eq</t>
  </si>
  <si>
    <t>Acidification</t>
  </si>
  <si>
    <t>mol H+ eq</t>
  </si>
  <si>
    <t>Eutrophication, freshwater</t>
  </si>
  <si>
    <t>kg P eq</t>
  </si>
  <si>
    <t>Ecotoxicity, freshwater</t>
  </si>
  <si>
    <t>CTUe</t>
  </si>
  <si>
    <t>Resource use, fossils</t>
  </si>
  <si>
    <t>MJ</t>
  </si>
  <si>
    <t>Cost (€/Impact)</t>
  </si>
  <si>
    <t>€ to USD</t>
  </si>
  <si>
    <t>Mosquito Coil</t>
  </si>
  <si>
    <t>Impact</t>
  </si>
  <si>
    <t>USD</t>
  </si>
  <si>
    <t>Coils</t>
  </si>
  <si>
    <t>Countries</t>
  </si>
  <si>
    <t>Thailand</t>
  </si>
  <si>
    <t>Ref</t>
  </si>
  <si>
    <t>https://www.mea.or.th/en/public-relations/corporate-news-activities/announcement/KGpRg6Az2</t>
  </si>
  <si>
    <t>Indonesia</t>
  </si>
  <si>
    <t xml:space="preserve">https://www.sciencedirect.com/science/article/abs/pii/S2352710222005885 </t>
  </si>
  <si>
    <t>Sri Lanka</t>
  </si>
  <si>
    <t xml:space="preserve">https://www.energy.gov.lk/en/knowledge/resources/your-home/ventilation-and-thermal-comfort </t>
  </si>
  <si>
    <t>Myanmar</t>
  </si>
  <si>
    <t>Brazil</t>
  </si>
  <si>
    <t>India</t>
  </si>
  <si>
    <t>Peru</t>
  </si>
  <si>
    <t>Bangladesh</t>
  </si>
  <si>
    <t>Philippines</t>
  </si>
  <si>
    <t>Mexico</t>
  </si>
  <si>
    <t>https://bdnews24.com/bangladesh/4i4b9ong3w</t>
  </si>
  <si>
    <t>Avg Household</t>
  </si>
  <si>
    <t>No. of People</t>
  </si>
  <si>
    <t>Bangladesh HIES: Average Household Size | Economic Indicators | CEIC</t>
  </si>
  <si>
    <t>https://www.adb.org/sites/default/files/institutional-document/964861/adpr2024bp-home-based-care-needs-older-adults-sri-lanka.pdf</t>
  </si>
  <si>
    <t>https://view.officeapps.live.com/op/view.aspx?src=https%3A%2F%2Fwww.mospi.gov.in%2Fsites%2Fdefault%2Ffiles%2Freports_and_publication%2FNSS78-20-21%2FTable1-Estimated-persons-and-households.xlsx&amp;wdOrigin=BROWSELINK</t>
  </si>
  <si>
    <t>https://myanmar.unfpa.org/sites/default/files/pub-pdf/the_2019_inter-censal_survey_key_findings_english.pdf</t>
  </si>
  <si>
    <t>https://www.ceicdata.com/en/indonesia/cost-of-living-survey-sbh2018-average-family-size-by-cities/average-family-size-dki-jakarta</t>
  </si>
  <si>
    <t>https://www.arcgis.com/home/item.html?id=8658f09cf1ae4a44aaa813fbb687b59f#:~:text=Description-,This%20map%20shows%20the%20average%20household%20size%20in%20Thailand%20in,household%20population%20by%20total%20households.</t>
  </si>
  <si>
    <t>https://dhsprogram.com/pubs/pdf/SR276/SR276.pdf</t>
  </si>
  <si>
    <t>EEC-GWP</t>
  </si>
  <si>
    <t>EEC-ODP</t>
  </si>
  <si>
    <t>EEC-PMFP</t>
  </si>
  <si>
    <t>EEC-POFP</t>
  </si>
  <si>
    <t>EEC-AP</t>
  </si>
  <si>
    <t>EEC-FEP</t>
  </si>
  <si>
    <t>EEC-FETP</t>
  </si>
  <si>
    <t>EEC-FDP</t>
  </si>
  <si>
    <t>ADTC</t>
  </si>
  <si>
    <t>Chennai (Warm and Humid)</t>
  </si>
  <si>
    <t>€ To USD</t>
  </si>
  <si>
    <t xml:space="preserve">Total EEC </t>
  </si>
  <si>
    <t>Ahmedabad (Hot and Dry)</t>
  </si>
  <si>
    <t>Delhi (Composite)</t>
  </si>
  <si>
    <t>Lifespan</t>
  </si>
  <si>
    <t>Total Capex (INR)</t>
  </si>
  <si>
    <t>Capex/Year (USD)</t>
  </si>
  <si>
    <t xml:space="preserve">Device </t>
  </si>
  <si>
    <t>Fan</t>
  </si>
  <si>
    <t>AC (1.5 ton)</t>
  </si>
  <si>
    <t>1INR to 1USD</t>
  </si>
  <si>
    <t>Capex/Year (INR)</t>
  </si>
  <si>
    <t>Scrap Cost</t>
  </si>
  <si>
    <t>Cost Type</t>
  </si>
  <si>
    <t>Purchasing Cost</t>
  </si>
  <si>
    <t>End of Life</t>
  </si>
  <si>
    <t>Total Capex/Year</t>
  </si>
  <si>
    <t>Region</t>
  </si>
  <si>
    <t>Chennai (Warm &amp;Humid)</t>
  </si>
  <si>
    <t>Ahmedabad (Hot &amp; Dry)</t>
  </si>
  <si>
    <t>Elec. Cons. KWh</t>
  </si>
  <si>
    <t>Unit Price (INR/KWh)</t>
  </si>
  <si>
    <t>Total Price (INR)</t>
  </si>
  <si>
    <t>Use Cost (USD)</t>
  </si>
  <si>
    <t>What are the Electricity Charges in Chennai | Bajaj Finserv</t>
  </si>
  <si>
    <t>What are the Electricity Charges in Ahmedabad | Bajaj Finserv</t>
  </si>
  <si>
    <t>Electricity rates in Delhi: Tariff schedule, cost per unit and more</t>
  </si>
  <si>
    <t>How Much Does Solar Panel Installation Cost In India 2024: Key Factors</t>
  </si>
  <si>
    <t xml:space="preserve">Annual Capital Costs (Manufacturing and End of Life Stages) for Fan  </t>
  </si>
  <si>
    <t xml:space="preserve">Annual Capital Costs (Manufacturing and End of Life Stages) for Split AC Unit </t>
  </si>
  <si>
    <t xml:space="preserve">Operational Cost for Fan </t>
  </si>
  <si>
    <t>Impacts-CHN</t>
  </si>
  <si>
    <t>Impacts-AMD</t>
  </si>
  <si>
    <t>Impacts-DEL</t>
  </si>
  <si>
    <t>CHN Costs</t>
  </si>
  <si>
    <t>AMD Costs</t>
  </si>
  <si>
    <t xml:space="preserve">Consumer Costs </t>
  </si>
  <si>
    <t xml:space="preserve">INR </t>
  </si>
  <si>
    <t>INR To USD</t>
  </si>
  <si>
    <t>Intervention Costs EEC</t>
  </si>
  <si>
    <t>Mosquito Repellent</t>
  </si>
  <si>
    <t>Intervention-Type</t>
  </si>
  <si>
    <t>Annual EEC (AEEC)</t>
  </si>
  <si>
    <t>Intervention Annual Consumer Costs (ACC)</t>
  </si>
  <si>
    <t>ACC</t>
  </si>
  <si>
    <t>AEEC-CHN</t>
  </si>
  <si>
    <t>ACC-CHN</t>
  </si>
  <si>
    <t>AWLC-CHN</t>
  </si>
  <si>
    <t>AEEC-AMD</t>
  </si>
  <si>
    <t>ACC-AMD</t>
  </si>
  <si>
    <t>AWLC-AMD</t>
  </si>
  <si>
    <t>AEEC-DEL</t>
  </si>
  <si>
    <t>ACC-DEL</t>
  </si>
  <si>
    <t>AWLC-DEL</t>
  </si>
  <si>
    <t>Intervention-Annual Whole Life Costs (AWLC)</t>
  </si>
  <si>
    <t xml:space="preserve">Total Capex/Year </t>
  </si>
  <si>
    <t>EEC-HH-CP</t>
  </si>
  <si>
    <t>EEC-HH-NCP</t>
  </si>
  <si>
    <t>With Warning Signs</t>
  </si>
  <si>
    <t>Cost</t>
  </si>
  <si>
    <t>Direct cost of illness for dengue in hospitalized children and adults at a referral hospital in India - ScienceDirect</t>
  </si>
  <si>
    <t>Cost analysis of dengue from a State in south India - PubMed</t>
  </si>
  <si>
    <t>Average USD/Case</t>
  </si>
  <si>
    <t>Economic burden estimation associated with dengue and chikungunya in Gujarat, India - PMC</t>
  </si>
  <si>
    <t>DEL Costs</t>
  </si>
  <si>
    <t xml:space="preserve">Costs </t>
  </si>
  <si>
    <t>AC Setpoint Temp</t>
  </si>
  <si>
    <t>AEEC</t>
  </si>
  <si>
    <t>SHC</t>
  </si>
  <si>
    <t xml:space="preserve">AC Mfg+EOL Costs </t>
  </si>
  <si>
    <t xml:space="preserve">Risk Zone </t>
  </si>
  <si>
    <t xml:space="preserve">Bangkok-Thailand </t>
  </si>
  <si>
    <t>Price/KWh</t>
  </si>
  <si>
    <t>In Local Currency</t>
  </si>
  <si>
    <t>Conv. Local curr to USD</t>
  </si>
  <si>
    <t>Price/KWh (In USD)</t>
  </si>
  <si>
    <t>References</t>
  </si>
  <si>
    <t>INR</t>
  </si>
  <si>
    <t>Thai Baht</t>
  </si>
  <si>
    <t>○ BOI : The Board of Investment of Thailand</t>
  </si>
  <si>
    <t xml:space="preserve">Total Private Costs for India-Chennai for Low, Medium and High Risk Dengue Operating Temperatures </t>
  </si>
  <si>
    <t>Use Stage Costs (USD)</t>
  </si>
  <si>
    <t xml:space="preserve">Total Private Costs </t>
  </si>
  <si>
    <t xml:space="preserve">Total Private Costs for Bangkok-Thailand for Low, Medium and High Risk Dengue Operating Temperatures </t>
  </si>
  <si>
    <t>LKR</t>
  </si>
  <si>
    <t xml:space="preserve">Total Private Costs for Colombo-Sri Lanka for Low, Medium and High Risk Dengue Operating Temperatures </t>
  </si>
  <si>
    <t xml:space="preserve">Total Private Costs for Dhaka-Bangladesh for Low, Medium and High Risk Dengue Operating Temperatures </t>
  </si>
  <si>
    <t>Colombo-Sri Lanka</t>
  </si>
  <si>
    <t>Dhaka-Bangladesh</t>
  </si>
  <si>
    <t>Takas</t>
  </si>
  <si>
    <t>Electricity Bill Calculator | Online Energy Bill Calculator</t>
  </si>
  <si>
    <t xml:space="preserve">Total Private Costs for Ho Chi Min City- Vietnam for Low, Medium and High Risk Dengue Operating Temperatures </t>
  </si>
  <si>
    <t>Ho Chi Min City- Vietnam</t>
  </si>
  <si>
    <t>Vitetnamese Dong</t>
  </si>
  <si>
    <t>Vietnam’s electricity prices rise 4.8%, marking 4th hike since 2023</t>
  </si>
  <si>
    <t xml:space="preserve">Total Private Costs for Cebu- Philippines for Low, Medium and High Risk Dengue Operating Temperatures </t>
  </si>
  <si>
    <t>Cebu-Philippines</t>
  </si>
  <si>
    <t>Philippine Peso</t>
  </si>
  <si>
    <t>Power rates further drop in Metro Cebu</t>
  </si>
  <si>
    <t>Indonesian Rupiah</t>
  </si>
  <si>
    <t xml:space="preserve">Total Private Costs for Jakarta- Indonesia for Low, Medium and High Risk Dengue Operating Temperatures </t>
  </si>
  <si>
    <t>Indonesia Electricity: Average Price: Industrial | Economic Indicators | CEIC</t>
  </si>
  <si>
    <t xml:space="preserve">Jakarta- Indonesia </t>
  </si>
  <si>
    <t xml:space="preserve">Total Private Costs for Yangon- Myanmar for Low, Medium and High Risk Dengue Operating Temperatures </t>
  </si>
  <si>
    <t>Yangon-Myanmar</t>
  </si>
  <si>
    <t>Myanmar Kyat</t>
  </si>
  <si>
    <t>MOEP</t>
  </si>
  <si>
    <t xml:space="preserve">Unit Electricity Prices National Grid Mix </t>
  </si>
  <si>
    <t xml:space="preserve">Unit Electricity Pricess Off Grid Solar Electricity </t>
  </si>
  <si>
    <t>Chennai (Warm &amp;Humid)
National Grid Mix</t>
  </si>
  <si>
    <t>Yangon-Myanmar National
Grid Mix</t>
  </si>
  <si>
    <t>Jakarta-Indonesia National
Grid Mix</t>
  </si>
  <si>
    <t>Cebu-Philippines National
Grid Mix</t>
  </si>
  <si>
    <t>Ho Chi Min- Vietnam 
National Grid Mix</t>
  </si>
  <si>
    <t>Dhaka- Bangladesh
National Grid Mix</t>
  </si>
  <si>
    <t>Colombo- Sri Lanka
National Grid Mix</t>
  </si>
  <si>
    <t>Bangkok-Thailand National Grid Mix</t>
  </si>
  <si>
    <t>https://solarquarter.com/2025/03/21/thailand-targets-lower-electricity-prices-renewable-energy-expansion-to-attract-data-center-investments/#:~:text=Center%20Investments%20%2D%20SolarQuarter-,Thailand%20Targets%20Lower%20Electricity%20Prices%2C%20Renewable%20Energy,to%20Attract%20Data%20Center%20Investments&amp;text=Thailand%27s%20government%20plans%20to%20expand,growth%20and%20carbon%20reduction%20goals.</t>
  </si>
  <si>
    <t>https://web.pucsl.gov.lk/english/wp-content/uploads/2017/11/brief-anlysis-cost-of-generation-2017.pdf</t>
  </si>
  <si>
    <t>https://www.pucsl.gov.lk/rooftop-solar-pv-connection-schemes/</t>
  </si>
  <si>
    <t>https://ieefa.org/resources/time-make-rooftop-solar-shine-bangladesh</t>
  </si>
  <si>
    <t>https://vietnamnews.vn/economy/1695806/moit-sets-2025-solar-power-price-cap-at-up-to-0-07-kwh.html</t>
  </si>
  <si>
    <t>https://ieefa.org/articles/ieefa-report-philippines-can-lower-electricity-costs-improve-energy-security-developing#:~:text=Rooftop%20solar%20costs%20PhP%202.50,PhP%203%2D6.2%20per%20kWh.</t>
  </si>
  <si>
    <t>https://solarion.id/finance/</t>
  </si>
  <si>
    <t>https://elevenmyanmar.com/news/electricity-excess-from-solar-panels-installed-by-the-public-will-be-purchased-at-85-kyats-per</t>
  </si>
  <si>
    <t>https://www.eai.in/ref/ae/sol/rooftop/solar-vs-diesel#:~:text=The%20average%20cost%20of%20rooftop,Renewable%20Energy%2C%20industry%20reports).</t>
  </si>
  <si>
    <t>Total SHC Baseline (Uninsulated Grid, ECBC Grid and Uninsulated Solar AC Opn) in Comparision with Fan + Coil/Repellent Options for Chennai City</t>
  </si>
  <si>
    <t>Total SHC Baseline (Uninsulated Grid, ECBC Grid and Uninsulated Solar AC Opn) in Comparision with Fan + Coil/Repellent Options for Ahmedabad City</t>
  </si>
  <si>
    <t>Total SHC Baseline (Uninsulated Grid, ECBC Grid and Uninsulated Solar AC Opn) in Comparision with Fan + Coil/Repellent Options for Delhi City</t>
  </si>
  <si>
    <t>Air Conditioned Living Space (AC Setpoint Between 22-24°C)</t>
  </si>
  <si>
    <t xml:space="preserve">Chennai </t>
  </si>
  <si>
    <t>Ahmedabad</t>
  </si>
  <si>
    <t>Delhi</t>
  </si>
  <si>
    <t xml:space="preserve">Cost </t>
  </si>
  <si>
    <t xml:space="preserve">Non AC Living Space (Room Temp Between 26-30°C) Fan+ Rep </t>
  </si>
  <si>
    <t xml:space="preserve">Non AC Living Space (Room Temp Between 26-30°C) Fan+ Coils </t>
  </si>
  <si>
    <r>
      <t>SHC</t>
    </r>
    <r>
      <rPr>
        <b/>
        <vertAlign val="subscript"/>
        <sz val="10"/>
        <color theme="1"/>
        <rFont val="Arial"/>
        <family val="2"/>
      </rPr>
      <t>AC</t>
    </r>
  </si>
  <si>
    <t>EEC-All Others</t>
  </si>
  <si>
    <t>EEC-Other Impacts</t>
  </si>
  <si>
    <t>Machine + 6 Refills (45 ml)</t>
  </si>
  <si>
    <t>EEC-All Other Impacts</t>
  </si>
  <si>
    <t xml:space="preserve">Total SHC of Low, Medium and High Risk Temp Zones for Chennai- India </t>
  </si>
  <si>
    <t xml:space="preserve">Total SHC of Low, Medium and High Risk Temp Zones for Bangkok-Thailand </t>
  </si>
  <si>
    <t>Total SHC of Low, Medium and High Risk Temp Zones for Colombo- Sri Lanka</t>
  </si>
  <si>
    <t>Total SHC of Low, Medium and High Risk Temp Zones for Dhaka- Bangladesh</t>
  </si>
  <si>
    <t>Total SHC of Low, Medium and High Risk Temp Zones for Ho Chi Min City- Vietnam</t>
  </si>
  <si>
    <t>Total SHC of Low, Medium and High Risk Temp Zones for Cebu-Philippines</t>
  </si>
  <si>
    <t>Total SHC of Low, Medium and High Risk Temp Zones for Jakarta-Indonesia</t>
  </si>
  <si>
    <t>Total SHC of Low, Medium and High Risk Temp Zones for Yangon-Myanmar</t>
  </si>
  <si>
    <r>
      <t>ACC-</t>
    </r>
    <r>
      <rPr>
        <vertAlign val="subscript"/>
        <sz val="10"/>
        <color theme="1"/>
        <rFont val="Arial"/>
        <family val="2"/>
      </rPr>
      <t>Fan</t>
    </r>
  </si>
  <si>
    <r>
      <t>AEEC-</t>
    </r>
    <r>
      <rPr>
        <vertAlign val="subscript"/>
        <sz val="10"/>
        <color theme="1"/>
        <rFont val="Arial"/>
        <family val="2"/>
      </rPr>
      <t>Fan</t>
    </r>
  </si>
  <si>
    <r>
      <t>ACC-</t>
    </r>
    <r>
      <rPr>
        <vertAlign val="subscript"/>
        <sz val="10"/>
        <color theme="1"/>
        <rFont val="Arial"/>
        <family val="2"/>
      </rPr>
      <t>slr</t>
    </r>
  </si>
  <si>
    <r>
      <t>AEEC-</t>
    </r>
    <r>
      <rPr>
        <vertAlign val="subscript"/>
        <sz val="10"/>
        <color theme="1"/>
        <rFont val="Arial"/>
        <family val="2"/>
      </rPr>
      <t>slr</t>
    </r>
  </si>
  <si>
    <r>
      <t>SHC-</t>
    </r>
    <r>
      <rPr>
        <vertAlign val="subscript"/>
        <sz val="10"/>
        <color theme="1"/>
        <rFont val="Arial"/>
        <family val="2"/>
      </rPr>
      <t>BE-Fangr-slr</t>
    </r>
  </si>
  <si>
    <r>
      <t>ACC-</t>
    </r>
    <r>
      <rPr>
        <vertAlign val="subscript"/>
        <sz val="10"/>
        <color theme="1"/>
        <rFont val="Arial"/>
        <family val="2"/>
      </rPr>
      <t>mc</t>
    </r>
  </si>
  <si>
    <r>
      <t>AEEC-</t>
    </r>
    <r>
      <rPr>
        <vertAlign val="subscript"/>
        <sz val="10"/>
        <color theme="1"/>
        <rFont val="Arial"/>
        <family val="2"/>
      </rPr>
      <t>mc</t>
    </r>
  </si>
  <si>
    <r>
      <t>SHC-</t>
    </r>
    <r>
      <rPr>
        <vertAlign val="subscript"/>
        <sz val="10"/>
        <color theme="1"/>
        <rFont val="Arial"/>
        <family val="2"/>
      </rPr>
      <t>BE-Fangr-mc</t>
    </r>
  </si>
  <si>
    <t>26-28</t>
  </si>
  <si>
    <t>25 (25-25.9)</t>
  </si>
  <si>
    <t>ldrz-chn-ugr</t>
  </si>
  <si>
    <t xml:space="preserve">chn-fan (Env.Imp.) </t>
  </si>
  <si>
    <t>chn-fan (EEC)</t>
  </si>
  <si>
    <t>ldrz-chn-ugr (Env.Imp.)</t>
  </si>
  <si>
    <t>ldrz-chn-ugr (EEC)</t>
  </si>
  <si>
    <t>ldrz-chn-igr (Env. Imp.)</t>
  </si>
  <si>
    <t>ldrz-chn-igr (EEC)</t>
  </si>
  <si>
    <t>ldrz-chn-uso (Env. Imp.)</t>
  </si>
  <si>
    <t>ldrz-chn-uso (EEC)</t>
  </si>
  <si>
    <t xml:space="preserve">amd-fan (Env.Imp.) </t>
  </si>
  <si>
    <t>amd-fan (EEC)</t>
  </si>
  <si>
    <t>ldrz-amd-ugr (Env.Imp.)</t>
  </si>
  <si>
    <t>ldrz-amd-ugr (EEC)</t>
  </si>
  <si>
    <t>ldrz-amd-igr (Env. Imp.)</t>
  </si>
  <si>
    <t>ldrz-amd-igr (EEC)</t>
  </si>
  <si>
    <t>ldrz-amd-uso (Env. Imp.)</t>
  </si>
  <si>
    <t>ldrz-amd-uso (EEC)</t>
  </si>
  <si>
    <t xml:space="preserve">del-fan (Env.Imp.) </t>
  </si>
  <si>
    <t>del-fan (EEC)</t>
  </si>
  <si>
    <t>ldrz-del-ugr (Env.Imp.)</t>
  </si>
  <si>
    <t>ldrz-del-ugr (EEC)</t>
  </si>
  <si>
    <t>ldrz-del-igr (Env. Imp.)</t>
  </si>
  <si>
    <t>ldrz-del-igr (EEC)</t>
  </si>
  <si>
    <t>ldrz-del-uso (Env. Imp.)</t>
  </si>
  <si>
    <t>ldrz-del-uso (EEC)</t>
  </si>
  <si>
    <t xml:space="preserve">EEC All Other Impacts </t>
  </si>
  <si>
    <t>ldrz-chn-ugr (AWLC-AC unit</t>
  </si>
  <si>
    <t>ldrz-chn-ugr (ADTC)</t>
  </si>
  <si>
    <t>ldrz-chn-igr (AWLC-AC Unit)</t>
  </si>
  <si>
    <t>ldrz-chn-igr (ADTC)</t>
  </si>
  <si>
    <t>ldrz-chn-uso (AWLC-AC Unit)</t>
  </si>
  <si>
    <t>ldrz-chn-uso (ADTC)</t>
  </si>
  <si>
    <t>chn-fan+slr
(AWLC-slr)</t>
  </si>
  <si>
    <t>chn-fan+slr (AWLC-fan)</t>
  </si>
  <si>
    <t>chn-fan+slr
(ADTC)</t>
  </si>
  <si>
    <t>chn-fan+mc (AWLC-fan)</t>
  </si>
  <si>
    <t>chn-fan+mc (AWLC-mc)</t>
  </si>
  <si>
    <t>chn-fan+mc (ADTC)</t>
  </si>
  <si>
    <t>amd-fan+slr (AWLC-fan)</t>
  </si>
  <si>
    <t>amd-fan+slr
(AWLC-slr)</t>
  </si>
  <si>
    <t>amd-fan+slr
(ADTC)</t>
  </si>
  <si>
    <t>amd-fan+mc (AWLC-fan)</t>
  </si>
  <si>
    <t>amd-fan+mc (AWLC-mc)</t>
  </si>
  <si>
    <t>amd-fan+mc (ADTC)</t>
  </si>
  <si>
    <t>ldrz-amd-ugr (AWLC-AC unit</t>
  </si>
  <si>
    <t>ldrz-amd-ugr (ADTC)</t>
  </si>
  <si>
    <t>ldrz-amd-igr (AWLC-AC Unit)</t>
  </si>
  <si>
    <t>ldrz-amd-igr (ADTC)</t>
  </si>
  <si>
    <t>ldrz-amd-uso (AWLC-AC Unit)</t>
  </si>
  <si>
    <t>ldrz-amd-uso (ADTC)</t>
  </si>
  <si>
    <t>ldrz-del-uso (ADTC)</t>
  </si>
  <si>
    <t>ldrz-del-uso (AWLC-AC Unit)</t>
  </si>
  <si>
    <t>ldrz-del-igr (ADTC)</t>
  </si>
  <si>
    <t>ldrz-del-igr (AWLC-AC Unit)</t>
  </si>
  <si>
    <t>ldrz-del-ugr (ADTC)</t>
  </si>
  <si>
    <t>ldrz-del-ugr (AWLC-AC unit</t>
  </si>
  <si>
    <t>del-fan+mc (ADTC)</t>
  </si>
  <si>
    <t>del-fan+mc (AWLC-mc)</t>
  </si>
  <si>
    <t>del-fan+mc (AWLC-fan)</t>
  </si>
  <si>
    <t>del-fan+slr
(ADTC)</t>
  </si>
  <si>
    <t>del-fan+slr
(AWLC-slr)</t>
  </si>
  <si>
    <t>del-fan+slr (AWLC-fan)</t>
  </si>
  <si>
    <t>chn-fan</t>
  </si>
  <si>
    <t>ldrz-chn-igr</t>
  </si>
  <si>
    <t>ldrz-chn-uso</t>
  </si>
  <si>
    <t>amd-fan</t>
  </si>
  <si>
    <t>ldrz-amd-ugr</t>
  </si>
  <si>
    <t>ldrz-amd-igr</t>
  </si>
  <si>
    <t>ldrz-amd-uso</t>
  </si>
  <si>
    <t>del-fan</t>
  </si>
  <si>
    <t>ldrz-del-ugr</t>
  </si>
  <si>
    <t>ldrz-del-igr</t>
  </si>
  <si>
    <t>ldrz-del-uso</t>
  </si>
  <si>
    <t>Total EEC</t>
  </si>
  <si>
    <t>ldrz-IN-ugr (Env.Imp.)</t>
  </si>
  <si>
    <t>ldrz-IN-ugr (EEC)</t>
  </si>
  <si>
    <t>ldrz-IN-uso (Env. Imp.)</t>
  </si>
  <si>
    <t>ldrz-IN-uso (EEC)</t>
  </si>
  <si>
    <t>mdrz-IN-ugr (Env.Imp.)</t>
  </si>
  <si>
    <t>mdrz-IN-ugr (EEC)</t>
  </si>
  <si>
    <t>hdrz-IN-ugr (Env.Imp.)</t>
  </si>
  <si>
    <t>hdrz-IN-ugr (EEC)</t>
  </si>
  <si>
    <t>Chennai, India 22-28 Degrees C</t>
  </si>
  <si>
    <t>Bangkok, Thailand 22-28 Degrees C</t>
  </si>
  <si>
    <t>ldrz-TH-ugr (Env.Imp.)</t>
  </si>
  <si>
    <t>ldrz-TH-uso (Env. Imp.)</t>
  </si>
  <si>
    <t>ldrz-TH-uso (EEC)</t>
  </si>
  <si>
    <t>mdrz-TH-ugr (Env.Imp.)</t>
  </si>
  <si>
    <t>mdrz-TH-ugr (EEC)</t>
  </si>
  <si>
    <t>hdrz-TH-ugr (Env.Imp.)</t>
  </si>
  <si>
    <t>hdrz-TH-ugr (EEC)</t>
  </si>
  <si>
    <t xml:space="preserve">Colombo, Sri Lanka 22-28 Degrees </t>
  </si>
  <si>
    <t>ldrz-LK-ugr (Env.Imp.)</t>
  </si>
  <si>
    <t>ldrz-LK-ugr (EEC)</t>
  </si>
  <si>
    <t>ldrz-LK-uso (Env. Imp.)</t>
  </si>
  <si>
    <t>ldrz-LK-uso (EEC)</t>
  </si>
  <si>
    <t>mdrz-LK-ugr (Env.Imp.)</t>
  </si>
  <si>
    <t>mdrz-LK-ugr (EEC)</t>
  </si>
  <si>
    <t>hdrz-LK-ugr (Env.Imp.)</t>
  </si>
  <si>
    <t>hdrz-LK-ugr (EEC)</t>
  </si>
  <si>
    <t>hdrz-BD-ugr (EEC)</t>
  </si>
  <si>
    <t>hdrz-BD-ugr (Env.Imp.)</t>
  </si>
  <si>
    <t>mdrz-BD-ugr (EEC)</t>
  </si>
  <si>
    <t>mdrz-BD-ugr (Env.Imp.)</t>
  </si>
  <si>
    <t>ldrz-BD-uso (EEC)</t>
  </si>
  <si>
    <t>ldrz-BD-uso (Env. Imp.)</t>
  </si>
  <si>
    <t>ldrz-BD-ugr (EEC)</t>
  </si>
  <si>
    <t>ldrz-BD-ugr (Env.Imp.)</t>
  </si>
  <si>
    <t xml:space="preserve">Dhaka, Bangladesh 22-28 Degrees </t>
  </si>
  <si>
    <t>ldrz-VN-ugr (Env.Imp.)</t>
  </si>
  <si>
    <t>ldrz-VN-ugr (EEC)</t>
  </si>
  <si>
    <t>ldrz-VN-uso (Env. Imp.)</t>
  </si>
  <si>
    <t>ldrz-VN-uso (EEC)</t>
  </si>
  <si>
    <t>mdrz-VN-ugr (Env.Imp.)</t>
  </si>
  <si>
    <t>mdrz-VN-ugr (EEC)</t>
  </si>
  <si>
    <t>hdrz-VN-ugr (Env.Imp.)</t>
  </si>
  <si>
    <t>hdrz-VN-ugr (EEC)</t>
  </si>
  <si>
    <t xml:space="preserve">Ho Chi Minh City, Vietnam 22-28 Degrees </t>
  </si>
  <si>
    <t>hdrz-PH-ugr (EEC)</t>
  </si>
  <si>
    <t>hdrz-PH-ugr (Env.Imp.)</t>
  </si>
  <si>
    <t>mdrz-PH-ugr (EEC)</t>
  </si>
  <si>
    <t>mdrz-PH-ugr (Env.Imp.)</t>
  </si>
  <si>
    <t>ldrz-PH-uso (EEC)</t>
  </si>
  <si>
    <t>ldrz-PH-uso (Env. Imp.)</t>
  </si>
  <si>
    <t>ldrz-PH-ugr (EEC)</t>
  </si>
  <si>
    <t>ldrz-PH-ugr (Env.Imp.)</t>
  </si>
  <si>
    <t xml:space="preserve">Cebu City, Philippines 22-28 Degrees </t>
  </si>
  <si>
    <t xml:space="preserve">Jakarta, Indonesia 22-28 Degrees </t>
  </si>
  <si>
    <t>ldrz-ID-ugr (Env.Imp.)</t>
  </si>
  <si>
    <t>ldrz-ID-ugr (EEC)</t>
  </si>
  <si>
    <t>ldrz-ID-uso (Env. Imp.)</t>
  </si>
  <si>
    <t>ldrz-ID-uso (EEC)</t>
  </si>
  <si>
    <t>mdrz-ID-ugr (Env.Imp.)</t>
  </si>
  <si>
    <t>hdrz-ID-ugr (Env.Imp.)</t>
  </si>
  <si>
    <t>mdrz-ID-ugr (EEC)</t>
  </si>
  <si>
    <t>hdrz-ID-ugr (EEC)</t>
  </si>
  <si>
    <t>hdrz-MM-ugr (EEC)</t>
  </si>
  <si>
    <t>hdrz-MM-ugr (Env.Imp.)</t>
  </si>
  <si>
    <t>mdrz-MM-ugr (EEC)</t>
  </si>
  <si>
    <t>mdrz-MM-ugr (Env.Imp.)</t>
  </si>
  <si>
    <t>ldrz-MM-uso (EEC)</t>
  </si>
  <si>
    <t>ldrz-MM-uso (Env. Imp.)</t>
  </si>
  <si>
    <t>ldrz-MM-ugr (EEC)</t>
  </si>
  <si>
    <t>ldrz-MM-ugr (Env.Imp.)</t>
  </si>
  <si>
    <t xml:space="preserve">Yangon, Myanmar 22-28 Degrees </t>
  </si>
  <si>
    <t>ldrz-IN-ugr</t>
  </si>
  <si>
    <t>ldrz-IN-uso</t>
  </si>
  <si>
    <t>mdrz-IN-ugr</t>
  </si>
  <si>
    <t>hdrz-IN-ugr</t>
  </si>
  <si>
    <t>ldrz-IN-ugr
(22-24°C)</t>
  </si>
  <si>
    <t>mdrz-IN-ugr
(25°C (25-26°C)</t>
  </si>
  <si>
    <t>ldrz-IN-uso
(22-24°C)</t>
  </si>
  <si>
    <t>hdrz-IN-ugr
(26-28°C)</t>
  </si>
  <si>
    <t>ldrz-TH-ugr
(22-24°C)</t>
  </si>
  <si>
    <t>ldrz-TH-uso
(22-24°C)</t>
  </si>
  <si>
    <t>mdrz-TH-ugr
(25°C (25-26°C)</t>
  </si>
  <si>
    <t>hdrz-TH-ugr
(26-28°C)</t>
  </si>
  <si>
    <t>ldrz-LK-ugr
(22-24°C)</t>
  </si>
  <si>
    <t>ldrz-LK-uso
(22-24°C)</t>
  </si>
  <si>
    <t>mdrz-LK-ugr
(25°C (25-26°C)</t>
  </si>
  <si>
    <t>hdrz-LK-ugr
(26-28°C)</t>
  </si>
  <si>
    <t>ldrz-BD-ugr
(22-24°C)</t>
  </si>
  <si>
    <t>ldrz-BD-uso
(22-24°C)</t>
  </si>
  <si>
    <t>mdrz-BD-ugr
(25°C (25-26°C)</t>
  </si>
  <si>
    <t>hdrz-BD-ugr
(26-28°C)</t>
  </si>
  <si>
    <t>ldrz-VN-ugr
(22-24°C)</t>
  </si>
  <si>
    <t>ldrz-VN-uso
(22-24°C)</t>
  </si>
  <si>
    <t>mdrz-VN-ugr
(25°C (25-26°C)</t>
  </si>
  <si>
    <t>hdrz-VN-ugr
(26-28°C)</t>
  </si>
  <si>
    <t>ldrz-PH-ugr
(22-24°C)</t>
  </si>
  <si>
    <t>ldrz-PH-uso
(22-24°C)</t>
  </si>
  <si>
    <t>mdrz-PH-ugr
(25°C (25-26°C)</t>
  </si>
  <si>
    <t>hdrz-PH-ugr
(26-28°C)</t>
  </si>
  <si>
    <t>ldrz-ID-ugr
(22-24°C)</t>
  </si>
  <si>
    <t>ldrz-ID-uso
(22-24°C)</t>
  </si>
  <si>
    <t>mdrz-ID-ugr
(25°C (25-26°C)</t>
  </si>
  <si>
    <t>hdrz-ID-ugr
(26-28°C)</t>
  </si>
  <si>
    <t>ldrz-MM-ugr
(22-24°C)</t>
  </si>
  <si>
    <t>ldrz-MM-uso
(22-24°C)</t>
  </si>
  <si>
    <t>mdrz-MM-ugr
(25°C (25-26°C)</t>
  </si>
  <si>
    <t>hdrz-MM-ugr
(26-28°C)</t>
  </si>
  <si>
    <t>22-24 grid</t>
  </si>
  <si>
    <t>22-25 solar</t>
  </si>
  <si>
    <t>ldrz-TH-ugr</t>
  </si>
  <si>
    <t>ldrz-TH-uso</t>
  </si>
  <si>
    <t>mdrz-TH-ugr</t>
  </si>
  <si>
    <t>hdrz-TH-ugr</t>
  </si>
  <si>
    <t>ldrz-LK-ugr</t>
  </si>
  <si>
    <t>ldrz-LK-uso</t>
  </si>
  <si>
    <t>mdrz-LK-ugr</t>
  </si>
  <si>
    <t>hdrz-LK-ugr</t>
  </si>
  <si>
    <t>ldrz-BD-uso</t>
  </si>
  <si>
    <t>mdrz-BD-ugr</t>
  </si>
  <si>
    <t>hdrz-BD-ugr</t>
  </si>
  <si>
    <t>ldrz-BD-ugr</t>
  </si>
  <si>
    <t>ldrz-VN-ugr</t>
  </si>
  <si>
    <t>ldrz-VN-uso</t>
  </si>
  <si>
    <t>mdrz-VN-ugr</t>
  </si>
  <si>
    <t>hdrz-VN-ugr</t>
  </si>
  <si>
    <t>ldrz-PH-ugr</t>
  </si>
  <si>
    <t>ldrz-PH-uso</t>
  </si>
  <si>
    <t>mdrz-PH-ugr</t>
  </si>
  <si>
    <t>hdrz-PH-ugr</t>
  </si>
  <si>
    <t>ldrz-ID-ugr</t>
  </si>
  <si>
    <t>ldrz-ID-uso</t>
  </si>
  <si>
    <t>mdrz-ID-ugr</t>
  </si>
  <si>
    <t>hdrz-ID-ugr</t>
  </si>
  <si>
    <t>ldrz-MM-ugr</t>
  </si>
  <si>
    <t>ldrz-MM-uso</t>
  </si>
  <si>
    <t>mdrz-MM-ugr</t>
  </si>
  <si>
    <t>hdrz-MM-ugr</t>
  </si>
  <si>
    <t>Household costs of hospitalized dengue illness in semi-rural Thailand | PLOS Neglected Tropical Diseases</t>
  </si>
  <si>
    <t>dengue-cost-article.pdf</t>
  </si>
  <si>
    <t>TROPMED201179 110..116</t>
  </si>
  <si>
    <t>Economic burden of dengue in urban Bangladesh: A societal perspective | PLOS Neglected Tropical Diseases</t>
  </si>
  <si>
    <t>08mjms24032017_oa6.pdf</t>
  </si>
  <si>
    <t>ptpmcrender.fcgi</t>
  </si>
  <si>
    <t>Economic Cost and Burden of Dengue in the Philippines - PMC</t>
  </si>
  <si>
    <t>Burden and direct medical cost of dengue in the Philippines | HERDIN</t>
  </si>
  <si>
    <t>DMC</t>
  </si>
  <si>
    <t xml:space="preserve">References </t>
  </si>
  <si>
    <t>Pediatric Cases</t>
  </si>
  <si>
    <t>Adult Case</t>
  </si>
  <si>
    <t>W/o Warning Signs</t>
  </si>
  <si>
    <t>DMC Costs in India Reported for Year 2018</t>
  </si>
  <si>
    <t>DMC in 2025</t>
  </si>
  <si>
    <t>IN_Ref 1</t>
  </si>
  <si>
    <t>IN_Ref 2</t>
  </si>
  <si>
    <t>Dengue Costs Reported for Year 2016</t>
  </si>
  <si>
    <t xml:space="preserve">DMC = Lab + Consultation + Medicine + Others; DNMC = Food + Transport </t>
  </si>
  <si>
    <t xml:space="preserve">DNMC </t>
  </si>
  <si>
    <t>In  2025</t>
  </si>
  <si>
    <t>DNMC</t>
  </si>
  <si>
    <t xml:space="preserve">IC </t>
  </si>
  <si>
    <t>IN_Ref3</t>
  </si>
  <si>
    <t>IC</t>
  </si>
  <si>
    <t>IN_Ref_3</t>
  </si>
  <si>
    <t>IN_Ref4</t>
  </si>
  <si>
    <t>jp-journals-10045-0040</t>
  </si>
  <si>
    <t>Dengue Costs Reported for Year 2018</t>
  </si>
  <si>
    <t>Dengue Costs Reported for Year 2015</t>
  </si>
  <si>
    <t>IN_Ref_4</t>
  </si>
  <si>
    <t>IN_Ref5</t>
  </si>
  <si>
    <t>Dengue Bulleting No 34.indb</t>
  </si>
  <si>
    <t>IN_Ref_5</t>
  </si>
  <si>
    <t>IN_Ref6</t>
  </si>
  <si>
    <t>Economic and Disease Burden of Dengue Illness in India - PMC</t>
  </si>
  <si>
    <t>Public</t>
  </si>
  <si>
    <t xml:space="preserve">Private </t>
  </si>
  <si>
    <t xml:space="preserve">Average </t>
  </si>
  <si>
    <t>Dengue Costs (USD) Reported in 2012</t>
  </si>
  <si>
    <t>In 2025</t>
  </si>
  <si>
    <t>IN_Ref_6</t>
  </si>
  <si>
    <t>IC in 2017</t>
  </si>
  <si>
    <t>IC in 2025</t>
  </si>
  <si>
    <t>IN_Ref_7</t>
  </si>
  <si>
    <t>IN_Ref7</t>
  </si>
  <si>
    <t>Avg Cost (USD)</t>
  </si>
  <si>
    <t>Total ADTC in India</t>
  </si>
  <si>
    <t>TH_Ref 1</t>
  </si>
  <si>
    <t>TH_Ref1</t>
  </si>
  <si>
    <t>Dengue Costs Reported for Thailand in Year 2015</t>
  </si>
  <si>
    <t>TH_Ref2</t>
  </si>
  <si>
    <t>TH_Ref 2</t>
  </si>
  <si>
    <t>DMC, DNMC and IC taken as average of pediatric and adult cases</t>
  </si>
  <si>
    <t>LK_Ref1</t>
  </si>
  <si>
    <t>Dengue Costs Reported for Sri Lanka in Year 2013</t>
  </si>
  <si>
    <t>Dengue Costs Reported for Sri Lanka in Year 2018</t>
  </si>
  <si>
    <t>LK_Ref2</t>
  </si>
  <si>
    <t>LK_Ref3</t>
  </si>
  <si>
    <t>LK_Ref 1</t>
  </si>
  <si>
    <t>LK_Ref 2</t>
  </si>
  <si>
    <t>LK_Ref_3</t>
  </si>
  <si>
    <t>BD_Ref1</t>
  </si>
  <si>
    <t>Dengue Costs Reported for Bangladesh in Year 2020</t>
  </si>
  <si>
    <t>BD_Ref2</t>
  </si>
  <si>
    <t>BD_Ref 1</t>
  </si>
  <si>
    <t>Research | BIDS</t>
  </si>
  <si>
    <t>Dengue Costs Reported for Bangladesh in Year 2019</t>
  </si>
  <si>
    <t>BD_Ref 2</t>
  </si>
  <si>
    <t>VN_Ref1</t>
  </si>
  <si>
    <t>Dengue Costs Reported for Vietnam in Year 2016</t>
  </si>
  <si>
    <t>VNRef2</t>
  </si>
  <si>
    <t>Dengue Costs Reported for Vietnam in Year 2015</t>
  </si>
  <si>
    <t>VN_Ref 1</t>
  </si>
  <si>
    <t>VN_Ref 2</t>
  </si>
  <si>
    <t>VN_Ref 3</t>
  </si>
  <si>
    <t>PHRef1</t>
  </si>
  <si>
    <t>Dengue Costs Reported for Philippines in Year 2012</t>
  </si>
  <si>
    <t>DMC costs 76% paid by patient 
DNMC Considered as 12% (value range from 5 to 20%)</t>
  </si>
  <si>
    <t>PH_Ref 1</t>
  </si>
  <si>
    <t>PH_Ref 2</t>
  </si>
  <si>
    <t>IDRef1</t>
  </si>
  <si>
    <t>Cost of Dengue Illness in Indonesia across Hospital, Ambulatory, and not Medically Attended Settings - PubMed</t>
  </si>
  <si>
    <t>Dengue Costs Reported for Indonesia in Year 2017</t>
  </si>
  <si>
    <t>Direct Medical Cost Analysis of Dengue Patients: A Retrospective Study | JURNAL FARMASI DAN ILMU KEFARMASIAN INDONESIA</t>
  </si>
  <si>
    <t>Dengue Costs Reported for Indonesia in Year 2020</t>
  </si>
  <si>
    <t>IDRef2</t>
  </si>
  <si>
    <t>ID_Ref 1</t>
  </si>
  <si>
    <t>ID_Ref 2</t>
  </si>
  <si>
    <t>ID_Ref 3</t>
  </si>
  <si>
    <t>MMRef1</t>
  </si>
  <si>
    <t>Economic and Disease Burden of Dengue in Southeast Asia - PMC</t>
  </si>
  <si>
    <t>Dengue Costs Reported for Myanmar in Year 2010</t>
  </si>
  <si>
    <t>MMRef2</t>
  </si>
  <si>
    <t>MM_Ref 1</t>
  </si>
  <si>
    <t>MM_Ref 2</t>
  </si>
  <si>
    <t xml:space="preserve">Operational Cost for  ldrz-x-ugr Scenarios </t>
  </si>
  <si>
    <t xml:space="preserve">Operational Cost for  ldrz-x-igr Scenarios </t>
  </si>
  <si>
    <t xml:space="preserve">Operational Cost for  ldrz-x-uso Scenarios </t>
  </si>
  <si>
    <t>Annual Consumer Costs  All Options</t>
  </si>
  <si>
    <t xml:space="preserve">ACC (USD) </t>
  </si>
  <si>
    <t>Option</t>
  </si>
  <si>
    <t>Spatial Lquid Repellant (slr)</t>
  </si>
  <si>
    <t>Mosquito Coil (mc)</t>
  </si>
  <si>
    <t>Summary of SHC Results for Chennai (Warm and Humid Climate Zone)</t>
  </si>
  <si>
    <t>Summary of SHC Results for Ahmedabad (Hot and Dry) Climate Zone</t>
  </si>
  <si>
    <t>Summary of SHC Results for Delhi (Composite) Climate Zone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</si>
</sst>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000"/>
    <numFmt numFmtId="166" formatCode="0.000000"/>
    <numFmt numFmtId="167" formatCode="0.00000"/>
    <numFmt numFmtId="168" formatCode="0.0000000"/>
  </numFmts>
  <fonts count="11" x14ac:knownFonts="1"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0"/>
      <color rgb="FFFF0000"/>
      <name val="Arial"/>
      <family val="2"/>
    </font>
    <font>
      <u/>
      <sz val="10"/>
      <color theme="10"/>
      <name val="Arial"/>
      <family val="2"/>
    </font>
    <font>
      <b/>
      <sz val="10"/>
      <color rgb="FF0070C0"/>
      <name val="Arial"/>
      <family val="2"/>
    </font>
    <font>
      <sz val="10"/>
      <color theme="1" tint="4.9989318521683403E-2"/>
      <name val="Arial"/>
      <family val="2"/>
    </font>
    <font>
      <sz val="10"/>
      <color rgb="FF0070C0"/>
      <name val="Arial"/>
      <family val="2"/>
    </font>
    <font>
      <b/>
      <vertAlign val="subscript"/>
      <sz val="10"/>
      <color theme="1"/>
      <name val="Arial"/>
      <family val="2"/>
    </font>
    <font>
      <vertAlign val="subscript"/>
      <sz val="10"/>
      <color theme="1"/>
      <name val="Arial"/>
      <family val="2"/>
    </font>
    <font>
      <sz val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46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medium">
        <color auto="1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4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2" fillId="0" borderId="0" xfId="0" applyFont="1"/>
    <xf numFmtId="2" fontId="0" fillId="0" borderId="0" xfId="0" applyNumberFormat="1"/>
    <xf numFmtId="2" fontId="0" fillId="0" borderId="0" xfId="0" applyNumberFormat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5" xfId="0" applyBorder="1"/>
    <xf numFmtId="2" fontId="0" fillId="0" borderId="5" xfId="0" applyNumberFormat="1" applyBorder="1" applyAlignment="1">
      <alignment horizontal="left" vertical="top"/>
    </xf>
    <xf numFmtId="2" fontId="0" fillId="0" borderId="6" xfId="0" applyNumberFormat="1" applyBorder="1" applyAlignment="1">
      <alignment horizontal="left" vertical="top"/>
    </xf>
    <xf numFmtId="1" fontId="0" fillId="0" borderId="5" xfId="0" applyNumberFormat="1" applyBorder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2" fontId="0" fillId="2" borderId="6" xfId="0" applyNumberFormat="1" applyFill="1" applyBorder="1" applyAlignment="1">
      <alignment horizontal="left" vertical="top"/>
    </xf>
    <xf numFmtId="0" fontId="0" fillId="2" borderId="7" xfId="0" applyFill="1" applyBorder="1" applyAlignment="1">
      <alignment horizontal="left" vertical="top"/>
    </xf>
    <xf numFmtId="2" fontId="0" fillId="2" borderId="8" xfId="0" applyNumberFormat="1" applyFill="1" applyBorder="1" applyAlignment="1">
      <alignment horizontal="left" vertical="top"/>
    </xf>
    <xf numFmtId="2" fontId="0" fillId="2" borderId="9" xfId="0" applyNumberFormat="1" applyFill="1" applyBorder="1" applyAlignment="1">
      <alignment horizontal="left" vertical="top"/>
    </xf>
    <xf numFmtId="2" fontId="0" fillId="0" borderId="0" xfId="0" applyNumberFormat="1" applyAlignment="1">
      <alignment horizontal="left"/>
    </xf>
    <xf numFmtId="2" fontId="0" fillId="0" borderId="4" xfId="0" applyNumberFormat="1" applyBorder="1"/>
    <xf numFmtId="2" fontId="0" fillId="0" borderId="5" xfId="0" applyNumberFormat="1" applyBorder="1"/>
    <xf numFmtId="2" fontId="0" fillId="0" borderId="6" xfId="0" applyNumberFormat="1" applyBorder="1"/>
    <xf numFmtId="2" fontId="0" fillId="0" borderId="5" xfId="0" applyNumberFormat="1" applyBorder="1" applyAlignment="1">
      <alignment horizontal="left"/>
    </xf>
    <xf numFmtId="2" fontId="0" fillId="0" borderId="4" xfId="0" applyNumberForma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6" xfId="0" applyBorder="1"/>
    <xf numFmtId="0" fontId="0" fillId="0" borderId="4" xfId="0" applyBorder="1"/>
    <xf numFmtId="0" fontId="0" fillId="0" borderId="5" xfId="0" applyBorder="1" applyAlignment="1">
      <alignment horizontal="left"/>
    </xf>
    <xf numFmtId="0" fontId="0" fillId="2" borderId="8" xfId="0" applyFill="1" applyBorder="1"/>
    <xf numFmtId="2" fontId="0" fillId="0" borderId="6" xfId="0" applyNumberFormat="1" applyBorder="1" applyAlignment="1">
      <alignment horizontal="left"/>
    </xf>
    <xf numFmtId="2" fontId="0" fillId="2" borderId="7" xfId="0" applyNumberFormat="1" applyFill="1" applyBorder="1"/>
    <xf numFmtId="2" fontId="0" fillId="2" borderId="4" xfId="0" applyNumberFormat="1" applyFill="1" applyBorder="1"/>
    <xf numFmtId="1" fontId="0" fillId="0" borderId="6" xfId="0" applyNumberFormat="1" applyBorder="1" applyAlignment="1">
      <alignment horizontal="left" vertical="top"/>
    </xf>
    <xf numFmtId="1" fontId="0" fillId="0" borderId="5" xfId="0" applyNumberFormat="1" applyBorder="1" applyAlignment="1">
      <alignment horizontal="left"/>
    </xf>
    <xf numFmtId="1" fontId="0" fillId="0" borderId="6" xfId="0" applyNumberFormat="1" applyBorder="1" applyAlignment="1">
      <alignment horizontal="left"/>
    </xf>
    <xf numFmtId="0" fontId="4" fillId="0" borderId="0" xfId="1"/>
    <xf numFmtId="0" fontId="0" fillId="0" borderId="7" xfId="0" applyBorder="1"/>
    <xf numFmtId="11" fontId="0" fillId="0" borderId="5" xfId="0" applyNumberFormat="1" applyBorder="1" applyAlignment="1">
      <alignment horizontal="left" vertical="top"/>
    </xf>
    <xf numFmtId="0" fontId="2" fillId="0" borderId="2" xfId="0" applyFont="1" applyBorder="1" applyAlignment="1">
      <alignment horizontal="left" vertical="top"/>
    </xf>
    <xf numFmtId="164" fontId="0" fillId="0" borderId="5" xfId="0" applyNumberFormat="1" applyBorder="1" applyAlignment="1">
      <alignment horizontal="left" vertical="top"/>
    </xf>
    <xf numFmtId="0" fontId="2" fillId="2" borderId="7" xfId="0" applyFont="1" applyFill="1" applyBorder="1" applyAlignment="1">
      <alignment horizontal="left" vertical="top"/>
    </xf>
    <xf numFmtId="0" fontId="2" fillId="2" borderId="8" xfId="0" applyFont="1" applyFill="1" applyBorder="1" applyAlignment="1">
      <alignment horizontal="left" vertical="top"/>
    </xf>
    <xf numFmtId="164" fontId="2" fillId="2" borderId="8" xfId="0" applyNumberFormat="1" applyFont="1" applyFill="1" applyBorder="1" applyAlignment="1">
      <alignment horizontal="left" vertical="top"/>
    </xf>
    <xf numFmtId="0" fontId="2" fillId="3" borderId="16" xfId="0" applyFont="1" applyFill="1" applyBorder="1" applyAlignment="1">
      <alignment vertical="top"/>
    </xf>
    <xf numFmtId="0" fontId="2" fillId="3" borderId="0" xfId="0" applyFont="1" applyFill="1" applyAlignment="1">
      <alignment vertical="top"/>
    </xf>
    <xf numFmtId="0" fontId="2" fillId="2" borderId="8" xfId="0" applyFont="1" applyFill="1" applyBorder="1"/>
    <xf numFmtId="0" fontId="0" fillId="0" borderId="8" xfId="0" applyBorder="1" applyAlignment="1">
      <alignment horizontal="left" vertical="top"/>
    </xf>
    <xf numFmtId="164" fontId="0" fillId="0" borderId="8" xfId="0" applyNumberFormat="1" applyBorder="1" applyAlignment="1">
      <alignment horizontal="left" vertical="top"/>
    </xf>
    <xf numFmtId="0" fontId="0" fillId="2" borderId="8" xfId="0" applyFill="1" applyBorder="1" applyAlignment="1">
      <alignment horizontal="left"/>
    </xf>
    <xf numFmtId="2" fontId="2" fillId="2" borderId="9" xfId="0" applyNumberFormat="1" applyFont="1" applyFill="1" applyBorder="1" applyAlignment="1">
      <alignment horizontal="left" vertical="top"/>
    </xf>
    <xf numFmtId="2" fontId="2" fillId="2" borderId="9" xfId="0" applyNumberFormat="1" applyFont="1" applyFill="1" applyBorder="1" applyAlignment="1">
      <alignment horizontal="left"/>
    </xf>
    <xf numFmtId="0" fontId="2" fillId="0" borderId="5" xfId="0" applyFont="1" applyBorder="1" applyAlignment="1">
      <alignment horizontal="center"/>
    </xf>
    <xf numFmtId="0" fontId="2" fillId="0" borderId="5" xfId="0" applyFont="1" applyBorder="1"/>
    <xf numFmtId="0" fontId="2" fillId="0" borderId="4" xfId="0" applyFont="1" applyBorder="1"/>
    <xf numFmtId="0" fontId="2" fillId="0" borderId="5" xfId="0" applyFont="1" applyBorder="1" applyAlignment="1">
      <alignment horizontal="left" vertical="top"/>
    </xf>
    <xf numFmtId="0" fontId="3" fillId="0" borderId="5" xfId="0" applyFont="1" applyBorder="1"/>
    <xf numFmtId="0" fontId="1" fillId="0" borderId="5" xfId="0" applyFont="1" applyBorder="1" applyAlignment="1">
      <alignment horizontal="left" vertical="top"/>
    </xf>
    <xf numFmtId="0" fontId="5" fillId="0" borderId="5" xfId="0" applyFont="1" applyBorder="1"/>
    <xf numFmtId="0" fontId="5" fillId="0" borderId="6" xfId="0" applyFont="1" applyBorder="1"/>
    <xf numFmtId="0" fontId="5" fillId="2" borderId="8" xfId="0" applyFont="1" applyFill="1" applyBorder="1"/>
    <xf numFmtId="2" fontId="0" fillId="0" borderId="8" xfId="0" applyNumberFormat="1" applyBorder="1" applyAlignment="1">
      <alignment horizontal="left" vertical="top"/>
    </xf>
    <xf numFmtId="2" fontId="0" fillId="0" borderId="9" xfId="0" applyNumberFormat="1" applyBorder="1" applyAlignment="1">
      <alignment horizontal="left" vertical="top"/>
    </xf>
    <xf numFmtId="2" fontId="2" fillId="0" borderId="4" xfId="0" applyNumberFormat="1" applyFont="1" applyBorder="1"/>
    <xf numFmtId="2" fontId="2" fillId="0" borderId="5" xfId="0" applyNumberFormat="1" applyFont="1" applyBorder="1"/>
    <xf numFmtId="2" fontId="2" fillId="0" borderId="5" xfId="0" applyNumberFormat="1" applyFont="1" applyBorder="1" applyAlignment="1">
      <alignment horizontal="left"/>
    </xf>
    <xf numFmtId="2" fontId="5" fillId="2" borderId="8" xfId="0" applyNumberFormat="1" applyFont="1" applyFill="1" applyBorder="1" applyAlignment="1">
      <alignment horizontal="left" vertical="top"/>
    </xf>
    <xf numFmtId="0" fontId="2" fillId="2" borderId="6" xfId="0" applyFont="1" applyFill="1" applyBorder="1" applyAlignment="1">
      <alignment horizontal="left" vertical="top"/>
    </xf>
    <xf numFmtId="0" fontId="2" fillId="2" borderId="5" xfId="0" applyFont="1" applyFill="1" applyBorder="1"/>
    <xf numFmtId="2" fontId="2" fillId="2" borderId="6" xfId="0" applyNumberFormat="1" applyFont="1" applyFill="1" applyBorder="1" applyAlignment="1">
      <alignment horizontal="left" vertical="top"/>
    </xf>
    <xf numFmtId="2" fontId="2" fillId="2" borderId="7" xfId="0" applyNumberFormat="1" applyFont="1" applyFill="1" applyBorder="1" applyAlignment="1">
      <alignment horizontal="left" vertical="top"/>
    </xf>
    <xf numFmtId="2" fontId="0" fillId="0" borderId="8" xfId="0" applyNumberFormat="1" applyBorder="1" applyAlignment="1">
      <alignment horizontal="left"/>
    </xf>
    <xf numFmtId="2" fontId="0" fillId="0" borderId="9" xfId="0" applyNumberFormat="1" applyBorder="1" applyAlignment="1">
      <alignment horizontal="left"/>
    </xf>
    <xf numFmtId="2" fontId="2" fillId="0" borderId="7" xfId="0" applyNumberFormat="1" applyFont="1" applyBorder="1"/>
    <xf numFmtId="1" fontId="0" fillId="0" borderId="8" xfId="0" applyNumberFormat="1" applyBorder="1" applyAlignment="1">
      <alignment horizontal="left" vertical="top"/>
    </xf>
    <xf numFmtId="2" fontId="2" fillId="0" borderId="5" xfId="0" applyNumberFormat="1" applyFont="1" applyBorder="1" applyAlignment="1">
      <alignment horizontal="left" vertical="top"/>
    </xf>
    <xf numFmtId="2" fontId="1" fillId="0" borderId="5" xfId="0" applyNumberFormat="1" applyFont="1" applyBorder="1" applyAlignment="1">
      <alignment horizontal="left" vertical="top"/>
    </xf>
    <xf numFmtId="2" fontId="2" fillId="0" borderId="4" xfId="0" applyNumberFormat="1" applyFont="1" applyBorder="1" applyAlignment="1">
      <alignment horizontal="left" vertical="top"/>
    </xf>
    <xf numFmtId="2" fontId="3" fillId="0" borderId="5" xfId="0" applyNumberFormat="1" applyFont="1" applyBorder="1" applyAlignment="1">
      <alignment horizontal="left" vertical="top"/>
    </xf>
    <xf numFmtId="2" fontId="5" fillId="0" borderId="5" xfId="0" applyNumberFormat="1" applyFont="1" applyBorder="1" applyAlignment="1">
      <alignment horizontal="left" vertical="top"/>
    </xf>
    <xf numFmtId="2" fontId="5" fillId="0" borderId="6" xfId="0" applyNumberFormat="1" applyFont="1" applyBorder="1" applyAlignment="1">
      <alignment horizontal="left" vertical="top"/>
    </xf>
    <xf numFmtId="1" fontId="5" fillId="2" borderId="8" xfId="0" applyNumberFormat="1" applyFont="1" applyFill="1" applyBorder="1" applyAlignment="1">
      <alignment horizontal="left" vertical="top"/>
    </xf>
    <xf numFmtId="2" fontId="5" fillId="0" borderId="5" xfId="0" applyNumberFormat="1" applyFont="1" applyBorder="1" applyAlignment="1">
      <alignment horizontal="left"/>
    </xf>
    <xf numFmtId="0" fontId="0" fillId="0" borderId="8" xfId="0" applyBorder="1"/>
    <xf numFmtId="0" fontId="5" fillId="2" borderId="8" xfId="0" applyFont="1" applyFill="1" applyBorder="1" applyAlignment="1">
      <alignment horizontal="left"/>
    </xf>
    <xf numFmtId="0" fontId="5" fillId="2" borderId="8" xfId="0" applyFont="1" applyFill="1" applyBorder="1" applyAlignment="1">
      <alignment horizontal="left" vertical="top"/>
    </xf>
    <xf numFmtId="0" fontId="5" fillId="2" borderId="9" xfId="0" applyFont="1" applyFill="1" applyBorder="1" applyAlignment="1">
      <alignment horizontal="left" vertical="top"/>
    </xf>
    <xf numFmtId="2" fontId="0" fillId="2" borderId="4" xfId="0" applyNumberFormat="1" applyFill="1" applyBorder="1" applyAlignment="1">
      <alignment horizontal="left" vertical="top"/>
    </xf>
    <xf numFmtId="165" fontId="0" fillId="0" borderId="5" xfId="0" applyNumberFormat="1" applyBorder="1" applyAlignment="1">
      <alignment horizontal="left"/>
    </xf>
    <xf numFmtId="2" fontId="2" fillId="4" borderId="6" xfId="0" applyNumberFormat="1" applyFont="1" applyFill="1" applyBorder="1" applyAlignment="1">
      <alignment horizontal="left" vertical="top"/>
    </xf>
    <xf numFmtId="1" fontId="0" fillId="4" borderId="6" xfId="0" applyNumberFormat="1" applyFill="1" applyBorder="1" applyAlignment="1">
      <alignment horizontal="left"/>
    </xf>
    <xf numFmtId="1" fontId="0" fillId="4" borderId="9" xfId="0" applyNumberFormat="1" applyFill="1" applyBorder="1" applyAlignment="1">
      <alignment horizontal="left"/>
    </xf>
    <xf numFmtId="0" fontId="0" fillId="0" borderId="4" xfId="0" applyBorder="1" applyAlignment="1">
      <alignment horizontal="left"/>
    </xf>
    <xf numFmtId="166" fontId="0" fillId="0" borderId="5" xfId="0" applyNumberFormat="1" applyBorder="1" applyAlignment="1">
      <alignment horizontal="left"/>
    </xf>
    <xf numFmtId="2" fontId="4" fillId="0" borderId="5" xfId="1" applyNumberFormat="1" applyBorder="1"/>
    <xf numFmtId="2" fontId="0" fillId="0" borderId="4" xfId="0" applyNumberFormat="1" applyBorder="1" applyAlignment="1">
      <alignment horizontal="left"/>
    </xf>
    <xf numFmtId="2" fontId="0" fillId="0" borderId="7" xfId="0" applyNumberFormat="1" applyBorder="1"/>
    <xf numFmtId="167" fontId="0" fillId="0" borderId="8" xfId="0" applyNumberFormat="1" applyBorder="1" applyAlignment="1">
      <alignment horizontal="left" vertical="top"/>
    </xf>
    <xf numFmtId="167" fontId="0" fillId="0" borderId="0" xfId="0" applyNumberFormat="1" applyAlignment="1">
      <alignment horizontal="left" vertical="top"/>
    </xf>
    <xf numFmtId="0" fontId="4" fillId="0" borderId="8" xfId="1" applyBorder="1"/>
    <xf numFmtId="1" fontId="0" fillId="0" borderId="0" xfId="0" applyNumberFormat="1" applyAlignment="1">
      <alignment horizontal="left" vertical="top"/>
    </xf>
    <xf numFmtId="2" fontId="0" fillId="3" borderId="0" xfId="0" applyNumberFormat="1" applyFill="1" applyAlignment="1">
      <alignment horizontal="left" vertical="top"/>
    </xf>
    <xf numFmtId="1" fontId="0" fillId="3" borderId="0" xfId="0" applyNumberFormat="1" applyFill="1" applyAlignment="1">
      <alignment horizontal="left"/>
    </xf>
    <xf numFmtId="0" fontId="7" fillId="0" borderId="0" xfId="0" applyFont="1"/>
    <xf numFmtId="2" fontId="5" fillId="0" borderId="6" xfId="0" applyNumberFormat="1" applyFont="1" applyBorder="1" applyAlignment="1">
      <alignment horizontal="left"/>
    </xf>
    <xf numFmtId="0" fontId="2" fillId="2" borderId="8" xfId="0" applyFont="1" applyFill="1" applyBorder="1" applyAlignment="1">
      <alignment horizontal="left"/>
    </xf>
    <xf numFmtId="165" fontId="5" fillId="0" borderId="5" xfId="0" applyNumberFormat="1" applyFont="1" applyBorder="1" applyAlignment="1">
      <alignment horizontal="left" vertical="top"/>
    </xf>
    <xf numFmtId="165" fontId="5" fillId="0" borderId="6" xfId="0" applyNumberFormat="1" applyFont="1" applyBorder="1" applyAlignment="1">
      <alignment horizontal="left" vertical="top"/>
    </xf>
    <xf numFmtId="2" fontId="0" fillId="6" borderId="5" xfId="0" applyNumberFormat="1" applyFill="1" applyBorder="1" applyAlignment="1">
      <alignment horizontal="left" vertical="top"/>
    </xf>
    <xf numFmtId="2" fontId="0" fillId="6" borderId="6" xfId="0" applyNumberFormat="1" applyFill="1" applyBorder="1" applyAlignment="1">
      <alignment horizontal="left" vertical="top"/>
    </xf>
    <xf numFmtId="1" fontId="0" fillId="6" borderId="5" xfId="0" applyNumberFormat="1" applyFill="1" applyBorder="1" applyAlignment="1">
      <alignment horizontal="left" vertical="top"/>
    </xf>
    <xf numFmtId="1" fontId="0" fillId="0" borderId="0" xfId="0" applyNumberFormat="1" applyAlignment="1">
      <alignment horizontal="left"/>
    </xf>
    <xf numFmtId="0" fontId="2" fillId="2" borderId="4" xfId="0" applyFont="1" applyFill="1" applyBorder="1"/>
    <xf numFmtId="1" fontId="0" fillId="0" borderId="8" xfId="0" applyNumberFormat="1" applyBorder="1" applyAlignment="1">
      <alignment horizontal="left"/>
    </xf>
    <xf numFmtId="1" fontId="2" fillId="0" borderId="8" xfId="0" applyNumberFormat="1" applyFont="1" applyBorder="1" applyAlignment="1">
      <alignment horizontal="left"/>
    </xf>
    <xf numFmtId="0" fontId="0" fillId="0" borderId="12" xfId="0" applyBorder="1"/>
    <xf numFmtId="0" fontId="0" fillId="0" borderId="31" xfId="0" applyBorder="1"/>
    <xf numFmtId="0" fontId="2" fillId="2" borderId="31" xfId="0" applyFont="1" applyFill="1" applyBorder="1"/>
    <xf numFmtId="0" fontId="0" fillId="0" borderId="32" xfId="0" applyBorder="1"/>
    <xf numFmtId="0" fontId="2" fillId="0" borderId="32" xfId="0" applyFont="1" applyBorder="1"/>
    <xf numFmtId="1" fontId="0" fillId="0" borderId="4" xfId="0" applyNumberFormat="1" applyBorder="1" applyAlignment="1">
      <alignment horizontal="left"/>
    </xf>
    <xf numFmtId="1" fontId="2" fillId="0" borderId="7" xfId="0" applyNumberFormat="1" applyFont="1" applyBorder="1" applyAlignment="1">
      <alignment horizontal="left"/>
    </xf>
    <xf numFmtId="1" fontId="2" fillId="0" borderId="9" xfId="0" applyNumberFormat="1" applyFont="1" applyBorder="1" applyAlignment="1">
      <alignment horizontal="left"/>
    </xf>
    <xf numFmtId="1" fontId="2" fillId="2" borderId="5" xfId="0" applyNumberFormat="1" applyFont="1" applyFill="1" applyBorder="1" applyAlignment="1">
      <alignment horizontal="left"/>
    </xf>
    <xf numFmtId="1" fontId="2" fillId="2" borderId="6" xfId="0" applyNumberFormat="1" applyFont="1" applyFill="1" applyBorder="1" applyAlignment="1">
      <alignment horizontal="left"/>
    </xf>
    <xf numFmtId="2" fontId="2" fillId="6" borderId="4" xfId="0" applyNumberFormat="1" applyFont="1" applyFill="1" applyBorder="1" applyAlignment="1">
      <alignment horizontal="left" vertical="top"/>
    </xf>
    <xf numFmtId="2" fontId="2" fillId="4" borderId="4" xfId="0" applyNumberFormat="1" applyFont="1" applyFill="1" applyBorder="1" applyAlignment="1">
      <alignment horizontal="left" vertical="top"/>
    </xf>
    <xf numFmtId="2" fontId="2" fillId="4" borderId="5" xfId="0" applyNumberFormat="1" applyFont="1" applyFill="1" applyBorder="1" applyAlignment="1">
      <alignment horizontal="left" vertical="top"/>
    </xf>
    <xf numFmtId="2" fontId="0" fillId="0" borderId="7" xfId="0" applyNumberFormat="1" applyBorder="1" applyAlignment="1">
      <alignment horizontal="left" vertical="top"/>
    </xf>
    <xf numFmtId="1" fontId="2" fillId="4" borderId="5" xfId="0" applyNumberFormat="1" applyFont="1" applyFill="1" applyBorder="1" applyAlignment="1">
      <alignment horizontal="left" vertical="top"/>
    </xf>
    <xf numFmtId="3" fontId="0" fillId="0" borderId="0" xfId="0" applyNumberFormat="1" applyAlignment="1">
      <alignment horizontal="left"/>
    </xf>
    <xf numFmtId="2" fontId="0" fillId="0" borderId="33" xfId="0" applyNumberFormat="1" applyBorder="1" applyAlignment="1">
      <alignment horizontal="left" vertical="top"/>
    </xf>
    <xf numFmtId="2" fontId="0" fillId="0" borderId="20" xfId="0" applyNumberFormat="1" applyBorder="1" applyAlignment="1">
      <alignment horizontal="left" vertical="top"/>
    </xf>
    <xf numFmtId="2" fontId="0" fillId="6" borderId="20" xfId="0" applyNumberFormat="1" applyFill="1" applyBorder="1" applyAlignment="1">
      <alignment horizontal="left" vertical="top"/>
    </xf>
    <xf numFmtId="2" fontId="2" fillId="4" borderId="20" xfId="0" applyNumberFormat="1" applyFont="1" applyFill="1" applyBorder="1" applyAlignment="1">
      <alignment horizontal="left" vertical="top"/>
    </xf>
    <xf numFmtId="2" fontId="0" fillId="0" borderId="25" xfId="0" applyNumberFormat="1" applyBorder="1" applyAlignment="1">
      <alignment horizontal="left" vertical="top"/>
    </xf>
    <xf numFmtId="1" fontId="0" fillId="0" borderId="0" xfId="0" applyNumberFormat="1"/>
    <xf numFmtId="0" fontId="2" fillId="0" borderId="22" xfId="0" applyFont="1" applyBorder="1"/>
    <xf numFmtId="2" fontId="2" fillId="2" borderId="5" xfId="0" applyNumberFormat="1" applyFont="1" applyFill="1" applyBorder="1" applyAlignment="1">
      <alignment horizontal="left" vertical="top"/>
    </xf>
    <xf numFmtId="1" fontId="2" fillId="0" borderId="0" xfId="0" applyNumberFormat="1" applyFont="1" applyAlignment="1">
      <alignment horizontal="left"/>
    </xf>
    <xf numFmtId="2" fontId="2" fillId="0" borderId="1" xfId="0" applyNumberFormat="1" applyFont="1" applyBorder="1"/>
    <xf numFmtId="2" fontId="2" fillId="0" borderId="2" xfId="0" applyNumberFormat="1" applyFont="1" applyBorder="1"/>
    <xf numFmtId="2" fontId="2" fillId="0" borderId="3" xfId="0" applyNumberFormat="1" applyFont="1" applyBorder="1"/>
    <xf numFmtId="2" fontId="2" fillId="0" borderId="6" xfId="0" applyNumberFormat="1" applyFont="1" applyBorder="1" applyAlignment="1">
      <alignment horizontal="left"/>
    </xf>
    <xf numFmtId="0" fontId="2" fillId="0" borderId="0" xfId="0" applyFont="1" applyAlignment="1">
      <alignment horizontal="left"/>
    </xf>
    <xf numFmtId="2" fontId="0" fillId="2" borderId="0" xfId="0" applyNumberFormat="1" applyFill="1" applyAlignment="1">
      <alignment horizontal="left" vertical="top"/>
    </xf>
    <xf numFmtId="0" fontId="2" fillId="0" borderId="1" xfId="0" applyFont="1" applyBorder="1" applyAlignment="1">
      <alignment vertical="top" wrapText="1"/>
    </xf>
    <xf numFmtId="0" fontId="2" fillId="2" borderId="7" xfId="0" applyFont="1" applyFill="1" applyBorder="1"/>
    <xf numFmtId="0" fontId="2" fillId="2" borderId="3" xfId="0" applyFont="1" applyFill="1" applyBorder="1"/>
    <xf numFmtId="0" fontId="2" fillId="7" borderId="9" xfId="0" applyFont="1" applyFill="1" applyBorder="1" applyAlignment="1">
      <alignment horizontal="left"/>
    </xf>
    <xf numFmtId="2" fontId="2" fillId="7" borderId="6" xfId="0" applyNumberFormat="1" applyFont="1" applyFill="1" applyBorder="1" applyAlignment="1">
      <alignment horizontal="left" vertical="top"/>
    </xf>
    <xf numFmtId="2" fontId="2" fillId="0" borderId="6" xfId="0" applyNumberFormat="1" applyFont="1" applyBorder="1"/>
    <xf numFmtId="2" fontId="2" fillId="7" borderId="6" xfId="0" applyNumberFormat="1" applyFont="1" applyFill="1" applyBorder="1" applyAlignment="1">
      <alignment horizontal="left"/>
    </xf>
    <xf numFmtId="2" fontId="2" fillId="0" borderId="8" xfId="0" applyNumberFormat="1" applyFont="1" applyBorder="1" applyAlignment="1">
      <alignment horizontal="left"/>
    </xf>
    <xf numFmtId="2" fontId="2" fillId="7" borderId="9" xfId="0" applyNumberFormat="1" applyFont="1" applyFill="1" applyBorder="1" applyAlignment="1">
      <alignment horizontal="left"/>
    </xf>
    <xf numFmtId="0" fontId="2" fillId="2" borderId="9" xfId="0" applyFont="1" applyFill="1" applyBorder="1" applyAlignment="1">
      <alignment horizontal="left"/>
    </xf>
    <xf numFmtId="0" fontId="2" fillId="7" borderId="3" xfId="0" applyFont="1" applyFill="1" applyBorder="1"/>
    <xf numFmtId="0" fontId="0" fillId="0" borderId="7" xfId="0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7" borderId="3" xfId="0" applyFont="1" applyFill="1" applyBorder="1" applyAlignment="1">
      <alignment horizontal="left"/>
    </xf>
    <xf numFmtId="0" fontId="2" fillId="0" borderId="3" xfId="0" applyFont="1" applyBorder="1" applyAlignment="1">
      <alignment horizontal="left" vertical="top"/>
    </xf>
    <xf numFmtId="0" fontId="0" fillId="0" borderId="4" xfId="0" applyBorder="1" applyAlignment="1">
      <alignment vertical="top"/>
    </xf>
    <xf numFmtId="2" fontId="0" fillId="7" borderId="5" xfId="0" applyNumberFormat="1" applyFill="1" applyBorder="1" applyAlignment="1">
      <alignment horizontal="left" vertical="top"/>
    </xf>
    <xf numFmtId="0" fontId="0" fillId="7" borderId="5" xfId="0" applyFill="1" applyBorder="1" applyAlignment="1">
      <alignment horizontal="left"/>
    </xf>
    <xf numFmtId="0" fontId="0" fillId="7" borderId="4" xfId="0" applyFill="1" applyBorder="1" applyAlignment="1">
      <alignment horizontal="left" vertical="top"/>
    </xf>
    <xf numFmtId="2" fontId="0" fillId="7" borderId="5" xfId="0" applyNumberFormat="1" applyFill="1" applyBorder="1" applyAlignment="1">
      <alignment horizontal="left"/>
    </xf>
    <xf numFmtId="2" fontId="0" fillId="7" borderId="6" xfId="0" applyNumberFormat="1" applyFill="1" applyBorder="1" applyAlignment="1">
      <alignment horizontal="left"/>
    </xf>
    <xf numFmtId="0" fontId="0" fillId="7" borderId="6" xfId="0" applyFill="1" applyBorder="1" applyAlignment="1">
      <alignment horizontal="left"/>
    </xf>
    <xf numFmtId="0" fontId="0" fillId="7" borderId="5" xfId="0" applyFill="1" applyBorder="1"/>
    <xf numFmtId="0" fontId="0" fillId="7" borderId="6" xfId="0" applyFill="1" applyBorder="1"/>
    <xf numFmtId="0" fontId="0" fillId="2" borderId="4" xfId="0" applyFill="1" applyBorder="1"/>
    <xf numFmtId="0" fontId="2" fillId="2" borderId="5" xfId="0" applyFont="1" applyFill="1" applyBorder="1" applyAlignment="1">
      <alignment horizontal="left" vertical="top"/>
    </xf>
    <xf numFmtId="2" fontId="0" fillId="7" borderId="5" xfId="0" applyNumberFormat="1" applyFill="1" applyBorder="1"/>
    <xf numFmtId="2" fontId="0" fillId="7" borderId="6" xfId="0" applyNumberFormat="1" applyFill="1" applyBorder="1"/>
    <xf numFmtId="2" fontId="0" fillId="7" borderId="5" xfId="0" applyNumberFormat="1" applyFill="1" applyBorder="1" applyAlignment="1">
      <alignment vertical="top"/>
    </xf>
    <xf numFmtId="2" fontId="2" fillId="7" borderId="0" xfId="0" applyNumberFormat="1" applyFont="1" applyFill="1" applyAlignment="1">
      <alignment horizontal="left" vertical="top"/>
    </xf>
    <xf numFmtId="2" fontId="2" fillId="5" borderId="0" xfId="0" applyNumberFormat="1" applyFont="1" applyFill="1" applyAlignment="1">
      <alignment horizontal="left" vertical="top"/>
    </xf>
    <xf numFmtId="2" fontId="0" fillId="0" borderId="5" xfId="0" applyNumberForma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2" fontId="0" fillId="0" borderId="7" xfId="0" applyNumberFormat="1" applyBorder="1" applyAlignment="1">
      <alignment horizontal="left" vertical="top"/>
    </xf>
    <xf numFmtId="2" fontId="0" fillId="0" borderId="8" xfId="0" applyNumberFormat="1" applyBorder="1" applyAlignment="1">
      <alignment horizontal="left" vertical="top"/>
    </xf>
    <xf numFmtId="2" fontId="0" fillId="0" borderId="9" xfId="0" applyNumberFormat="1" applyBorder="1" applyAlignment="1">
      <alignment horizontal="left" vertical="top"/>
    </xf>
    <xf numFmtId="0" fontId="2" fillId="0" borderId="40" xfId="0" applyFont="1" applyBorder="1"/>
    <xf numFmtId="0" fontId="2" fillId="0" borderId="16" xfId="0" applyFont="1" applyBorder="1"/>
    <xf numFmtId="0" fontId="2" fillId="0" borderId="41" xfId="0" applyFont="1" applyBorder="1"/>
    <xf numFmtId="0" fontId="2" fillId="0" borderId="42" xfId="0" applyFont="1" applyBorder="1"/>
    <xf numFmtId="2" fontId="2" fillId="0" borderId="0" xfId="0" applyNumberFormat="1" applyFont="1" applyBorder="1" applyAlignment="1">
      <alignment horizontal="left"/>
    </xf>
    <xf numFmtId="2" fontId="2" fillId="0" borderId="29" xfId="0" applyNumberFormat="1" applyFont="1" applyBorder="1" applyAlignment="1">
      <alignment horizontal="left"/>
    </xf>
    <xf numFmtId="165" fontId="0" fillId="0" borderId="0" xfId="0" applyNumberFormat="1" applyBorder="1" applyAlignment="1">
      <alignment horizontal="left"/>
    </xf>
    <xf numFmtId="165" fontId="0" fillId="0" borderId="29" xfId="0" applyNumberFormat="1" applyBorder="1" applyAlignment="1">
      <alignment horizontal="left"/>
    </xf>
    <xf numFmtId="2" fontId="0" fillId="0" borderId="0" xfId="0" applyNumberFormat="1" applyBorder="1" applyAlignment="1">
      <alignment horizontal="left"/>
    </xf>
    <xf numFmtId="2" fontId="0" fillId="0" borderId="29" xfId="0" applyNumberFormat="1" applyBorder="1" applyAlignment="1">
      <alignment horizontal="left"/>
    </xf>
    <xf numFmtId="165" fontId="2" fillId="0" borderId="0" xfId="0" applyNumberFormat="1" applyFont="1" applyBorder="1" applyAlignment="1">
      <alignment horizontal="left"/>
    </xf>
    <xf numFmtId="165" fontId="2" fillId="0" borderId="29" xfId="0" applyNumberFormat="1" applyFont="1" applyBorder="1" applyAlignment="1">
      <alignment horizontal="left"/>
    </xf>
    <xf numFmtId="0" fontId="2" fillId="0" borderId="17" xfId="0" applyFont="1" applyBorder="1"/>
    <xf numFmtId="2" fontId="0" fillId="0" borderId="43" xfId="0" applyNumberFormat="1" applyBorder="1" applyAlignment="1">
      <alignment horizontal="left"/>
    </xf>
    <xf numFmtId="2" fontId="0" fillId="0" borderId="44" xfId="0" applyNumberFormat="1" applyBorder="1" applyAlignment="1">
      <alignment horizontal="left"/>
    </xf>
    <xf numFmtId="166" fontId="0" fillId="0" borderId="5" xfId="0" applyNumberFormat="1" applyBorder="1" applyAlignment="1">
      <alignment horizontal="left" vertical="top"/>
    </xf>
    <xf numFmtId="167" fontId="0" fillId="0" borderId="5" xfId="0" applyNumberFormat="1" applyBorder="1" applyAlignment="1">
      <alignment horizontal="left" vertical="top"/>
    </xf>
    <xf numFmtId="165" fontId="0" fillId="0" borderId="5" xfId="0" applyNumberFormat="1" applyBorder="1" applyAlignment="1">
      <alignment horizontal="left" vertical="top"/>
    </xf>
    <xf numFmtId="165" fontId="1" fillId="0" borderId="5" xfId="0" applyNumberFormat="1" applyFont="1" applyBorder="1" applyAlignment="1">
      <alignment horizontal="left" vertical="top"/>
    </xf>
    <xf numFmtId="164" fontId="0" fillId="0" borderId="5" xfId="0" applyNumberFormat="1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 vertical="top"/>
    </xf>
    <xf numFmtId="0" fontId="3" fillId="0" borderId="5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2" fontId="7" fillId="0" borderId="5" xfId="0" applyNumberFormat="1" applyFont="1" applyBorder="1" applyAlignment="1">
      <alignment horizontal="center"/>
    </xf>
    <xf numFmtId="2" fontId="6" fillId="0" borderId="5" xfId="0" applyNumberFormat="1" applyFont="1" applyBorder="1" applyAlignment="1">
      <alignment horizontal="center"/>
    </xf>
    <xf numFmtId="2" fontId="7" fillId="0" borderId="5" xfId="0" applyNumberFormat="1" applyFont="1" applyBorder="1" applyAlignment="1">
      <alignment horizontal="center" vertical="top"/>
    </xf>
    <xf numFmtId="2" fontId="5" fillId="0" borderId="5" xfId="0" applyNumberFormat="1" applyFont="1" applyBorder="1" applyAlignment="1">
      <alignment horizontal="center"/>
    </xf>
    <xf numFmtId="2" fontId="3" fillId="0" borderId="5" xfId="0" applyNumberFormat="1" applyFont="1" applyBorder="1" applyAlignment="1">
      <alignment horizontal="center"/>
    </xf>
    <xf numFmtId="2" fontId="5" fillId="0" borderId="6" xfId="0" applyNumberFormat="1" applyFont="1" applyBorder="1" applyAlignment="1">
      <alignment horizontal="center"/>
    </xf>
    <xf numFmtId="164" fontId="6" fillId="0" borderId="5" xfId="0" applyNumberFormat="1" applyFont="1" applyBorder="1" applyAlignment="1">
      <alignment horizontal="center"/>
    </xf>
    <xf numFmtId="168" fontId="7" fillId="0" borderId="5" xfId="0" applyNumberFormat="1" applyFont="1" applyBorder="1" applyAlignment="1">
      <alignment horizontal="center" vertical="top"/>
    </xf>
    <xf numFmtId="164" fontId="7" fillId="0" borderId="5" xfId="0" applyNumberFormat="1" applyFont="1" applyBorder="1" applyAlignment="1">
      <alignment horizontal="center" vertical="top"/>
    </xf>
    <xf numFmtId="11" fontId="0" fillId="0" borderId="5" xfId="0" applyNumberFormat="1" applyBorder="1" applyAlignment="1">
      <alignment horizontal="center" vertical="top"/>
    </xf>
    <xf numFmtId="0" fontId="5" fillId="2" borderId="7" xfId="0" applyFont="1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2" fontId="5" fillId="2" borderId="8" xfId="0" applyNumberFormat="1" applyFont="1" applyFill="1" applyBorder="1" applyAlignment="1">
      <alignment horizontal="center"/>
    </xf>
    <xf numFmtId="2" fontId="3" fillId="2" borderId="8" xfId="0" applyNumberFormat="1" applyFont="1" applyFill="1" applyBorder="1" applyAlignment="1">
      <alignment horizontal="center"/>
    </xf>
    <xf numFmtId="2" fontId="0" fillId="2" borderId="8" xfId="0" applyNumberFormat="1" applyFill="1" applyBorder="1" applyAlignment="1">
      <alignment horizontal="center"/>
    </xf>
    <xf numFmtId="2" fontId="5" fillId="2" borderId="9" xfId="0" applyNumberFormat="1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2" fillId="0" borderId="4" xfId="0" applyFont="1" applyBorder="1" applyAlignment="1">
      <alignment horizontal="center" vertical="top"/>
    </xf>
    <xf numFmtId="0" fontId="5" fillId="2" borderId="6" xfId="0" applyFont="1" applyFill="1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4" xfId="0" applyBorder="1" applyAlignment="1">
      <alignment horizontal="center" vertical="top"/>
    </xf>
    <xf numFmtId="164" fontId="0" fillId="0" borderId="5" xfId="0" applyNumberFormat="1" applyBorder="1" applyAlignment="1">
      <alignment horizontal="center" vertical="top"/>
    </xf>
    <xf numFmtId="164" fontId="5" fillId="2" borderId="6" xfId="0" applyNumberFormat="1" applyFont="1" applyFill="1" applyBorder="1" applyAlignment="1">
      <alignment horizontal="center" vertical="top"/>
    </xf>
    <xf numFmtId="2" fontId="0" fillId="0" borderId="0" xfId="0" applyNumberFormat="1" applyAlignment="1">
      <alignment horizontal="center" vertical="top"/>
    </xf>
    <xf numFmtId="164" fontId="0" fillId="0" borderId="0" xfId="0" applyNumberFormat="1" applyAlignment="1">
      <alignment horizontal="center"/>
    </xf>
    <xf numFmtId="11" fontId="0" fillId="0" borderId="0" xfId="0" applyNumberFormat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164" fontId="0" fillId="0" borderId="8" xfId="0" applyNumberFormat="1" applyBorder="1" applyAlignment="1">
      <alignment horizontal="center" vertical="top"/>
    </xf>
    <xf numFmtId="164" fontId="5" fillId="2" borderId="9" xfId="0" applyNumberFormat="1" applyFont="1" applyFill="1" applyBorder="1" applyAlignment="1">
      <alignment horizontal="center" vertical="top"/>
    </xf>
    <xf numFmtId="2" fontId="0" fillId="0" borderId="0" xfId="0" applyNumberFormat="1" applyAlignment="1">
      <alignment horizontal="center"/>
    </xf>
    <xf numFmtId="2" fontId="2" fillId="0" borderId="4" xfId="0" applyNumberFormat="1" applyFont="1" applyBorder="1" applyAlignment="1">
      <alignment horizontal="center"/>
    </xf>
    <xf numFmtId="2" fontId="2" fillId="0" borderId="5" xfId="0" applyNumberFormat="1" applyFont="1" applyBorder="1" applyAlignment="1">
      <alignment horizontal="center"/>
    </xf>
    <xf numFmtId="2" fontId="5" fillId="2" borderId="5" xfId="0" applyNumberFormat="1" applyFont="1" applyFill="1" applyBorder="1" applyAlignment="1">
      <alignment horizontal="center"/>
    </xf>
    <xf numFmtId="2" fontId="5" fillId="2" borderId="6" xfId="0" applyNumberFormat="1" applyFont="1" applyFill="1" applyBorder="1" applyAlignment="1">
      <alignment horizontal="center"/>
    </xf>
    <xf numFmtId="2" fontId="0" fillId="2" borderId="4" xfId="0" applyNumberFormat="1" applyFill="1" applyBorder="1" applyAlignment="1">
      <alignment horizontal="center"/>
    </xf>
    <xf numFmtId="2" fontId="0" fillId="0" borderId="5" xfId="0" applyNumberFormat="1" applyBorder="1" applyAlignment="1">
      <alignment horizontal="center" vertical="top"/>
    </xf>
    <xf numFmtId="2" fontId="5" fillId="2" borderId="5" xfId="0" applyNumberFormat="1" applyFont="1" applyFill="1" applyBorder="1" applyAlignment="1">
      <alignment horizontal="center" vertical="top"/>
    </xf>
    <xf numFmtId="2" fontId="5" fillId="2" borderId="6" xfId="0" applyNumberFormat="1" applyFont="1" applyFill="1" applyBorder="1" applyAlignment="1">
      <alignment horizontal="center" vertical="top"/>
    </xf>
    <xf numFmtId="2" fontId="0" fillId="2" borderId="7" xfId="0" applyNumberFormat="1" applyFill="1" applyBorder="1" applyAlignment="1">
      <alignment horizontal="center"/>
    </xf>
    <xf numFmtId="2" fontId="0" fillId="0" borderId="8" xfId="0" applyNumberFormat="1" applyBorder="1" applyAlignment="1">
      <alignment horizontal="center" vertical="top"/>
    </xf>
    <xf numFmtId="2" fontId="5" fillId="2" borderId="8" xfId="0" applyNumberFormat="1" applyFont="1" applyFill="1" applyBorder="1" applyAlignment="1">
      <alignment horizontal="center" vertical="top"/>
    </xf>
    <xf numFmtId="2" fontId="5" fillId="2" borderId="9" xfId="0" applyNumberFormat="1" applyFont="1" applyFill="1" applyBorder="1" applyAlignment="1">
      <alignment horizontal="center" vertical="top"/>
    </xf>
    <xf numFmtId="1" fontId="0" fillId="6" borderId="6" xfId="0" applyNumberFormat="1" applyFill="1" applyBorder="1" applyAlignment="1">
      <alignment horizontal="left" vertical="top"/>
    </xf>
    <xf numFmtId="1" fontId="2" fillId="4" borderId="6" xfId="0" applyNumberFormat="1" applyFont="1" applyFill="1" applyBorder="1" applyAlignment="1">
      <alignment horizontal="left" vertical="top"/>
    </xf>
    <xf numFmtId="0" fontId="0" fillId="0" borderId="0" xfId="0" applyBorder="1" applyAlignment="1">
      <alignment horizontal="left"/>
    </xf>
    <xf numFmtId="0" fontId="0" fillId="0" borderId="29" xfId="0" applyBorder="1" applyAlignment="1">
      <alignment horizontal="left"/>
    </xf>
    <xf numFmtId="2" fontId="0" fillId="0" borderId="45" xfId="0" applyNumberFormat="1" applyBorder="1" applyAlignment="1">
      <alignment horizontal="left" vertical="top"/>
    </xf>
    <xf numFmtId="2" fontId="0" fillId="0" borderId="15" xfId="0" applyNumberFormat="1" applyBorder="1" applyAlignment="1">
      <alignment horizontal="left" vertical="top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2" fontId="2" fillId="0" borderId="2" xfId="0" applyNumberFormat="1" applyFont="1" applyBorder="1" applyAlignment="1">
      <alignment horizontal="center"/>
    </xf>
    <xf numFmtId="2" fontId="2" fillId="0" borderId="3" xfId="0" applyNumberFormat="1" applyFont="1" applyBorder="1" applyAlignment="1">
      <alignment horizontal="center"/>
    </xf>
    <xf numFmtId="2" fontId="2" fillId="0" borderId="12" xfId="0" applyNumberFormat="1" applyFont="1" applyBorder="1" applyAlignment="1">
      <alignment horizontal="center"/>
    </xf>
    <xf numFmtId="2" fontId="2" fillId="0" borderId="13" xfId="0" applyNumberFormat="1" applyFont="1" applyBorder="1" applyAlignment="1">
      <alignment horizontal="center"/>
    </xf>
    <xf numFmtId="2" fontId="2" fillId="0" borderId="14" xfId="0" applyNumberFormat="1" applyFont="1" applyBorder="1" applyAlignment="1">
      <alignment horizontal="center"/>
    </xf>
    <xf numFmtId="2" fontId="2" fillId="2" borderId="1" xfId="0" applyNumberFormat="1" applyFont="1" applyFill="1" applyBorder="1" applyAlignment="1">
      <alignment horizontal="center"/>
    </xf>
    <xf numFmtId="2" fontId="2" fillId="2" borderId="3" xfId="0" applyNumberFormat="1" applyFont="1" applyFill="1" applyBorder="1" applyAlignment="1">
      <alignment horizontal="center"/>
    </xf>
    <xf numFmtId="2" fontId="4" fillId="0" borderId="26" xfId="1" applyNumberFormat="1" applyBorder="1" applyAlignment="1">
      <alignment horizontal="center" vertical="top"/>
    </xf>
    <xf numFmtId="2" fontId="4" fillId="0" borderId="27" xfId="1" applyNumberFormat="1" applyBorder="1" applyAlignment="1">
      <alignment horizontal="center" vertical="top"/>
    </xf>
    <xf numFmtId="2" fontId="4" fillId="0" borderId="28" xfId="1" applyNumberFormat="1" applyBorder="1" applyAlignment="1">
      <alignment horizontal="center" vertical="top"/>
    </xf>
    <xf numFmtId="2" fontId="4" fillId="0" borderId="15" xfId="1" applyNumberFormat="1" applyBorder="1" applyAlignment="1">
      <alignment horizontal="center" vertical="top"/>
    </xf>
    <xf numFmtId="2" fontId="4" fillId="0" borderId="0" xfId="1" applyNumberFormat="1" applyBorder="1" applyAlignment="1">
      <alignment horizontal="center" vertical="top"/>
    </xf>
    <xf numFmtId="2" fontId="4" fillId="0" borderId="29" xfId="1" applyNumberFormat="1" applyBorder="1" applyAlignment="1">
      <alignment horizontal="center" vertical="top"/>
    </xf>
    <xf numFmtId="2" fontId="4" fillId="0" borderId="18" xfId="1" applyNumberFormat="1" applyBorder="1" applyAlignment="1">
      <alignment horizontal="center" vertical="top"/>
    </xf>
    <xf numFmtId="2" fontId="4" fillId="0" borderId="19" xfId="1" applyNumberFormat="1" applyBorder="1" applyAlignment="1">
      <alignment horizontal="center" vertical="top"/>
    </xf>
    <xf numFmtId="2" fontId="4" fillId="0" borderId="30" xfId="1" applyNumberFormat="1" applyBorder="1" applyAlignment="1">
      <alignment horizontal="center" vertical="top"/>
    </xf>
    <xf numFmtId="2" fontId="0" fillId="2" borderId="4" xfId="0" applyNumberFormat="1" applyFill="1" applyBorder="1" applyAlignment="1">
      <alignment horizontal="left" vertical="top" wrapText="1"/>
    </xf>
    <xf numFmtId="2" fontId="0" fillId="2" borderId="4" xfId="0" applyNumberFormat="1" applyFill="1" applyBorder="1" applyAlignment="1">
      <alignment horizontal="left" vertical="top"/>
    </xf>
    <xf numFmtId="2" fontId="0" fillId="2" borderId="7" xfId="0" applyNumberFormat="1" applyFill="1" applyBorder="1" applyAlignment="1">
      <alignment horizontal="left" vertical="top"/>
    </xf>
    <xf numFmtId="2" fontId="0" fillId="2" borderId="21" xfId="0" applyNumberFormat="1" applyFill="1" applyBorder="1" applyAlignment="1">
      <alignment horizontal="left" vertical="top" wrapText="1"/>
    </xf>
    <xf numFmtId="2" fontId="0" fillId="2" borderId="22" xfId="0" applyNumberFormat="1" applyFill="1" applyBorder="1" applyAlignment="1">
      <alignment horizontal="left" vertical="top" wrapText="1"/>
    </xf>
    <xf numFmtId="2" fontId="0" fillId="2" borderId="22" xfId="0" applyNumberFormat="1" applyFill="1" applyBorder="1" applyAlignment="1">
      <alignment horizontal="left" vertical="top"/>
    </xf>
    <xf numFmtId="2" fontId="0" fillId="2" borderId="17" xfId="0" applyNumberFormat="1" applyFill="1" applyBorder="1" applyAlignment="1">
      <alignment horizontal="left" vertical="top"/>
    </xf>
    <xf numFmtId="2" fontId="4" fillId="0" borderId="10" xfId="1" applyNumberFormat="1" applyBorder="1" applyAlignment="1">
      <alignment horizontal="center"/>
    </xf>
    <xf numFmtId="2" fontId="4" fillId="0" borderId="23" xfId="1" applyNumberFormat="1" applyBorder="1" applyAlignment="1">
      <alignment horizontal="center"/>
    </xf>
    <xf numFmtId="2" fontId="4" fillId="0" borderId="20" xfId="1" applyNumberForma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2" fontId="2" fillId="2" borderId="19" xfId="0" applyNumberFormat="1" applyFont="1" applyFill="1" applyBorder="1" applyAlignment="1">
      <alignment horizontal="center"/>
    </xf>
    <xf numFmtId="2" fontId="4" fillId="0" borderId="15" xfId="1" applyNumberFormat="1" applyBorder="1" applyAlignment="1">
      <alignment horizontal="left"/>
    </xf>
    <xf numFmtId="2" fontId="4" fillId="0" borderId="0" xfId="1" applyNumberFormat="1" applyBorder="1" applyAlignment="1">
      <alignment horizontal="left"/>
    </xf>
    <xf numFmtId="0" fontId="4" fillId="0" borderId="11" xfId="1" applyBorder="1" applyAlignment="1">
      <alignment horizontal="center"/>
    </xf>
    <xf numFmtId="0" fontId="4" fillId="0" borderId="24" xfId="1" applyBorder="1" applyAlignment="1">
      <alignment horizontal="center"/>
    </xf>
    <xf numFmtId="0" fontId="4" fillId="0" borderId="25" xfId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2" fontId="2" fillId="0" borderId="37" xfId="0" applyNumberFormat="1" applyFont="1" applyBorder="1" applyAlignment="1">
      <alignment horizontal="left" vertical="top"/>
    </xf>
    <xf numFmtId="2" fontId="2" fillId="0" borderId="38" xfId="0" applyNumberFormat="1" applyFont="1" applyBorder="1" applyAlignment="1">
      <alignment horizontal="left" vertical="top"/>
    </xf>
    <xf numFmtId="2" fontId="0" fillId="7" borderId="10" xfId="0" applyNumberFormat="1" applyFill="1" applyBorder="1" applyAlignment="1">
      <alignment horizontal="left" vertical="top"/>
    </xf>
    <xf numFmtId="2" fontId="0" fillId="7" borderId="39" xfId="0" applyNumberFormat="1" applyFill="1" applyBorder="1" applyAlignment="1">
      <alignment horizontal="left" vertical="top"/>
    </xf>
    <xf numFmtId="0" fontId="2" fillId="2" borderId="7" xfId="0" applyFont="1" applyFill="1" applyBorder="1" applyAlignment="1">
      <alignment horizontal="left"/>
    </xf>
    <xf numFmtId="0" fontId="2" fillId="2" borderId="8" xfId="0" applyFont="1" applyFill="1" applyBorder="1" applyAlignment="1">
      <alignment horizontal="left"/>
    </xf>
    <xf numFmtId="2" fontId="2" fillId="2" borderId="10" xfId="0" applyNumberFormat="1" applyFont="1" applyFill="1" applyBorder="1" applyAlignment="1">
      <alignment horizontal="left" vertical="top"/>
    </xf>
    <xf numFmtId="2" fontId="2" fillId="2" borderId="39" xfId="0" applyNumberFormat="1" applyFont="1" applyFill="1" applyBorder="1" applyAlignment="1">
      <alignment horizontal="left" vertical="top"/>
    </xf>
    <xf numFmtId="2" fontId="2" fillId="2" borderId="2" xfId="0" applyNumberFormat="1" applyFont="1" applyFill="1" applyBorder="1" applyAlignment="1">
      <alignment horizontal="center"/>
    </xf>
    <xf numFmtId="0" fontId="2" fillId="2" borderId="4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/>
    </xf>
    <xf numFmtId="0" fontId="2" fillId="2" borderId="10" xfId="0" applyFont="1" applyFill="1" applyBorder="1" applyAlignment="1">
      <alignment horizontal="left" vertical="top"/>
    </xf>
    <xf numFmtId="0" fontId="2" fillId="2" borderId="7" xfId="0" applyFont="1" applyFill="1" applyBorder="1" applyAlignment="1">
      <alignment horizontal="left" vertical="top"/>
    </xf>
    <xf numFmtId="0" fontId="2" fillId="2" borderId="8" xfId="0" applyFont="1" applyFill="1" applyBorder="1" applyAlignment="1">
      <alignment horizontal="left" vertical="top"/>
    </xf>
    <xf numFmtId="0" fontId="2" fillId="2" borderId="11" xfId="0" applyFont="1" applyFill="1" applyBorder="1" applyAlignment="1">
      <alignment horizontal="left" vertical="top"/>
    </xf>
    <xf numFmtId="0" fontId="4" fillId="0" borderId="0" xfId="1" applyAlignment="1">
      <alignment horizontal="left"/>
    </xf>
    <xf numFmtId="2" fontId="2" fillId="7" borderId="34" xfId="0" applyNumberFormat="1" applyFont="1" applyFill="1" applyBorder="1" applyAlignment="1">
      <alignment horizontal="left" vertical="top"/>
    </xf>
    <xf numFmtId="2" fontId="2" fillId="7" borderId="36" xfId="0" applyNumberFormat="1" applyFont="1" applyFill="1" applyBorder="1" applyAlignment="1">
      <alignment horizontal="left" vertical="top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center"/>
    </xf>
    <xf numFmtId="2" fontId="0" fillId="0" borderId="7" xfId="0" applyNumberFormat="1" applyBorder="1" applyAlignment="1">
      <alignment horizontal="left" vertical="top"/>
    </xf>
    <xf numFmtId="2" fontId="0" fillId="0" borderId="8" xfId="0" applyNumberFormat="1" applyBorder="1" applyAlignment="1">
      <alignment horizontal="left" vertical="top"/>
    </xf>
    <xf numFmtId="2" fontId="0" fillId="0" borderId="9" xfId="0" applyNumberFormat="1" applyBorder="1" applyAlignment="1">
      <alignment horizontal="left" vertical="top"/>
    </xf>
    <xf numFmtId="0" fontId="2" fillId="5" borderId="4" xfId="0" applyFont="1" applyFill="1" applyBorder="1" applyAlignment="1">
      <alignment horizontal="center"/>
    </xf>
    <xf numFmtId="0" fontId="2" fillId="5" borderId="5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2" fontId="2" fillId="2" borderId="5" xfId="0" applyNumberFormat="1" applyFont="1" applyFill="1" applyBorder="1" applyAlignment="1">
      <alignment vertical="top" wrapText="1"/>
    </xf>
    <xf numFmtId="2" fontId="2" fillId="2" borderId="5" xfId="0" applyNumberFormat="1" applyFont="1" applyFill="1" applyBorder="1" applyAlignment="1">
      <alignment vertical="top"/>
    </xf>
    <xf numFmtId="2" fontId="2" fillId="2" borderId="4" xfId="0" applyNumberFormat="1" applyFont="1" applyFill="1" applyBorder="1" applyAlignment="1">
      <alignment horizontal="left" vertical="top"/>
    </xf>
    <xf numFmtId="2" fontId="2" fillId="2" borderId="5" xfId="0" applyNumberFormat="1" applyFont="1" applyFill="1" applyBorder="1" applyAlignment="1">
      <alignment horizontal="left" vertical="top" wrapText="1"/>
    </xf>
    <xf numFmtId="2" fontId="2" fillId="2" borderId="5" xfId="0" applyNumberFormat="1" applyFont="1" applyFill="1" applyBorder="1" applyAlignment="1">
      <alignment horizontal="left" vertical="top"/>
    </xf>
    <xf numFmtId="2" fontId="2" fillId="2" borderId="5" xfId="0" applyNumberFormat="1" applyFont="1" applyFill="1" applyBorder="1" applyAlignment="1">
      <alignment horizontal="center" vertical="top"/>
    </xf>
    <xf numFmtId="2" fontId="2" fillId="2" borderId="6" xfId="0" applyNumberFormat="1" applyFont="1" applyFill="1" applyBorder="1" applyAlignment="1">
      <alignment horizontal="left" vertical="top" wrapText="1"/>
    </xf>
    <xf numFmtId="2" fontId="2" fillId="2" borderId="6" xfId="0" applyNumberFormat="1" applyFont="1" applyFill="1" applyBorder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D002CB"/>
      <color rgb="FFFF9900"/>
      <color rgb="FF5DD5FF"/>
      <color rgb="FFBEDDAB"/>
      <color rgb="FFFFCCFF"/>
      <color rgb="FF006600"/>
      <color rgb="FFFF8585"/>
      <color rgb="FF75DBFF"/>
      <color rgb="FFFF85FF"/>
      <color rgb="FF00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9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.xml"/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1.xml"/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2.xml"/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3.xml"/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ln>
              <a:solidFill>
                <a:schemeClr val="tx1">
                  <a:lumMod val="95000"/>
                  <a:lumOff val="5000"/>
                </a:schemeClr>
              </a:solidFill>
            </a:ln>
          </c:spPr>
          <c:dPt>
            <c:idx val="0"/>
            <c:bubble3D val="0"/>
            <c:spPr>
              <a:solidFill>
                <a:srgbClr val="FF9900"/>
              </a:solidFill>
              <a:ln w="19050">
                <a:solidFill>
                  <a:schemeClr val="tx1">
                    <a:lumMod val="95000"/>
                    <a:lumOff val="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C2D-4013-8292-C9C735327AAE}"/>
              </c:ext>
            </c:extLst>
          </c:dPt>
          <c:dPt>
            <c:idx val="1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tx1">
                    <a:lumMod val="95000"/>
                    <a:lumOff val="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C2D-4013-8292-C9C735327AAE}"/>
              </c:ext>
            </c:extLst>
          </c:dPt>
          <c:dPt>
            <c:idx val="2"/>
            <c:bubble3D val="0"/>
            <c:spPr>
              <a:solidFill>
                <a:srgbClr val="D002CB"/>
              </a:solidFill>
              <a:ln w="19050">
                <a:solidFill>
                  <a:schemeClr val="tx1">
                    <a:lumMod val="95000"/>
                    <a:lumOff val="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C2D-4013-8292-C9C735327AAE}"/>
              </c:ext>
            </c:extLst>
          </c:dPt>
          <c:dLbls>
            <c:dLbl>
              <c:idx val="0"/>
              <c:layout>
                <c:manualLayout>
                  <c:x val="4.6109510086455224E-2"/>
                  <c:y val="8.24742268041237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C2D-4013-8292-C9C735327AAE}"/>
                </c:ext>
              </c:extLst>
            </c:dLbl>
            <c:dLbl>
              <c:idx val="1"/>
              <c:layout>
                <c:manualLayout>
                  <c:x val="-6.9164265129683003E-2"/>
                  <c:y val="-8.762886597938145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C2D-4013-8292-C9C735327AAE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C2D-4013-8292-C9C735327AA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'SHC Summary India Deng. Scena  '!$C$7:$C$9</c:f>
              <c:strCache>
                <c:ptCount val="3"/>
                <c:pt idx="0">
                  <c:v>ACC</c:v>
                </c:pt>
                <c:pt idx="1">
                  <c:v>AEEC</c:v>
                </c:pt>
                <c:pt idx="2">
                  <c:v>ADTC</c:v>
                </c:pt>
              </c:strCache>
            </c:strRef>
          </c:cat>
          <c:val>
            <c:numRef>
              <c:f>'SHC Summary India Deng. Scena  '!$H$7:$H$9</c:f>
              <c:numCache>
                <c:formatCode>0</c:formatCode>
                <c:ptCount val="3"/>
                <c:pt idx="0">
                  <c:v>91</c:v>
                </c:pt>
                <c:pt idx="1">
                  <c:v>27.990256697972264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C2D-4013-8292-C9C735327A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100" b="1" i="0" u="none" strike="noStrike" kern="120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2700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739413823272091"/>
          <c:y val="8.4871500437445332E-2"/>
          <c:w val="0.53769841269841268"/>
          <c:h val="0.75277777777777777"/>
        </c:manualLayout>
      </c:layout>
      <c:doughnutChart>
        <c:varyColors val="1"/>
        <c:ser>
          <c:idx val="0"/>
          <c:order val="0"/>
          <c:spPr>
            <a:ln w="12700">
              <a:solidFill>
                <a:schemeClr val="tx1">
                  <a:lumMod val="95000"/>
                  <a:lumOff val="5000"/>
                </a:schemeClr>
              </a:solidFill>
            </a:ln>
          </c:spPr>
          <c:dPt>
            <c:idx val="0"/>
            <c:bubble3D val="0"/>
            <c:spPr>
              <a:solidFill>
                <a:srgbClr val="FFC000"/>
              </a:solidFill>
              <a:ln w="12700">
                <a:solidFill>
                  <a:schemeClr val="tx1">
                    <a:lumMod val="95000"/>
                    <a:lumOff val="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E9A-449A-8943-13CA30E1538B}"/>
              </c:ext>
            </c:extLst>
          </c:dPt>
          <c:dPt>
            <c:idx val="1"/>
            <c:bubble3D val="0"/>
            <c:spPr>
              <a:solidFill>
                <a:srgbClr val="D002CB"/>
              </a:solidFill>
              <a:ln w="12700">
                <a:solidFill>
                  <a:schemeClr val="tx1">
                    <a:lumMod val="95000"/>
                    <a:lumOff val="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E9A-449A-8943-13CA30E1538B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 w="12700">
                <a:solidFill>
                  <a:schemeClr val="tx1">
                    <a:lumMod val="95000"/>
                    <a:lumOff val="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E9A-449A-8943-13CA30E1538B}"/>
              </c:ext>
            </c:extLst>
          </c:dPt>
          <c:dPt>
            <c:idx val="3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 w="12700">
                <a:solidFill>
                  <a:schemeClr val="tx1">
                    <a:lumMod val="95000"/>
                    <a:lumOff val="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E9A-449A-8943-13CA30E1538B}"/>
              </c:ext>
            </c:extLst>
          </c:dPt>
          <c:dPt>
            <c:idx val="4"/>
            <c:bubble3D val="0"/>
            <c:spPr>
              <a:solidFill>
                <a:srgbClr val="006600"/>
              </a:solidFill>
              <a:ln w="12700">
                <a:solidFill>
                  <a:schemeClr val="tx1">
                    <a:lumMod val="95000"/>
                    <a:lumOff val="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E9A-449A-8943-13CA30E1538B}"/>
              </c:ext>
            </c:extLst>
          </c:dPt>
          <c:dLbls>
            <c:dLbl>
              <c:idx val="0"/>
              <c:layout>
                <c:manualLayout>
                  <c:x val="-1.3492119455217413E-2"/>
                  <c:y val="-7.173169803588677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E9A-449A-8943-13CA30E1538B}"/>
                </c:ext>
              </c:extLst>
            </c:dLbl>
            <c:dLbl>
              <c:idx val="1"/>
              <c:layout>
                <c:manualLayout>
                  <c:x val="6.8883926822580011E-3"/>
                  <c:y val="-7.0342768492228439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E9A-449A-8943-13CA30E1538B}"/>
                </c:ext>
              </c:extLst>
            </c:dLbl>
            <c:dLbl>
              <c:idx val="2"/>
              <c:layout>
                <c:manualLayout>
                  <c:x val="3.6424961805147371E-2"/>
                  <c:y val="-6.3153118871293504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E9A-449A-8943-13CA30E1538B}"/>
                </c:ext>
              </c:extLst>
            </c:dLbl>
            <c:dLbl>
              <c:idx val="3"/>
              <c:layout>
                <c:manualLayout>
                  <c:x val="7.7777777777777682E-2"/>
                  <c:y val="-3.4722222222222224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E9A-449A-8943-13CA30E1538B}"/>
                </c:ext>
              </c:extLst>
            </c:dLbl>
            <c:dLbl>
              <c:idx val="4"/>
              <c:layout>
                <c:manualLayout>
                  <c:x val="-8.0555555555555561E-2"/>
                  <c:y val="2.777777777777777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E9A-449A-8943-13CA30E1538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'SHC Summary India Deng. Scena  '!$J$15:$J$19</c:f>
              <c:strCache>
                <c:ptCount val="5"/>
                <c:pt idx="0">
                  <c:v>ACC-Fan</c:v>
                </c:pt>
                <c:pt idx="1">
                  <c:v>AEEC-Fan</c:v>
                </c:pt>
                <c:pt idx="2">
                  <c:v>ACC-mc</c:v>
                </c:pt>
                <c:pt idx="3">
                  <c:v>AEEC-mc</c:v>
                </c:pt>
                <c:pt idx="4">
                  <c:v>ADTC</c:v>
                </c:pt>
              </c:strCache>
            </c:strRef>
          </c:cat>
          <c:val>
            <c:numRef>
              <c:f>'SHC Summary India Deng. Scena  '!$K$15:$K$19</c:f>
              <c:numCache>
                <c:formatCode>0</c:formatCode>
                <c:ptCount val="5"/>
                <c:pt idx="0">
                  <c:v>7</c:v>
                </c:pt>
                <c:pt idx="1">
                  <c:v>14</c:v>
                </c:pt>
                <c:pt idx="2">
                  <c:v>8</c:v>
                </c:pt>
                <c:pt idx="3">
                  <c:v>245</c:v>
                </c:pt>
                <c:pt idx="4">
                  <c:v>524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E9A-449A-8943-13CA30E153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2.7929381961583157E-2"/>
          <c:y val="0.84970191226096736"/>
          <c:w val="0.95829801125605552"/>
          <c:h val="5.85941601049868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200" b="1" i="0" u="none" strike="noStrike" kern="120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ln>
              <a:solidFill>
                <a:schemeClr val="tx1">
                  <a:lumMod val="95000"/>
                  <a:lumOff val="5000"/>
                </a:schemeClr>
              </a:solidFill>
            </a:ln>
          </c:spPr>
          <c:dPt>
            <c:idx val="0"/>
            <c:bubble3D val="0"/>
            <c:spPr>
              <a:solidFill>
                <a:srgbClr val="FFC000"/>
              </a:solidFill>
              <a:ln w="12700">
                <a:solidFill>
                  <a:schemeClr val="tx1">
                    <a:lumMod val="95000"/>
                    <a:lumOff val="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5E6-43A7-8424-BF5B8776D1D7}"/>
              </c:ext>
            </c:extLst>
          </c:dPt>
          <c:dPt>
            <c:idx val="1"/>
            <c:bubble3D val="0"/>
            <c:spPr>
              <a:solidFill>
                <a:srgbClr val="006600"/>
              </a:solidFill>
              <a:ln w="12700">
                <a:solidFill>
                  <a:schemeClr val="tx1">
                    <a:lumMod val="95000"/>
                    <a:lumOff val="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5E6-43A7-8424-BF5B8776D1D7}"/>
              </c:ext>
            </c:extLst>
          </c:dPt>
          <c:dPt>
            <c:idx val="2"/>
            <c:bubble3D val="0"/>
            <c:spPr>
              <a:solidFill>
                <a:srgbClr val="D002CB"/>
              </a:solidFill>
              <a:ln w="19050">
                <a:solidFill>
                  <a:schemeClr val="tx1">
                    <a:lumMod val="95000"/>
                    <a:lumOff val="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5E6-43A7-8424-BF5B8776D1D7}"/>
              </c:ext>
            </c:extLst>
          </c:dPt>
          <c:dLbls>
            <c:dLbl>
              <c:idx val="0"/>
              <c:layout>
                <c:manualLayout>
                  <c:x val="6.1381074168797956E-2"/>
                  <c:y val="-9.950248756218906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400" b="1" i="0" u="none" strike="noStrike" kern="1200" baseline="0">
                        <a:solidFill>
                          <a:schemeClr val="tx1">
                            <a:lumMod val="95000"/>
                            <a:lumOff val="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00E7A994-D865-4A85-B2E9-C80D1254CE97}" type="VALUE">
                      <a:rPr lang="en-US" sz="1200"/>
                      <a:pPr>
                        <a:defRPr sz="1400" b="1">
                          <a:solidFill>
                            <a:schemeClr val="tx1">
                              <a:lumMod val="95000"/>
                              <a:lumOff val="5000"/>
                            </a:schemeClr>
                          </a:solidFill>
                        </a:defRPr>
                      </a:pPr>
                      <a:t>[VALUE]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D5E6-43A7-8424-BF5B8776D1D7}"/>
                </c:ext>
              </c:extLst>
            </c:dLbl>
            <c:dLbl>
              <c:idx val="1"/>
              <c:layout>
                <c:manualLayout>
                  <c:x val="-8.1841432225063945E-2"/>
                  <c:y val="8.955223880597006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5E6-43A7-8424-BF5B8776D1D7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5E6-43A7-8424-BF5B8776D1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'SHC Summary India Deng. Scena  '!$C$7:$C$9</c:f>
              <c:strCache>
                <c:ptCount val="3"/>
                <c:pt idx="0">
                  <c:v>ACC</c:v>
                </c:pt>
                <c:pt idx="1">
                  <c:v>AEEC</c:v>
                </c:pt>
                <c:pt idx="2">
                  <c:v>ADTC</c:v>
                </c:pt>
              </c:strCache>
            </c:strRef>
          </c:cat>
          <c:val>
            <c:numRef>
              <c:f>'SHC Summary India Deng. Scena  '!$G$7:$G$9</c:f>
              <c:numCache>
                <c:formatCode>0</c:formatCode>
                <c:ptCount val="3"/>
                <c:pt idx="0">
                  <c:v>79</c:v>
                </c:pt>
                <c:pt idx="1">
                  <c:v>142.56767034712371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5E6-43A7-8424-BF5B8776D1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100" b="1" i="0" u="none" strike="noStrike" kern="120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256686664166979"/>
          <c:y val="0.10610637212015164"/>
          <c:w val="0.57486657917760275"/>
          <c:h val="0.67067767570720327"/>
        </c:manualLayout>
      </c:layout>
      <c:doughnutChart>
        <c:varyColors val="1"/>
        <c:ser>
          <c:idx val="0"/>
          <c:order val="0"/>
          <c:spPr>
            <a:ln w="12700">
              <a:solidFill>
                <a:schemeClr val="tx1">
                  <a:lumMod val="95000"/>
                  <a:lumOff val="5000"/>
                </a:schemeClr>
              </a:solidFill>
            </a:ln>
          </c:spPr>
          <c:dPt>
            <c:idx val="0"/>
            <c:bubble3D val="0"/>
            <c:spPr>
              <a:solidFill>
                <a:srgbClr val="FFC000"/>
              </a:solidFill>
              <a:ln w="12700">
                <a:solidFill>
                  <a:schemeClr val="tx1">
                    <a:lumMod val="95000"/>
                    <a:lumOff val="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D34-48D3-8433-F96FF2EB16B2}"/>
              </c:ext>
            </c:extLst>
          </c:dPt>
          <c:dPt>
            <c:idx val="1"/>
            <c:bubble3D val="0"/>
            <c:spPr>
              <a:solidFill>
                <a:srgbClr val="006600"/>
              </a:solidFill>
              <a:ln w="12700">
                <a:solidFill>
                  <a:schemeClr val="tx1">
                    <a:lumMod val="95000"/>
                    <a:lumOff val="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D34-48D3-8433-F96FF2EB16B2}"/>
              </c:ext>
            </c:extLst>
          </c:dPt>
          <c:dPt>
            <c:idx val="2"/>
            <c:bubble3D val="0"/>
            <c:spPr>
              <a:solidFill>
                <a:srgbClr val="D002CB"/>
              </a:solidFill>
              <a:ln w="12700">
                <a:solidFill>
                  <a:schemeClr val="tx1">
                    <a:lumMod val="95000"/>
                    <a:lumOff val="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D34-48D3-8433-F96FF2EB16B2}"/>
              </c:ext>
            </c:extLst>
          </c:dPt>
          <c:dLbls>
            <c:dLbl>
              <c:idx val="0"/>
              <c:layout>
                <c:manualLayout>
                  <c:x val="9.5238095238095233E-2"/>
                  <c:y val="-8.333333333333332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D34-48D3-8433-F96FF2EB16B2}"/>
                </c:ext>
              </c:extLst>
            </c:dLbl>
            <c:dLbl>
              <c:idx val="1"/>
              <c:layout>
                <c:manualLayout>
                  <c:x val="-9.5238095238095261E-2"/>
                  <c:y val="4.62962962962962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D34-48D3-8433-F96FF2EB16B2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D34-48D3-8433-F96FF2EB16B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'SHC Summary India Deng. Scena  '!$C$7:$C$9</c:f>
              <c:strCache>
                <c:ptCount val="3"/>
                <c:pt idx="0">
                  <c:v>ACC</c:v>
                </c:pt>
                <c:pt idx="1">
                  <c:v>AEEC</c:v>
                </c:pt>
                <c:pt idx="2">
                  <c:v>ADTC</c:v>
                </c:pt>
              </c:strCache>
            </c:strRef>
          </c:cat>
          <c:val>
            <c:numRef>
              <c:f>'SHC Summary India Deng. Scena  '!$F$7:$F$9</c:f>
              <c:numCache>
                <c:formatCode>0</c:formatCode>
                <c:ptCount val="3"/>
                <c:pt idx="0">
                  <c:v>126</c:v>
                </c:pt>
                <c:pt idx="1">
                  <c:v>283.12447720510744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D34-48D3-8433-F96FF2EB16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100" b="1" i="0" u="none" strike="noStrike" kern="120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FFC000"/>
              </a:solidFill>
              <a:ln w="12700">
                <a:solidFill>
                  <a:schemeClr val="tx1">
                    <a:lumMod val="95000"/>
                    <a:lumOff val="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8D3-453E-9A6F-BA4AE3A0E581}"/>
              </c:ext>
            </c:extLst>
          </c:dPt>
          <c:dPt>
            <c:idx val="1"/>
            <c:bubble3D val="0"/>
            <c:spPr>
              <a:solidFill>
                <a:srgbClr val="D002CB"/>
              </a:solidFill>
              <a:ln w="12700">
                <a:solidFill>
                  <a:schemeClr val="tx1">
                    <a:lumMod val="95000"/>
                    <a:lumOff val="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8D3-453E-9A6F-BA4AE3A0E581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 w="12700">
                <a:solidFill>
                  <a:schemeClr val="tx1">
                    <a:lumMod val="95000"/>
                    <a:lumOff val="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8D3-453E-9A6F-BA4AE3A0E581}"/>
              </c:ext>
            </c:extLst>
          </c:dPt>
          <c:dPt>
            <c:idx val="3"/>
            <c:bubble3D val="0"/>
            <c:spPr>
              <a:solidFill>
                <a:srgbClr val="0070C0"/>
              </a:solidFill>
              <a:ln w="12700">
                <a:solidFill>
                  <a:schemeClr val="tx1">
                    <a:lumMod val="95000"/>
                    <a:lumOff val="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8D3-453E-9A6F-BA4AE3A0E581}"/>
              </c:ext>
            </c:extLst>
          </c:dPt>
          <c:dPt>
            <c:idx val="4"/>
            <c:bubble3D val="0"/>
            <c:spPr>
              <a:solidFill>
                <a:srgbClr val="006600"/>
              </a:solidFill>
              <a:ln w="12700">
                <a:solidFill>
                  <a:schemeClr val="tx1">
                    <a:lumMod val="95000"/>
                    <a:lumOff val="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8D3-453E-9A6F-BA4AE3A0E581}"/>
              </c:ext>
            </c:extLst>
          </c:dPt>
          <c:dLbls>
            <c:dLbl>
              <c:idx val="0"/>
              <c:layout>
                <c:manualLayout>
                  <c:x val="-2.1693121693121632E-2"/>
                  <c:y val="-9.02777777777777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8D3-453E-9A6F-BA4AE3A0E581}"/>
                </c:ext>
              </c:extLst>
            </c:dLbl>
            <c:dLbl>
              <c:idx val="1"/>
              <c:layout>
                <c:manualLayout>
                  <c:x val="4.2328042328042331E-3"/>
                  <c:y val="-8.883113243657042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8D3-453E-9A6F-BA4AE3A0E581}"/>
                </c:ext>
              </c:extLst>
            </c:dLbl>
            <c:dLbl>
              <c:idx val="2"/>
              <c:layout>
                <c:manualLayout>
                  <c:x val="2.5264550264550264E-2"/>
                  <c:y val="-8.940972222222222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8D3-453E-9A6F-BA4AE3A0E581}"/>
                </c:ext>
              </c:extLst>
            </c:dLbl>
            <c:dLbl>
              <c:idx val="3"/>
              <c:layout>
                <c:manualLayout>
                  <c:x val="4.5304362996292133E-2"/>
                  <c:y val="-6.438067311898512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6451849768778895E-2"/>
                      <c:h val="6.5494791666666663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08D3-453E-9A6F-BA4AE3A0E581}"/>
                </c:ext>
              </c:extLst>
            </c:dLbl>
            <c:dLbl>
              <c:idx val="4"/>
              <c:layout>
                <c:manualLayout>
                  <c:x val="-0.21955198308544771"/>
                  <c:y val="-3.87728633530183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1716665299650043"/>
                      <c:h val="6.474555263925341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08D3-453E-9A6F-BA4AE3A0E58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'SHC Summary India Deng. Scena  '!$E$15:$E$19</c:f>
              <c:strCache>
                <c:ptCount val="5"/>
                <c:pt idx="0">
                  <c:v>ACC-Fan</c:v>
                </c:pt>
                <c:pt idx="1">
                  <c:v>AEEC-Fan</c:v>
                </c:pt>
                <c:pt idx="2">
                  <c:v>ACC-slr</c:v>
                </c:pt>
                <c:pt idx="3">
                  <c:v>AEEC-slr</c:v>
                </c:pt>
                <c:pt idx="4">
                  <c:v>ADTC</c:v>
                </c:pt>
              </c:strCache>
            </c:strRef>
          </c:cat>
          <c:val>
            <c:numRef>
              <c:f>'SHC Summary India Deng. Scena  '!$F$15:$F$19</c:f>
              <c:numCache>
                <c:formatCode>0</c:formatCode>
                <c:ptCount val="5"/>
                <c:pt idx="0">
                  <c:v>7</c:v>
                </c:pt>
                <c:pt idx="1">
                  <c:v>14</c:v>
                </c:pt>
                <c:pt idx="2">
                  <c:v>4</c:v>
                </c:pt>
                <c:pt idx="3">
                  <c:v>3</c:v>
                </c:pt>
                <c:pt idx="4" formatCode="General">
                  <c:v>524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8D3-453E-9A6F-BA4AE3A0E5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200" b="1" i="0" u="none" strike="noStrike" kern="120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FF9900"/>
              </a:solidFill>
              <a:ln w="19050">
                <a:solidFill>
                  <a:schemeClr val="tx1">
                    <a:lumMod val="95000"/>
                    <a:lumOff val="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AFD-4FB2-A39B-F2F2910F913F}"/>
              </c:ext>
            </c:extLst>
          </c:dPt>
          <c:dPt>
            <c:idx val="1"/>
            <c:bubble3D val="0"/>
            <c:spPr>
              <a:solidFill>
                <a:srgbClr val="D002CB"/>
              </a:solidFill>
              <a:ln w="19050">
                <a:solidFill>
                  <a:schemeClr val="tx1">
                    <a:lumMod val="95000"/>
                    <a:lumOff val="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AFD-4FB2-A39B-F2F2910F913F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 w="19050">
                <a:solidFill>
                  <a:schemeClr val="tx1">
                    <a:lumMod val="95000"/>
                    <a:lumOff val="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AFD-4FB2-A39B-F2F2910F913F}"/>
              </c:ext>
            </c:extLst>
          </c:dPt>
          <c:dPt>
            <c:idx val="3"/>
            <c:bubble3D val="0"/>
            <c:spPr>
              <a:solidFill>
                <a:srgbClr val="5DD5FF"/>
              </a:solidFill>
              <a:ln w="19050">
                <a:solidFill>
                  <a:schemeClr val="tx1">
                    <a:lumMod val="95000"/>
                    <a:lumOff val="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AFD-4FB2-A39B-F2F2910F913F}"/>
              </c:ext>
            </c:extLst>
          </c:dPt>
          <c:dPt>
            <c:idx val="4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tx1">
                    <a:lumMod val="95000"/>
                    <a:lumOff val="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AFD-4FB2-A39B-F2F2910F913F}"/>
              </c:ext>
            </c:extLst>
          </c:dPt>
          <c:dLbls>
            <c:dLbl>
              <c:idx val="0"/>
              <c:layout>
                <c:manualLayout>
                  <c:x val="-2.3148148148148147E-2"/>
                  <c:y val="-8.68055555555555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AFD-4FB2-A39B-F2F2910F913F}"/>
                </c:ext>
              </c:extLst>
            </c:dLbl>
            <c:dLbl>
              <c:idx val="1"/>
              <c:layout>
                <c:manualLayout>
                  <c:x val="-6.0625401942952343E-17"/>
                  <c:y val="-9.548611111111113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AFD-4FB2-A39B-F2F2910F913F}"/>
                </c:ext>
              </c:extLst>
            </c:dLbl>
            <c:dLbl>
              <c:idx val="2"/>
              <c:layout>
                <c:manualLayout>
                  <c:x val="5.6216931216931214E-2"/>
                  <c:y val="-7.378472222222222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AFD-4FB2-A39B-F2F2910F913F}"/>
                </c:ext>
              </c:extLst>
            </c:dLbl>
            <c:dLbl>
              <c:idx val="3"/>
              <c:layout>
                <c:manualLayout>
                  <c:x val="9.9206349206349201E-3"/>
                  <c:y val="-9.982638888888889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AFD-4FB2-A39B-F2F2910F913F}"/>
                </c:ext>
              </c:extLst>
            </c:dLbl>
            <c:dLbl>
              <c:idx val="4"/>
              <c:layout>
                <c:manualLayout>
                  <c:x val="-0.20171957671957672"/>
                  <c:y val="-2.170138888888888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AFD-4FB2-A39B-F2F2910F913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'SHC Summary India Deng. Scena  '!$E$15:$E$19</c:f>
              <c:strCache>
                <c:ptCount val="5"/>
                <c:pt idx="0">
                  <c:v>ACC-Fan</c:v>
                </c:pt>
                <c:pt idx="1">
                  <c:v>AEEC-Fan</c:v>
                </c:pt>
                <c:pt idx="2">
                  <c:v>ACC-slr</c:v>
                </c:pt>
                <c:pt idx="3">
                  <c:v>AEEC-slr</c:v>
                </c:pt>
                <c:pt idx="4">
                  <c:v>ADTC</c:v>
                </c:pt>
              </c:strCache>
            </c:strRef>
          </c:cat>
          <c:val>
            <c:numRef>
              <c:f>'SHC Summary India Deng. Scena  '!$G$15:$G$19</c:f>
              <c:numCache>
                <c:formatCode>0</c:formatCode>
                <c:ptCount val="5"/>
                <c:pt idx="0">
                  <c:v>8</c:v>
                </c:pt>
                <c:pt idx="1">
                  <c:v>20</c:v>
                </c:pt>
                <c:pt idx="2">
                  <c:v>4</c:v>
                </c:pt>
                <c:pt idx="3">
                  <c:v>3</c:v>
                </c:pt>
                <c:pt idx="4">
                  <c:v>524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AFD-4FB2-A39B-F2F2910F91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200" b="1" i="0" u="none" strike="noStrike" kern="120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739413823272091"/>
          <c:y val="8.4871500437445332E-2"/>
          <c:w val="0.53769841269841268"/>
          <c:h val="0.75277777777777777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FFC000"/>
              </a:solidFill>
              <a:ln w="19050">
                <a:solidFill>
                  <a:schemeClr val="tx1">
                    <a:lumMod val="95000"/>
                    <a:lumOff val="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1DA-4AF0-A687-8E3DC8A05818}"/>
              </c:ext>
            </c:extLst>
          </c:dPt>
          <c:dPt>
            <c:idx val="1"/>
            <c:bubble3D val="0"/>
            <c:spPr>
              <a:solidFill>
                <a:srgbClr val="D002CB"/>
              </a:solidFill>
              <a:ln w="19050">
                <a:solidFill>
                  <a:schemeClr val="tx1">
                    <a:lumMod val="95000"/>
                    <a:lumOff val="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1DA-4AF0-A687-8E3DC8A05818}"/>
              </c:ext>
            </c:extLst>
          </c:dPt>
          <c:dPt>
            <c:idx val="2"/>
            <c:bubble3D val="0"/>
            <c:spPr>
              <a:solidFill>
                <a:srgbClr val="00B0F0"/>
              </a:solidFill>
              <a:ln w="19050">
                <a:solidFill>
                  <a:schemeClr val="tx1">
                    <a:lumMod val="95000"/>
                    <a:lumOff val="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1DA-4AF0-A687-8E3DC8A05818}"/>
              </c:ext>
            </c:extLst>
          </c:dPt>
          <c:dPt>
            <c:idx val="3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 w="19050">
                <a:solidFill>
                  <a:schemeClr val="tx1">
                    <a:lumMod val="95000"/>
                    <a:lumOff val="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1DA-4AF0-A687-8E3DC8A05818}"/>
              </c:ext>
            </c:extLst>
          </c:dPt>
          <c:dPt>
            <c:idx val="4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tx1">
                    <a:lumMod val="95000"/>
                    <a:lumOff val="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1DA-4AF0-A687-8E3DC8A05818}"/>
              </c:ext>
            </c:extLst>
          </c:dPt>
          <c:dLbls>
            <c:dLbl>
              <c:idx val="0"/>
              <c:layout>
                <c:manualLayout>
                  <c:x val="-1.3445378151260505E-2"/>
                  <c:y val="-7.51879699248120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1DA-4AF0-A687-8E3DC8A05818}"/>
                </c:ext>
              </c:extLst>
            </c:dLbl>
            <c:dLbl>
              <c:idx val="1"/>
              <c:layout>
                <c:manualLayout>
                  <c:x val="3.3613445378150642E-3"/>
                  <c:y val="-9.022556390977443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1DA-4AF0-A687-8E3DC8A05818}"/>
                </c:ext>
              </c:extLst>
            </c:dLbl>
            <c:dLbl>
              <c:idx val="2"/>
              <c:layout>
                <c:manualLayout>
                  <c:x val="1.6806722689075567E-2"/>
                  <c:y val="-8.270676691729322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1DA-4AF0-A687-8E3DC8A05818}"/>
                </c:ext>
              </c:extLst>
            </c:dLbl>
            <c:dLbl>
              <c:idx val="3"/>
              <c:layout>
                <c:manualLayout>
                  <c:x val="9.7478991596638531E-2"/>
                  <c:y val="-3.00751879699248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1DA-4AF0-A687-8E3DC8A05818}"/>
                </c:ext>
              </c:extLst>
            </c:dLbl>
            <c:dLbl>
              <c:idx val="4"/>
              <c:layout>
                <c:manualLayout>
                  <c:x val="-9.07563025210084E-2"/>
                  <c:y val="1.503759398496240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31DA-4AF0-A687-8E3DC8A0581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'SHC Summary India Deng. Scena  '!$J$15:$J$19</c:f>
              <c:strCache>
                <c:ptCount val="5"/>
                <c:pt idx="0">
                  <c:v>ACC-Fan</c:v>
                </c:pt>
                <c:pt idx="1">
                  <c:v>AEEC-Fan</c:v>
                </c:pt>
                <c:pt idx="2">
                  <c:v>ACC-mc</c:v>
                </c:pt>
                <c:pt idx="3">
                  <c:v>AEEC-mc</c:v>
                </c:pt>
                <c:pt idx="4">
                  <c:v>ADTC</c:v>
                </c:pt>
              </c:strCache>
            </c:strRef>
          </c:cat>
          <c:val>
            <c:numRef>
              <c:f>'SHC Summary India Deng. Scena  '!$L$15:$L$19</c:f>
              <c:numCache>
                <c:formatCode>0</c:formatCode>
                <c:ptCount val="5"/>
                <c:pt idx="0">
                  <c:v>8</c:v>
                </c:pt>
                <c:pt idx="1">
                  <c:v>20</c:v>
                </c:pt>
                <c:pt idx="2">
                  <c:v>8</c:v>
                </c:pt>
                <c:pt idx="3">
                  <c:v>245</c:v>
                </c:pt>
                <c:pt idx="4">
                  <c:v>524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1DA-4AF0-A687-8E3DC8A058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2.7929381961583157E-2"/>
          <c:y val="0.84970191226096736"/>
          <c:w val="0.95829801125605552"/>
          <c:h val="5.85941601049868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200" b="1" i="0" u="none" strike="noStrike" kern="120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256686664166979"/>
          <c:y val="0.10610637212015164"/>
          <c:w val="0.57486657917760275"/>
          <c:h val="0.67067767570720327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FF9900"/>
              </a:solidFill>
              <a:ln w="19050">
                <a:solidFill>
                  <a:schemeClr val="tx1">
                    <a:lumMod val="95000"/>
                    <a:lumOff val="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9EB-4A63-AFA2-A74965532605}"/>
              </c:ext>
            </c:extLst>
          </c:dPt>
          <c:dPt>
            <c:idx val="1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tx1">
                    <a:lumMod val="95000"/>
                    <a:lumOff val="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9EB-4A63-AFA2-A74965532605}"/>
              </c:ext>
            </c:extLst>
          </c:dPt>
          <c:dPt>
            <c:idx val="2"/>
            <c:bubble3D val="0"/>
            <c:spPr>
              <a:solidFill>
                <a:srgbClr val="D002CB"/>
              </a:solidFill>
              <a:ln w="19050">
                <a:solidFill>
                  <a:schemeClr val="tx1">
                    <a:lumMod val="95000"/>
                    <a:lumOff val="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9EB-4A63-AFA2-A74965532605}"/>
              </c:ext>
            </c:extLst>
          </c:dPt>
          <c:dLbls>
            <c:dLbl>
              <c:idx val="0"/>
              <c:layout>
                <c:manualLayout>
                  <c:x val="7.1428571428571425E-2"/>
                  <c:y val="-6.481481481481483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9EB-4A63-AFA2-A74965532605}"/>
                </c:ext>
              </c:extLst>
            </c:dLbl>
            <c:dLbl>
              <c:idx val="1"/>
              <c:layout>
                <c:manualLayout>
                  <c:x val="-0.12698412698412698"/>
                  <c:y val="5.09259259259258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9EB-4A63-AFA2-A74965532605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9EB-4A63-AFA2-A7496553260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'SHC Summary India Deng. Scena  '!$C$7:$C$9</c:f>
              <c:strCache>
                <c:ptCount val="3"/>
                <c:pt idx="0">
                  <c:v>ACC</c:v>
                </c:pt>
                <c:pt idx="1">
                  <c:v>AEEC</c:v>
                </c:pt>
                <c:pt idx="2">
                  <c:v>ADTC</c:v>
                </c:pt>
              </c:strCache>
            </c:strRef>
          </c:cat>
          <c:val>
            <c:numRef>
              <c:f>'SHC Summary India Deng. Scena  '!$I$7:$I$9</c:f>
              <c:numCache>
                <c:formatCode>0</c:formatCode>
                <c:ptCount val="3"/>
                <c:pt idx="0">
                  <c:v>124</c:v>
                </c:pt>
                <c:pt idx="1">
                  <c:v>350.0356291157791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9EB-4A63-AFA2-A749655326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100" b="1" i="0" u="none" strike="noStrike" kern="120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FF9900"/>
              </a:solidFill>
              <a:ln w="19050">
                <a:solidFill>
                  <a:schemeClr val="tx1">
                    <a:lumMod val="95000"/>
                    <a:lumOff val="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08B-48EB-8E00-E7218855B6CD}"/>
              </c:ext>
            </c:extLst>
          </c:dPt>
          <c:dPt>
            <c:idx val="1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tx1">
                    <a:lumMod val="95000"/>
                    <a:lumOff val="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08B-48EB-8E00-E7218855B6CD}"/>
              </c:ext>
            </c:extLst>
          </c:dPt>
          <c:dPt>
            <c:idx val="2"/>
            <c:bubble3D val="0"/>
            <c:spPr>
              <a:solidFill>
                <a:srgbClr val="D002CB"/>
              </a:solidFill>
              <a:ln w="19050">
                <a:solidFill>
                  <a:schemeClr val="tx1">
                    <a:lumMod val="95000"/>
                    <a:lumOff val="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08B-48EB-8E00-E7218855B6CD}"/>
              </c:ext>
            </c:extLst>
          </c:dPt>
          <c:dLbls>
            <c:dLbl>
              <c:idx val="0"/>
              <c:layout>
                <c:manualLayout>
                  <c:x val="8.6956521739130252E-2"/>
                  <c:y val="-6.96517412935323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08B-48EB-8E00-E7218855B6CD}"/>
                </c:ext>
              </c:extLst>
            </c:dLbl>
            <c:dLbl>
              <c:idx val="1"/>
              <c:layout>
                <c:manualLayout>
                  <c:x val="-8.695652173913046E-2"/>
                  <c:y val="7.960199004975115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08B-48EB-8E00-E7218855B6CD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08B-48EB-8E00-E7218855B6C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'SHC Summary India Deng. Scena  '!$C$7:$C$9</c:f>
              <c:strCache>
                <c:ptCount val="3"/>
                <c:pt idx="0">
                  <c:v>ACC</c:v>
                </c:pt>
                <c:pt idx="1">
                  <c:v>AEEC</c:v>
                </c:pt>
                <c:pt idx="2">
                  <c:v>ADTC</c:v>
                </c:pt>
              </c:strCache>
            </c:strRef>
          </c:cat>
          <c:val>
            <c:numRef>
              <c:f>'SHC Summary India Deng. Scena  '!$J$7:$J$9</c:f>
              <c:numCache>
                <c:formatCode>0</c:formatCode>
                <c:ptCount val="3"/>
                <c:pt idx="0">
                  <c:v>81</c:v>
                </c:pt>
                <c:pt idx="1">
                  <c:v>186.26766475460909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08B-48EB-8E00-E7218855B6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100" b="1" i="0" u="none" strike="noStrike" kern="120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FF9900"/>
              </a:solidFill>
              <a:ln w="19050">
                <a:solidFill>
                  <a:schemeClr val="tx1">
                    <a:lumMod val="95000"/>
                    <a:lumOff val="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671-4A75-A053-C0E21B30CF71}"/>
              </c:ext>
            </c:extLst>
          </c:dPt>
          <c:dPt>
            <c:idx val="1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tx1">
                    <a:lumMod val="95000"/>
                    <a:lumOff val="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671-4A75-A053-C0E21B30CF71}"/>
              </c:ext>
            </c:extLst>
          </c:dPt>
          <c:dPt>
            <c:idx val="2"/>
            <c:bubble3D val="0"/>
            <c:spPr>
              <a:solidFill>
                <a:srgbClr val="D002CB"/>
              </a:solidFill>
              <a:ln w="19050">
                <a:solidFill>
                  <a:schemeClr val="tx1">
                    <a:lumMod val="95000"/>
                    <a:lumOff val="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671-4A75-A053-C0E21B30CF71}"/>
              </c:ext>
            </c:extLst>
          </c:dPt>
          <c:dLbls>
            <c:dLbl>
              <c:idx val="0"/>
              <c:layout>
                <c:manualLayout>
                  <c:x val="4.8648648648648651E-2"/>
                  <c:y val="0.1030927835051545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671-4A75-A053-C0E21B30CF71}"/>
                </c:ext>
              </c:extLst>
            </c:dLbl>
            <c:dLbl>
              <c:idx val="1"/>
              <c:layout>
                <c:manualLayout>
                  <c:x val="-8.1081081081081086E-2"/>
                  <c:y val="-8.762886597938146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671-4A75-A053-C0E21B30CF71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671-4A75-A053-C0E21B30CF7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'SHC Summary India Deng. Scena  '!$C$7:$C$9</c:f>
              <c:strCache>
                <c:ptCount val="3"/>
                <c:pt idx="0">
                  <c:v>ACC</c:v>
                </c:pt>
                <c:pt idx="1">
                  <c:v>AEEC</c:v>
                </c:pt>
                <c:pt idx="2">
                  <c:v>ADTC</c:v>
                </c:pt>
              </c:strCache>
            </c:strRef>
          </c:cat>
          <c:val>
            <c:numRef>
              <c:f>'SHC Summary India Deng. Scena  '!$K$7:$K$9</c:f>
              <c:numCache>
                <c:formatCode>0</c:formatCode>
                <c:ptCount val="3"/>
                <c:pt idx="0">
                  <c:v>86</c:v>
                </c:pt>
                <c:pt idx="1">
                  <c:v>26.304976730140364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671-4A75-A053-C0E21B30CF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100" b="1" i="0" u="none" strike="noStrike" kern="120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FF9900"/>
              </a:solidFill>
              <a:ln w="19050">
                <a:solidFill>
                  <a:schemeClr val="tx1">
                    <a:lumMod val="95000"/>
                    <a:lumOff val="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3B8-48B0-8983-F69806EC3DF6}"/>
              </c:ext>
            </c:extLst>
          </c:dPt>
          <c:dPt>
            <c:idx val="1"/>
            <c:bubble3D val="0"/>
            <c:spPr>
              <a:solidFill>
                <a:srgbClr val="D002CB"/>
              </a:solidFill>
              <a:ln w="19050">
                <a:solidFill>
                  <a:schemeClr val="tx1">
                    <a:lumMod val="95000"/>
                    <a:lumOff val="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3B8-48B0-8983-F69806EC3DF6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 w="19050">
                <a:solidFill>
                  <a:schemeClr val="tx1">
                    <a:lumMod val="95000"/>
                    <a:lumOff val="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3B8-48B0-8983-F69806EC3DF6}"/>
              </c:ext>
            </c:extLst>
          </c:dPt>
          <c:dPt>
            <c:idx val="3"/>
            <c:bubble3D val="0"/>
            <c:spPr>
              <a:solidFill>
                <a:srgbClr val="00B0F0"/>
              </a:solidFill>
              <a:ln w="19050">
                <a:solidFill>
                  <a:schemeClr val="tx1">
                    <a:lumMod val="95000"/>
                    <a:lumOff val="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3B8-48B0-8983-F69806EC3DF6}"/>
              </c:ext>
            </c:extLst>
          </c:dPt>
          <c:dPt>
            <c:idx val="4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tx1">
                    <a:lumMod val="95000"/>
                    <a:lumOff val="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3B8-48B0-8983-F69806EC3DF6}"/>
              </c:ext>
            </c:extLst>
          </c:dPt>
          <c:dLbls>
            <c:dLbl>
              <c:idx val="0"/>
              <c:layout>
                <c:manualLayout>
                  <c:x val="-1.984126984126984E-2"/>
                  <c:y val="-9.548611111111110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B8-48B0-8983-F69806EC3DF6}"/>
                </c:ext>
              </c:extLst>
            </c:dLbl>
            <c:dLbl>
              <c:idx val="1"/>
              <c:layout>
                <c:manualLayout>
                  <c:x val="6.6137566137566134E-3"/>
                  <c:y val="-0.1041666666666666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B8-48B0-8983-F69806EC3DF6}"/>
                </c:ext>
              </c:extLst>
            </c:dLbl>
            <c:dLbl>
              <c:idx val="2"/>
              <c:layout>
                <c:manualLayout>
                  <c:x val="1.984126984126984E-2"/>
                  <c:y val="-0.1085069444444444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3B8-48B0-8983-F69806EC3DF6}"/>
                </c:ext>
              </c:extLst>
            </c:dLbl>
            <c:dLbl>
              <c:idx val="3"/>
              <c:layout>
                <c:manualLayout>
                  <c:x val="4.6296296296296294E-2"/>
                  <c:y val="-8.24652777777777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3B8-48B0-8983-F69806EC3DF6}"/>
                </c:ext>
              </c:extLst>
            </c:dLbl>
            <c:dLbl>
              <c:idx val="4"/>
              <c:layout>
                <c:manualLayout>
                  <c:x val="-0.24470899470899474"/>
                  <c:y val="-7.378472222222222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3B8-48B0-8983-F69806EC3DF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'SHC Summary India Deng. Scena  '!$E$15:$E$19</c:f>
              <c:strCache>
                <c:ptCount val="5"/>
                <c:pt idx="0">
                  <c:v>ACC-Fan</c:v>
                </c:pt>
                <c:pt idx="1">
                  <c:v>AEEC-Fan</c:v>
                </c:pt>
                <c:pt idx="2">
                  <c:v>ACC-slr</c:v>
                </c:pt>
                <c:pt idx="3">
                  <c:v>AEEC-slr</c:v>
                </c:pt>
                <c:pt idx="4">
                  <c:v>ADTC</c:v>
                </c:pt>
              </c:strCache>
            </c:strRef>
          </c:cat>
          <c:val>
            <c:numRef>
              <c:f>'SHC Summary India Deng. Scena  '!$H$15:$H$19</c:f>
              <c:numCache>
                <c:formatCode>0</c:formatCode>
                <c:ptCount val="5"/>
                <c:pt idx="0">
                  <c:v>7</c:v>
                </c:pt>
                <c:pt idx="1">
                  <c:v>19</c:v>
                </c:pt>
                <c:pt idx="2">
                  <c:v>4</c:v>
                </c:pt>
                <c:pt idx="3">
                  <c:v>4</c:v>
                </c:pt>
                <c:pt idx="4">
                  <c:v>524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3B8-48B0-8983-F69806EC3D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200" b="1" i="0" u="none" strike="noStrike" kern="120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739413823272091"/>
          <c:y val="8.4871500437445332E-2"/>
          <c:w val="0.53769841269841268"/>
          <c:h val="0.75277777777777777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FF9900"/>
              </a:solidFill>
              <a:ln w="19050">
                <a:solidFill>
                  <a:schemeClr val="tx1">
                    <a:lumMod val="95000"/>
                    <a:lumOff val="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D23-4CC8-8C8C-4B900512157D}"/>
              </c:ext>
            </c:extLst>
          </c:dPt>
          <c:dPt>
            <c:idx val="1"/>
            <c:bubble3D val="0"/>
            <c:spPr>
              <a:solidFill>
                <a:srgbClr val="D002CB"/>
              </a:solidFill>
              <a:ln w="19050">
                <a:solidFill>
                  <a:schemeClr val="tx1">
                    <a:lumMod val="95000"/>
                    <a:lumOff val="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D23-4CC8-8C8C-4B900512157D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 w="19050">
                <a:solidFill>
                  <a:schemeClr val="tx1">
                    <a:lumMod val="95000"/>
                    <a:lumOff val="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D23-4CC8-8C8C-4B900512157D}"/>
              </c:ext>
            </c:extLst>
          </c:dPt>
          <c:dPt>
            <c:idx val="3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 w="19050">
                <a:solidFill>
                  <a:schemeClr val="tx1">
                    <a:lumMod val="95000"/>
                    <a:lumOff val="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D23-4CC8-8C8C-4B900512157D}"/>
              </c:ext>
            </c:extLst>
          </c:dPt>
          <c:dPt>
            <c:idx val="4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tx1">
                    <a:lumMod val="95000"/>
                    <a:lumOff val="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D23-4CC8-8C8C-4B900512157D}"/>
              </c:ext>
            </c:extLst>
          </c:dPt>
          <c:dLbls>
            <c:dLbl>
              <c:idx val="0"/>
              <c:layout>
                <c:manualLayout>
                  <c:x val="-2.0168067226890758E-2"/>
                  <c:y val="-9.022556390977445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D23-4CC8-8C8C-4B900512157D}"/>
                </c:ext>
              </c:extLst>
            </c:dLbl>
            <c:dLbl>
              <c:idx val="1"/>
              <c:layout>
                <c:manualLayout>
                  <c:x val="0"/>
                  <c:y val="-8.64661654135338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D23-4CC8-8C8C-4B900512157D}"/>
                </c:ext>
              </c:extLst>
            </c:dLbl>
            <c:dLbl>
              <c:idx val="2"/>
              <c:layout>
                <c:manualLayout>
                  <c:x val="2.6890756302520948E-2"/>
                  <c:y val="-9.774436090225563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D23-4CC8-8C8C-4B900512157D}"/>
                </c:ext>
              </c:extLst>
            </c:dLbl>
            <c:dLbl>
              <c:idx val="3"/>
              <c:layout>
                <c:manualLayout>
                  <c:x val="0.10084033613445378"/>
                  <c:y val="-5.263157894736845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D23-4CC8-8C8C-4B900512157D}"/>
                </c:ext>
              </c:extLst>
            </c:dLbl>
            <c:dLbl>
              <c:idx val="4"/>
              <c:layout>
                <c:manualLayout>
                  <c:x val="-0.11428571428571428"/>
                  <c:y val="2.255639097744353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D23-4CC8-8C8C-4B900512157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'SHC Summary India Deng. Scena  '!$J$15:$J$19</c:f>
              <c:strCache>
                <c:ptCount val="5"/>
                <c:pt idx="0">
                  <c:v>ACC-Fan</c:v>
                </c:pt>
                <c:pt idx="1">
                  <c:v>AEEC-Fan</c:v>
                </c:pt>
                <c:pt idx="2">
                  <c:v>ACC-mc</c:v>
                </c:pt>
                <c:pt idx="3">
                  <c:v>AEEC-mc</c:v>
                </c:pt>
                <c:pt idx="4">
                  <c:v>ADTC</c:v>
                </c:pt>
              </c:strCache>
            </c:strRef>
          </c:cat>
          <c:val>
            <c:numRef>
              <c:f>'SHC Summary India Deng. Scena  '!$M$15:$M$19</c:f>
              <c:numCache>
                <c:formatCode>0</c:formatCode>
                <c:ptCount val="5"/>
                <c:pt idx="0">
                  <c:v>7</c:v>
                </c:pt>
                <c:pt idx="1">
                  <c:v>19</c:v>
                </c:pt>
                <c:pt idx="2">
                  <c:v>8</c:v>
                </c:pt>
                <c:pt idx="3">
                  <c:v>245</c:v>
                </c:pt>
                <c:pt idx="4">
                  <c:v>524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D23-4CC8-8C8C-4B90051215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2.7929381961583157E-2"/>
          <c:y val="0.84970191226096736"/>
          <c:w val="0.95829801125605552"/>
          <c:h val="5.85941601049868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200" b="1" i="0" u="none" strike="noStrike" kern="120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256686664166979"/>
          <c:y val="0.10610637212015164"/>
          <c:w val="0.57486657917760275"/>
          <c:h val="0.67067767570720327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FF9900"/>
              </a:solidFill>
              <a:ln w="19050">
                <a:solidFill>
                  <a:schemeClr val="tx1">
                    <a:lumMod val="95000"/>
                    <a:lumOff val="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8BD-4FE8-AA67-8CEF6F285A99}"/>
              </c:ext>
            </c:extLst>
          </c:dPt>
          <c:dPt>
            <c:idx val="1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tx1">
                    <a:lumMod val="95000"/>
                    <a:lumOff val="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8BD-4FE8-AA67-8CEF6F285A99}"/>
              </c:ext>
            </c:extLst>
          </c:dPt>
          <c:dPt>
            <c:idx val="2"/>
            <c:bubble3D val="0"/>
            <c:spPr>
              <a:solidFill>
                <a:srgbClr val="D002CB"/>
              </a:solidFill>
              <a:ln w="19050">
                <a:solidFill>
                  <a:schemeClr val="tx1">
                    <a:lumMod val="95000"/>
                    <a:lumOff val="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8BD-4FE8-AA67-8CEF6F285A99}"/>
              </c:ext>
            </c:extLst>
          </c:dPt>
          <c:dLbls>
            <c:dLbl>
              <c:idx val="0"/>
              <c:layout>
                <c:manualLayout>
                  <c:x val="9.9206349206349201E-2"/>
                  <c:y val="-6.94444444444444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8BD-4FE8-AA67-8CEF6F285A99}"/>
                </c:ext>
              </c:extLst>
            </c:dLbl>
            <c:dLbl>
              <c:idx val="1"/>
              <c:layout>
                <c:manualLayout>
                  <c:x val="-0.13095238095238096"/>
                  <c:y val="3.24074074074074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8BD-4FE8-AA67-8CEF6F285A99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8BD-4FE8-AA67-8CEF6F285A9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'SHC Summary India Deng. Scena  '!$C$7:$C$9</c:f>
              <c:strCache>
                <c:ptCount val="3"/>
                <c:pt idx="0">
                  <c:v>ACC</c:v>
                </c:pt>
                <c:pt idx="1">
                  <c:v>AEEC</c:v>
                </c:pt>
                <c:pt idx="2">
                  <c:v>ADTC</c:v>
                </c:pt>
              </c:strCache>
            </c:strRef>
          </c:cat>
          <c:val>
            <c:numRef>
              <c:f>'SHC Summary India Deng. Scena  '!$L$7:$L$9</c:f>
              <c:numCache>
                <c:formatCode>0</c:formatCode>
                <c:ptCount val="3"/>
                <c:pt idx="0">
                  <c:v>115</c:v>
                </c:pt>
                <c:pt idx="1">
                  <c:v>348.68504492502535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8BD-4FE8-AA67-8CEF6F285A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100" b="1" i="0" u="none" strike="noStrike" kern="120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FF9900"/>
              </a:solidFill>
              <a:ln w="19050">
                <a:solidFill>
                  <a:schemeClr val="tx1">
                    <a:lumMod val="95000"/>
                    <a:lumOff val="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B14-40FD-9301-852107818DD2}"/>
              </c:ext>
            </c:extLst>
          </c:dPt>
          <c:dPt>
            <c:idx val="1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tx1">
                    <a:lumMod val="95000"/>
                    <a:lumOff val="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B14-40FD-9301-852107818DD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B14-40FD-9301-852107818DD2}"/>
              </c:ext>
            </c:extLst>
          </c:dPt>
          <c:dLbls>
            <c:dLbl>
              <c:idx val="0"/>
              <c:layout>
                <c:manualLayout>
                  <c:x val="8.2815734989648032E-2"/>
                  <c:y val="-6.2350119904076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B14-40FD-9301-852107818DD2}"/>
                </c:ext>
              </c:extLst>
            </c:dLbl>
            <c:dLbl>
              <c:idx val="1"/>
              <c:layout>
                <c:manualLayout>
                  <c:x val="-9.5238095238095261E-2"/>
                  <c:y val="5.275779376498809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B14-40FD-9301-852107818DD2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B14-40FD-9301-852107818DD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'SHC Summary India Deng. Scena  '!$C$7:$C$9</c:f>
              <c:strCache>
                <c:ptCount val="3"/>
                <c:pt idx="0">
                  <c:v>ACC</c:v>
                </c:pt>
                <c:pt idx="1">
                  <c:v>AEEC</c:v>
                </c:pt>
                <c:pt idx="2">
                  <c:v>ADTC</c:v>
                </c:pt>
              </c:strCache>
            </c:strRef>
          </c:cat>
          <c:val>
            <c:numRef>
              <c:f>'SHC Summary India Deng. Scena  '!$M$7:$M$9</c:f>
              <c:numCache>
                <c:formatCode>0</c:formatCode>
                <c:ptCount val="3"/>
                <c:pt idx="0">
                  <c:v>73</c:v>
                </c:pt>
                <c:pt idx="1">
                  <c:v>173.74466627614385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B14-40FD-9301-852107818D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100" b="1" i="0" u="none" strike="noStrike" kern="120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FF9900"/>
              </a:solidFill>
              <a:ln w="19050">
                <a:solidFill>
                  <a:schemeClr val="tx1">
                    <a:lumMod val="95000"/>
                    <a:lumOff val="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1EC-4963-9F2A-C2B586EB64BF}"/>
              </c:ext>
            </c:extLst>
          </c:dPt>
          <c:dPt>
            <c:idx val="1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accent6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1EC-4963-9F2A-C2B586EB64BF}"/>
              </c:ext>
            </c:extLst>
          </c:dPt>
          <c:dPt>
            <c:idx val="2"/>
            <c:bubble3D val="0"/>
            <c:spPr>
              <a:solidFill>
                <a:srgbClr val="D002CB"/>
              </a:solidFill>
              <a:ln w="19050">
                <a:solidFill>
                  <a:schemeClr val="tx1">
                    <a:lumMod val="95000"/>
                    <a:lumOff val="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1EC-4963-9F2A-C2B586EB64BF}"/>
              </c:ext>
            </c:extLst>
          </c:dPt>
          <c:dLbls>
            <c:dLbl>
              <c:idx val="0"/>
              <c:layout>
                <c:manualLayout>
                  <c:x val="7.0270270270270177E-2"/>
                  <c:y val="8.24742268041237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1EC-4963-9F2A-C2B586EB64BF}"/>
                </c:ext>
              </c:extLst>
            </c:dLbl>
            <c:dLbl>
              <c:idx val="1"/>
              <c:layout>
                <c:manualLayout>
                  <c:x val="-9.7297297297297317E-2"/>
                  <c:y val="-7.731958762886599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1EC-4963-9F2A-C2B586EB64BF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1EC-4963-9F2A-C2B586EB64B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'SHC Summary India Deng. Scena  '!$C$7:$C$9</c:f>
              <c:strCache>
                <c:ptCount val="3"/>
                <c:pt idx="0">
                  <c:v>ACC</c:v>
                </c:pt>
                <c:pt idx="1">
                  <c:v>AEEC</c:v>
                </c:pt>
                <c:pt idx="2">
                  <c:v>ADTC</c:v>
                </c:pt>
              </c:strCache>
            </c:strRef>
          </c:cat>
          <c:val>
            <c:numRef>
              <c:f>'SHC Summary India Deng. Scena  '!$N$7:$N$9</c:f>
              <c:numCache>
                <c:formatCode>0</c:formatCode>
                <c:ptCount val="3"/>
                <c:pt idx="0">
                  <c:v>88</c:v>
                </c:pt>
                <c:pt idx="1">
                  <c:v>28.633037808158605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1EC-4963-9F2A-C2B586EB64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100" b="1" i="0" u="none" strike="noStrike" kern="120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98607752099161"/>
          <c:y val="2.7142350661664674E-2"/>
          <c:w val="0.88881248044724126"/>
          <c:h val="0.7746888733149195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'Total SHC India Dengue Season'!$C$5</c:f>
              <c:strCache>
                <c:ptCount val="1"/>
                <c:pt idx="0">
                  <c:v>ACC</c:v>
                </c:pt>
              </c:strCache>
            </c:strRef>
          </c:tx>
          <c:spPr>
            <a:solidFill>
              <a:srgbClr val="75DBFF"/>
            </a:solidFill>
            <a:ln w="22225"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val>
            <c:numRef>
              <c:f>'Total SHC India Dengue Season'!$D$5:$Q$5</c:f>
              <c:numCache>
                <c:formatCode>0.00</c:formatCode>
                <c:ptCount val="14"/>
                <c:pt idx="0">
                  <c:v>7</c:v>
                </c:pt>
                <c:pt idx="1">
                  <c:v>4</c:v>
                </c:pt>
                <c:pt idx="4">
                  <c:v>7</c:v>
                </c:pt>
                <c:pt idx="5">
                  <c:v>8</c:v>
                </c:pt>
                <c:pt idx="8">
                  <c:v>125.85882352941177</c:v>
                </c:pt>
                <c:pt idx="10">
                  <c:v>78.705882352941174</c:v>
                </c:pt>
                <c:pt idx="12">
                  <c:v>91.235294117647058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D6D2-4CE3-A3B6-BBB0D3B22AA2}"/>
            </c:ext>
          </c:extLst>
        </c:ser>
        <c:ser>
          <c:idx val="1"/>
          <c:order val="1"/>
          <c:tx>
            <c:strRef>
              <c:f>'Total SHC India Dengue Season'!$C$6</c:f>
              <c:strCache>
                <c:ptCount val="1"/>
                <c:pt idx="0">
                  <c:v>EEC-GWP</c:v>
                </c:pt>
              </c:strCache>
            </c:strRef>
          </c:tx>
          <c:spPr>
            <a:solidFill>
              <a:srgbClr val="FF8585"/>
            </a:solidFill>
            <a:ln w="22225"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val>
            <c:numRef>
              <c:f>'Total SHC India Dengue Season'!$D$6:$Q$6</c:f>
              <c:numCache>
                <c:formatCode>0.00</c:formatCode>
                <c:ptCount val="14"/>
                <c:pt idx="0">
                  <c:v>10.481402181838501</c:v>
                </c:pt>
                <c:pt idx="1">
                  <c:v>2.1947443328924265</c:v>
                </c:pt>
                <c:pt idx="4">
                  <c:v>10.481402181838501</c:v>
                </c:pt>
                <c:pt idx="5">
                  <c:v>128.31749770108917</c:v>
                </c:pt>
                <c:pt idx="8">
                  <c:v>202.38</c:v>
                </c:pt>
                <c:pt idx="10">
                  <c:v>101.20396037533341</c:v>
                </c:pt>
                <c:pt idx="12">
                  <c:v>14.606099571797577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D6D2-4CE3-A3B6-BBB0D3B22AA2}"/>
            </c:ext>
          </c:extLst>
        </c:ser>
        <c:ser>
          <c:idx val="5"/>
          <c:order val="2"/>
          <c:tx>
            <c:strRef>
              <c:f>'Total SHC India Dengue Season'!$C$7</c:f>
              <c:strCache>
                <c:ptCount val="1"/>
                <c:pt idx="0">
                  <c:v>EEC-PMFP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 w="22225"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val>
            <c:numRef>
              <c:f>'Total SHC India Dengue Season'!$D$7:$Q$7</c:f>
              <c:numCache>
                <c:formatCode>0.00</c:formatCode>
                <c:ptCount val="14"/>
                <c:pt idx="0">
                  <c:v>1.5557627051674139</c:v>
                </c:pt>
                <c:pt idx="1">
                  <c:v>0.38250846299045593</c:v>
                </c:pt>
                <c:pt idx="4">
                  <c:v>1.5557627051674139</c:v>
                </c:pt>
                <c:pt idx="5">
                  <c:v>78.753376505133318</c:v>
                </c:pt>
                <c:pt idx="8">
                  <c:v>31.322654955221928</c:v>
                </c:pt>
                <c:pt idx="10">
                  <c:v>16.470660554416284</c:v>
                </c:pt>
                <c:pt idx="12">
                  <c:v>7.7669211504994697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D6D2-4CE3-A3B6-BBB0D3B22AA2}"/>
            </c:ext>
          </c:extLst>
        </c:ser>
        <c:ser>
          <c:idx val="10"/>
          <c:order val="3"/>
          <c:tx>
            <c:strRef>
              <c:f>'Total SHC India Dengue Season'!$C$8</c:f>
              <c:strCache>
                <c:ptCount val="1"/>
                <c:pt idx="0">
                  <c:v>EEC-FDP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 w="22225"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val>
            <c:numRef>
              <c:f>'Total SHC India Dengue Season'!$D$8:$Q$8</c:f>
              <c:numCache>
                <c:formatCode>0.00</c:formatCode>
                <c:ptCount val="14"/>
                <c:pt idx="0">
                  <c:v>1.5437425510294067</c:v>
                </c:pt>
                <c:pt idx="1">
                  <c:v>0.33756881009012479</c:v>
                </c:pt>
                <c:pt idx="4">
                  <c:v>1.5437425510294067</c:v>
                </c:pt>
                <c:pt idx="5">
                  <c:v>25.651624445727052</c:v>
                </c:pt>
                <c:pt idx="8">
                  <c:v>30.26225848111093</c:v>
                </c:pt>
                <c:pt idx="10">
                  <c:v>15.159685720005509</c:v>
                </c:pt>
                <c:pt idx="12">
                  <c:v>2.3140229733635889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D6D2-4CE3-A3B6-BBB0D3B22AA2}"/>
            </c:ext>
          </c:extLst>
        </c:ser>
        <c:ser>
          <c:idx val="2"/>
          <c:order val="4"/>
          <c:tx>
            <c:strRef>
              <c:f>'Total SHC India Dengue Season'!$C$9</c:f>
              <c:strCache>
                <c:ptCount val="1"/>
                <c:pt idx="0">
                  <c:v>EEC-All Other Impacts</c:v>
                </c:pt>
              </c:strCache>
            </c:strRef>
          </c:tx>
          <c:spPr>
            <a:solidFill>
              <a:srgbClr val="FFC000"/>
            </a:solidFill>
            <a:ln w="22225"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val>
            <c:numRef>
              <c:f>'Total SHC India Dengue Season'!$D$9:$Q$9</c:f>
              <c:numCache>
                <c:formatCode>0.00</c:formatCode>
                <c:ptCount val="14"/>
                <c:pt idx="0">
                  <c:v>0.86685059114931018</c:v>
                </c:pt>
                <c:pt idx="1">
                  <c:v>0.22889171083776716</c:v>
                </c:pt>
                <c:pt idx="4">
                  <c:v>0.86685059114931018</c:v>
                </c:pt>
                <c:pt idx="5">
                  <c:v>12.303936607218722</c:v>
                </c:pt>
                <c:pt idx="8">
                  <c:v>19.159563768774582</c:v>
                </c:pt>
                <c:pt idx="10">
                  <c:v>9.733363697368528</c:v>
                </c:pt>
                <c:pt idx="12">
                  <c:v>3.30321300231163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6D2-4CE3-A3B6-BBB0D3B22AA2}"/>
            </c:ext>
          </c:extLst>
        </c:ser>
        <c:ser>
          <c:idx val="11"/>
          <c:order val="5"/>
          <c:tx>
            <c:strRef>
              <c:f>'Total SHC India Dengue Season'!$C$10</c:f>
              <c:strCache>
                <c:ptCount val="1"/>
                <c:pt idx="0">
                  <c:v>ADTC</c:v>
                </c:pt>
              </c:strCache>
            </c:strRef>
          </c:tx>
          <c:spPr>
            <a:solidFill>
              <a:srgbClr val="FFCCFF"/>
            </a:solidFill>
            <a:ln w="22225"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errBars>
            <c:errBarType val="plus"/>
            <c:errValType val="fixedVal"/>
            <c:noEndCap val="0"/>
            <c:val val="243"/>
            <c:spPr>
              <a:noFill/>
              <a:ln w="19050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'Total SHC India Dengue Season'!$D$10:$Q$10</c:f>
              <c:numCache>
                <c:formatCode>0.00</c:formatCode>
                <c:ptCount val="14"/>
                <c:pt idx="2">
                  <c:v>524</c:v>
                </c:pt>
                <c:pt idx="6">
                  <c:v>524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D6D2-4CE3-A3B6-BBB0D3B22A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651451176"/>
        <c:axId val="651449736"/>
      </c:barChart>
      <c:catAx>
        <c:axId val="651451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one"/>
        <c:spPr>
          <a:noFill/>
          <a:ln w="22225" cap="flat" cmpd="sng" algn="ctr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1449736"/>
        <c:crosses val="autoZero"/>
        <c:auto val="1"/>
        <c:lblAlgn val="ctr"/>
        <c:lblOffset val="100"/>
        <c:noMultiLvlLbl val="0"/>
      </c:catAx>
      <c:valAx>
        <c:axId val="651449736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SE" sz="1800" b="1">
                    <a:solidFill>
                      <a:schemeClr val="tx1">
                        <a:lumMod val="95000"/>
                        <a:lumOff val="5000"/>
                      </a:schemeClr>
                    </a:solidFill>
                  </a:rPr>
                  <a:t>Cost</a:t>
                </a:r>
                <a:r>
                  <a:rPr lang="en-SE" sz="1800" b="1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</a:rPr>
                  <a:t> in $ USD </a:t>
                </a:r>
                <a:endParaRPr lang="en-US" sz="1800" b="1">
                  <a:solidFill>
                    <a:schemeClr val="tx1">
                      <a:lumMod val="95000"/>
                      <a:lumOff val="5000"/>
                    </a:schemeClr>
                  </a:solidFill>
                </a:endParaRPr>
              </a:p>
            </c:rich>
          </c:tx>
          <c:layout>
            <c:manualLayout>
              <c:xMode val="edge"/>
              <c:yMode val="edge"/>
              <c:x val="2.6041288323810793E-3"/>
              <c:y val="0.3104725233953085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22225">
            <a:solidFill>
              <a:schemeClr val="tx1">
                <a:lumMod val="95000"/>
                <a:lumOff val="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1451176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layout>
        <c:manualLayout>
          <c:xMode val="edge"/>
          <c:yMode val="edge"/>
          <c:x val="1.0439381614564164E-2"/>
          <c:y val="0.91671652463586684"/>
          <c:w val="0.98956065328855991"/>
          <c:h val="6.803066954657865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/>
      </a:pPr>
      <a:endParaRPr lang="en-US"/>
    </a:p>
  </c:txPr>
  <c:userShapes r:id="rId3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156425699683834"/>
          <c:y val="5.1342592592592606E-2"/>
          <c:w val="0.78788015654584576"/>
          <c:h val="0.6705398804316127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'Total SHC Dengue Endemic Asia '!$C$5</c:f>
              <c:strCache>
                <c:ptCount val="1"/>
                <c:pt idx="0">
                  <c:v>ACC</c:v>
                </c:pt>
              </c:strCache>
            </c:strRef>
          </c:tx>
          <c:spPr>
            <a:solidFill>
              <a:srgbClr val="5DD5FF"/>
            </a:solidFill>
            <a:ln w="19050"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val>
            <c:numRef>
              <c:f>'Total SHC Dengue Endemic Asia '!$D$5:$G$5</c:f>
              <c:numCache>
                <c:formatCode>General</c:formatCode>
                <c:ptCount val="4"/>
                <c:pt idx="0">
                  <c:v>313</c:v>
                </c:pt>
                <c:pt idx="1">
                  <c:v>208</c:v>
                </c:pt>
                <c:pt idx="2">
                  <c:v>288</c:v>
                </c:pt>
                <c:pt idx="3">
                  <c:v>219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65-4594-AF49-A329D8481A39}"/>
            </c:ext>
          </c:extLst>
        </c:ser>
        <c:ser>
          <c:idx val="1"/>
          <c:order val="1"/>
          <c:tx>
            <c:strRef>
              <c:f>'Total SHC Dengue Endemic Asia '!$C$6</c:f>
              <c:strCache>
                <c:ptCount val="1"/>
                <c:pt idx="0">
                  <c:v>EEC-GWP</c:v>
                </c:pt>
              </c:strCache>
            </c:strRef>
          </c:tx>
          <c:spPr>
            <a:solidFill>
              <a:schemeClr val="accent2"/>
            </a:solidFill>
            <a:ln w="19050"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val>
            <c:numRef>
              <c:f>'Total SHC Dengue Endemic Asia '!$D$6:$G$6</c:f>
              <c:numCache>
                <c:formatCode>0.00</c:formatCode>
                <c:ptCount val="4"/>
                <c:pt idx="0">
                  <c:v>603.7916024386318</c:v>
                </c:pt>
                <c:pt idx="1">
                  <c:v>35.544295446081584</c:v>
                </c:pt>
                <c:pt idx="2">
                  <c:v>507.58750701957189</c:v>
                </c:pt>
                <c:pt idx="3">
                  <c:v>427.8616949468514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65-4594-AF49-A329D8481A39}"/>
            </c:ext>
          </c:extLst>
        </c:ser>
        <c:ser>
          <c:idx val="2"/>
          <c:order val="2"/>
          <c:tx>
            <c:strRef>
              <c:f>'Total SHC Dengue Endemic Asia '!$C$7</c:f>
              <c:strCache>
                <c:ptCount val="1"/>
                <c:pt idx="0">
                  <c:v>EEC-PMFP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 w="19050"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val>
            <c:numRef>
              <c:f>'Total SHC Dengue Endemic Asia '!$D$7:$G$7</c:f>
              <c:numCache>
                <c:formatCode>0.00</c:formatCode>
                <c:ptCount val="4"/>
                <c:pt idx="0">
                  <c:v>90.250388428119322</c:v>
                </c:pt>
                <c:pt idx="1">
                  <c:v>18.963678418475773</c:v>
                </c:pt>
                <c:pt idx="2">
                  <c:v>76.127653632622284</c:v>
                </c:pt>
                <c:pt idx="3">
                  <c:v>64.423926308394726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A65-4594-AF49-A329D8481A39}"/>
            </c:ext>
          </c:extLst>
        </c:ser>
        <c:ser>
          <c:idx val="3"/>
          <c:order val="3"/>
          <c:tx>
            <c:strRef>
              <c:f>'Total SHC Dengue Endemic Asia '!$C$8</c:f>
              <c:strCache>
                <c:ptCount val="1"/>
                <c:pt idx="0">
                  <c:v>EEC-FDP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 w="19050"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val>
            <c:numRef>
              <c:f>'Total SHC Dengue Endemic Asia '!$D$8:$G$8</c:f>
              <c:numCache>
                <c:formatCode>0.00</c:formatCode>
                <c:ptCount val="4"/>
                <c:pt idx="0">
                  <c:v>90.184202861401047</c:v>
                </c:pt>
                <c:pt idx="1">
                  <c:v>5.6044662911662977</c:v>
                </c:pt>
                <c:pt idx="2">
                  <c:v>75.823193553236081</c:v>
                </c:pt>
                <c:pt idx="3">
                  <c:v>63.922004479215381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A65-4594-AF49-A329D8481A39}"/>
            </c:ext>
          </c:extLst>
        </c:ser>
        <c:ser>
          <c:idx val="4"/>
          <c:order val="4"/>
          <c:tx>
            <c:strRef>
              <c:f>'Total SHC Dengue Endemic Asia '!$C$9</c:f>
              <c:strCache>
                <c:ptCount val="1"/>
                <c:pt idx="0">
                  <c:v>EEC-Other Impacts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 w="19050"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val>
            <c:numRef>
              <c:f>'Total SHC Dengue Endemic Asia '!$D$9:$G$9</c:f>
              <c:numCache>
                <c:formatCode>0.00</c:formatCode>
                <c:ptCount val="4"/>
                <c:pt idx="0">
                  <c:v>56.559564770652841</c:v>
                </c:pt>
                <c:pt idx="1">
                  <c:v>8.5734952951429282</c:v>
                </c:pt>
                <c:pt idx="2">
                  <c:v>47.596208056046429</c:v>
                </c:pt>
                <c:pt idx="3">
                  <c:v>40.168136622531257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A65-4594-AF49-A329D8481A39}"/>
            </c:ext>
          </c:extLst>
        </c:ser>
        <c:ser>
          <c:idx val="5"/>
          <c:order val="5"/>
          <c:tx>
            <c:strRef>
              <c:f>'Total SHC Dengue Endemic Asia '!$C$10</c:f>
              <c:strCache>
                <c:ptCount val="1"/>
                <c:pt idx="0">
                  <c:v>ADTC</c:v>
                </c:pt>
              </c:strCache>
            </c:strRef>
          </c:tx>
          <c:spPr>
            <a:solidFill>
              <a:srgbClr val="FFCCFF"/>
            </a:solidFill>
            <a:ln w="19050"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'Total SHC Dengue Endemic Asia '!$D$19:$G$19</c:f>
                <c:numCache>
                  <c:formatCode>General</c:formatCode>
                  <c:ptCount val="4"/>
                  <c:pt idx="0">
                    <c:v>0</c:v>
                  </c:pt>
                  <c:pt idx="1">
                    <c:v>0</c:v>
                  </c:pt>
                  <c:pt idx="2">
                    <c:v>262</c:v>
                  </c:pt>
                  <c:pt idx="3">
                    <c:v>262</c:v>
                  </c:pt>
                </c:numCache>
              </c:numRef>
            </c:plus>
            <c:minus>
              <c:numRef>
                <c:f>'Total SHC Dengue Endemic Asia '!$D$20:$G$20</c:f>
                <c:numCache>
                  <c:formatCode>General</c:formatCode>
                  <c:ptCount val="4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</c:numCache>
              </c:numRef>
            </c:minus>
            <c:spPr>
              <a:noFill/>
              <a:ln w="19050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'Total SHC Dengue Endemic Asia '!$D$10:$G$10</c:f>
              <c:numCache>
                <c:formatCode>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262</c:v>
                </c:pt>
                <c:pt idx="3">
                  <c:v>524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A65-4594-AF49-A329D8481A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69314056"/>
        <c:axId val="669314776"/>
      </c:barChart>
      <c:catAx>
        <c:axId val="66931405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spPr>
          <a:noFill/>
          <a:ln w="9525" cap="flat" cmpd="sng" algn="ctr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9314776"/>
        <c:crosses val="autoZero"/>
        <c:auto val="1"/>
        <c:lblAlgn val="ctr"/>
        <c:lblOffset val="100"/>
        <c:noMultiLvlLbl val="0"/>
      </c:catAx>
      <c:valAx>
        <c:axId val="669314776"/>
        <c:scaling>
          <c:orientation val="minMax"/>
          <c:max val="170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SE" sz="1400" b="1">
                    <a:solidFill>
                      <a:schemeClr val="tx1">
                        <a:lumMod val="95000"/>
                        <a:lumOff val="5000"/>
                      </a:schemeClr>
                    </a:solidFill>
                  </a:rPr>
                  <a:t>Costs</a:t>
                </a:r>
                <a:r>
                  <a:rPr lang="en-SE" sz="1400" b="1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</a:rPr>
                  <a:t> (</a:t>
                </a:r>
                <a:r>
                  <a:rPr lang="en-SE" sz="1400" b="1">
                    <a:solidFill>
                      <a:schemeClr val="tx1">
                        <a:lumMod val="95000"/>
                        <a:lumOff val="5000"/>
                      </a:schemeClr>
                    </a:solidFill>
                  </a:rPr>
                  <a:t>$ USD) </a:t>
                </a:r>
                <a:endParaRPr lang="en-US" sz="1400" b="1">
                  <a:solidFill>
                    <a:schemeClr val="tx1">
                      <a:lumMod val="95000"/>
                      <a:lumOff val="5000"/>
                    </a:schemeClr>
                  </a:solidFill>
                </a:endParaRPr>
              </a:p>
            </c:rich>
          </c:tx>
          <c:layout>
            <c:manualLayout>
              <c:xMode val="edge"/>
              <c:yMode val="edge"/>
              <c:x val="8.6258184949260554E-3"/>
              <c:y val="0.1905545586962487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>
            <a:solidFill>
              <a:schemeClr val="tx1">
                <a:lumMod val="95000"/>
                <a:lumOff val="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9314056"/>
        <c:crosses val="autoZero"/>
        <c:crossBetween val="between"/>
        <c:majorUnit val="40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7801101940005499"/>
          <c:w val="1"/>
          <c:h val="9.42112262776804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503704324193518"/>
          <c:y val="5.1342382470287731E-2"/>
          <c:w val="0.79031756668714281"/>
          <c:h val="0.6705398804316127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'Total SHC Dengue Endemic Asia '!$C$26</c:f>
              <c:strCache>
                <c:ptCount val="1"/>
                <c:pt idx="0">
                  <c:v>ACC</c:v>
                </c:pt>
              </c:strCache>
            </c:strRef>
          </c:tx>
          <c:spPr>
            <a:solidFill>
              <a:srgbClr val="5DD5FF"/>
            </a:solidFill>
            <a:ln w="19050">
              <a:solidFill>
                <a:schemeClr val="tx1"/>
              </a:solidFill>
            </a:ln>
            <a:effectLst/>
          </c:spPr>
          <c:invertIfNegative val="0"/>
          <c:val>
            <c:numRef>
              <c:f>'Total SHC Dengue Endemic Asia '!$D$26:$G$26</c:f>
              <c:numCache>
                <c:formatCode>General</c:formatCode>
                <c:ptCount val="4"/>
                <c:pt idx="0">
                  <c:v>683</c:v>
                </c:pt>
                <c:pt idx="1">
                  <c:v>401</c:v>
                </c:pt>
                <c:pt idx="2">
                  <c:v>578</c:v>
                </c:pt>
                <c:pt idx="3">
                  <c:v>491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31-4A8E-B72D-3673CCEE062A}"/>
            </c:ext>
          </c:extLst>
        </c:ser>
        <c:ser>
          <c:idx val="1"/>
          <c:order val="1"/>
          <c:tx>
            <c:strRef>
              <c:f>'Total SHC Dengue Endemic Asia '!$C$27</c:f>
              <c:strCache>
                <c:ptCount val="1"/>
                <c:pt idx="0">
                  <c:v>EEC-GWP</c:v>
                </c:pt>
              </c:strCache>
            </c:strRef>
          </c:tx>
          <c:spPr>
            <a:solidFill>
              <a:schemeClr val="accent2"/>
            </a:solidFill>
            <a:ln w="19050"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val>
            <c:numRef>
              <c:f>'Total SHC Dengue Endemic Asia '!$D$27:$G$27</c:f>
              <c:numCache>
                <c:formatCode>0.00</c:formatCode>
                <c:ptCount val="4"/>
                <c:pt idx="0">
                  <c:v>417.80193264754615</c:v>
                </c:pt>
                <c:pt idx="1">
                  <c:v>38.750072936525648</c:v>
                </c:pt>
                <c:pt idx="2">
                  <c:v>350.86895143882219</c:v>
                </c:pt>
                <c:pt idx="3">
                  <c:v>295.4440428525819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31-4A8E-B72D-3673CCEE062A}"/>
            </c:ext>
          </c:extLst>
        </c:ser>
        <c:ser>
          <c:idx val="2"/>
          <c:order val="2"/>
          <c:tx>
            <c:strRef>
              <c:f>'Total SHC Dengue Endemic Asia '!$C$28</c:f>
              <c:strCache>
                <c:ptCount val="1"/>
                <c:pt idx="0">
                  <c:v>EEC-PMFP</c:v>
                </c:pt>
              </c:strCache>
            </c:strRef>
          </c:tx>
          <c:spPr>
            <a:solidFill>
              <a:srgbClr val="BEDDAB"/>
            </a:solidFill>
            <a:ln w="19050"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val>
            <c:numRef>
              <c:f>'Total SHC Dengue Endemic Asia '!$D$28:$G$28</c:f>
              <c:numCache>
                <c:formatCode>0.00</c:formatCode>
                <c:ptCount val="4"/>
                <c:pt idx="0">
                  <c:v>26.659676996663652</c:v>
                </c:pt>
                <c:pt idx="1">
                  <c:v>20.678722667985049</c:v>
                </c:pt>
                <c:pt idx="2">
                  <c:v>22.707352160347867</c:v>
                </c:pt>
                <c:pt idx="3">
                  <c:v>19.434567371742691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31-4A8E-B72D-3673CCEE062A}"/>
            </c:ext>
          </c:extLst>
        </c:ser>
        <c:ser>
          <c:idx val="3"/>
          <c:order val="3"/>
          <c:tx>
            <c:strRef>
              <c:f>'Total SHC Dengue Endemic Asia '!$C$29</c:f>
              <c:strCache>
                <c:ptCount val="1"/>
                <c:pt idx="0">
                  <c:v>EEC-FDP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 w="19050">
              <a:solidFill>
                <a:schemeClr val="tx1"/>
              </a:solidFill>
            </a:ln>
            <a:effectLst/>
          </c:spPr>
          <c:invertIfNegative val="0"/>
          <c:val>
            <c:numRef>
              <c:f>'Total SHC Dengue Endemic Asia '!$D$29:$G$29</c:f>
              <c:numCache>
                <c:formatCode>0.00</c:formatCode>
                <c:ptCount val="4"/>
                <c:pt idx="0">
                  <c:v>66.833495750297772</c:v>
                </c:pt>
                <c:pt idx="1">
                  <c:v>6.1082731284872134</c:v>
                </c:pt>
                <c:pt idx="2">
                  <c:v>56.127667514544576</c:v>
                </c:pt>
                <c:pt idx="3">
                  <c:v>47.262537938794537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631-4A8E-B72D-3673CCEE062A}"/>
            </c:ext>
          </c:extLst>
        </c:ser>
        <c:ser>
          <c:idx val="4"/>
          <c:order val="4"/>
          <c:tx>
            <c:strRef>
              <c:f>'Total SHC Dengue Endemic Asia '!$C$30</c:f>
              <c:strCache>
                <c:ptCount val="1"/>
                <c:pt idx="0">
                  <c:v>EEC-Other Impacts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 w="19050"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val>
            <c:numRef>
              <c:f>'Total SHC Dengue Endemic Asia '!$D$30:$G$30</c:f>
              <c:numCache>
                <c:formatCode>0.00</c:formatCode>
                <c:ptCount val="4"/>
                <c:pt idx="0">
                  <c:v>32.066308886723988</c:v>
                </c:pt>
                <c:pt idx="1">
                  <c:v>9.3805182717079187</c:v>
                </c:pt>
                <c:pt idx="2">
                  <c:v>26.989789192269477</c:v>
                </c:pt>
                <c:pt idx="3">
                  <c:v>22.786097157038565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631-4A8E-B72D-3673CCEE062A}"/>
            </c:ext>
          </c:extLst>
        </c:ser>
        <c:ser>
          <c:idx val="5"/>
          <c:order val="5"/>
          <c:tx>
            <c:strRef>
              <c:f>'Total SHC Dengue Endemic Asia '!$C$31</c:f>
              <c:strCache>
                <c:ptCount val="1"/>
                <c:pt idx="0">
                  <c:v>ADTC</c:v>
                </c:pt>
              </c:strCache>
            </c:strRef>
          </c:tx>
          <c:spPr>
            <a:solidFill>
              <a:srgbClr val="FFCCFF"/>
            </a:solidFill>
            <a:ln w="19050"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'Total SHC Dengue Endemic Asia '!$D$40:$G$40</c:f>
                <c:numCache>
                  <c:formatCode>General</c:formatCode>
                  <c:ptCount val="4"/>
                  <c:pt idx="0">
                    <c:v>0</c:v>
                  </c:pt>
                  <c:pt idx="1">
                    <c:v>0</c:v>
                  </c:pt>
                  <c:pt idx="2">
                    <c:v>213</c:v>
                  </c:pt>
                  <c:pt idx="3">
                    <c:v>213</c:v>
                  </c:pt>
                </c:numCache>
              </c:numRef>
            </c:plus>
            <c:minus>
              <c:numRef>
                <c:f>'Total SHC Dengue Endemic Asia '!$D$41:$G$41</c:f>
                <c:numCache>
                  <c:formatCode>General</c:formatCode>
                  <c:ptCount val="4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</c:numCache>
              </c:numRef>
            </c:minus>
            <c:spPr>
              <a:noFill/>
              <a:ln w="19050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'Total SHC Dengue Endemic Asia '!$D$31:$G$31</c:f>
              <c:numCache>
                <c:formatCode>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213</c:v>
                </c:pt>
                <c:pt idx="3">
                  <c:v>426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631-4A8E-B72D-3673CCEE06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69314056"/>
        <c:axId val="669314776"/>
      </c:barChart>
      <c:catAx>
        <c:axId val="66931405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spPr>
          <a:noFill/>
          <a:ln w="9525" cap="flat" cmpd="sng" algn="ctr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9314776"/>
        <c:crosses val="autoZero"/>
        <c:auto val="1"/>
        <c:lblAlgn val="ctr"/>
        <c:lblOffset val="100"/>
        <c:noMultiLvlLbl val="0"/>
      </c:catAx>
      <c:valAx>
        <c:axId val="66931477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SE" sz="1400" b="1">
                    <a:solidFill>
                      <a:schemeClr val="tx1">
                        <a:lumMod val="95000"/>
                        <a:lumOff val="5000"/>
                      </a:schemeClr>
                    </a:solidFill>
                  </a:rPr>
                  <a:t>Costs</a:t>
                </a:r>
                <a:r>
                  <a:rPr lang="en-SE" sz="1400" b="1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</a:rPr>
                  <a:t> (</a:t>
                </a:r>
                <a:r>
                  <a:rPr lang="en-SE" sz="1400" b="1">
                    <a:solidFill>
                      <a:schemeClr val="tx1">
                        <a:lumMod val="95000"/>
                        <a:lumOff val="5000"/>
                      </a:schemeClr>
                    </a:solidFill>
                  </a:rPr>
                  <a:t>$ USD) </a:t>
                </a:r>
                <a:endParaRPr lang="en-US" sz="1400" b="1">
                  <a:solidFill>
                    <a:schemeClr val="tx1">
                      <a:lumMod val="95000"/>
                      <a:lumOff val="5000"/>
                    </a:schemeClr>
                  </a:solidFill>
                </a:endParaRPr>
              </a:p>
            </c:rich>
          </c:tx>
          <c:layout>
            <c:manualLayout>
              <c:xMode val="edge"/>
              <c:yMode val="edge"/>
              <c:x val="7.9787234042553203E-3"/>
              <c:y val="0.1905545586962487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>
            <a:solidFill>
              <a:schemeClr val="tx1">
                <a:lumMod val="95000"/>
                <a:lumOff val="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9314056"/>
        <c:crosses val="autoZero"/>
        <c:crossBetween val="between"/>
        <c:majorUnit val="30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9409667541557303"/>
          <c:w val="0.99266976601329093"/>
          <c:h val="7.81255468066491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026162953035126"/>
          <c:y val="5.1342382470287731E-2"/>
          <c:w val="0.79622773217177656"/>
          <c:h val="0.6705398804316127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'Total SHC Dengue Endemic Asia '!$C$48</c:f>
              <c:strCache>
                <c:ptCount val="1"/>
                <c:pt idx="0">
                  <c:v>ACC</c:v>
                </c:pt>
              </c:strCache>
            </c:strRef>
          </c:tx>
          <c:spPr>
            <a:solidFill>
              <a:srgbClr val="5DD5FF"/>
            </a:solidFill>
            <a:ln w="19050"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val>
            <c:numRef>
              <c:f>'Total SHC Dengue Endemic Asia '!$D$48:$G$48</c:f>
              <c:numCache>
                <c:formatCode>General</c:formatCode>
                <c:ptCount val="4"/>
                <c:pt idx="0">
                  <c:v>421</c:v>
                </c:pt>
                <c:pt idx="1">
                  <c:v>203</c:v>
                </c:pt>
                <c:pt idx="2">
                  <c:v>349</c:v>
                </c:pt>
                <c:pt idx="3">
                  <c:v>290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04-4546-92B4-FF9FD5E14D12}"/>
            </c:ext>
          </c:extLst>
        </c:ser>
        <c:ser>
          <c:idx val="1"/>
          <c:order val="1"/>
          <c:tx>
            <c:strRef>
              <c:f>'Total SHC Dengue Endemic Asia '!$C$49</c:f>
              <c:strCache>
                <c:ptCount val="1"/>
                <c:pt idx="0">
                  <c:v>EEC-GWP</c:v>
                </c:pt>
              </c:strCache>
            </c:strRef>
          </c:tx>
          <c:spPr>
            <a:solidFill>
              <a:schemeClr val="accent2"/>
            </a:solidFill>
            <a:ln w="19050"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val>
            <c:numRef>
              <c:f>'Total SHC Dengue Endemic Asia '!$D$49:$G$49</c:f>
              <c:numCache>
                <c:formatCode>0.00</c:formatCode>
                <c:ptCount val="4"/>
                <c:pt idx="0">
                  <c:v>387.20723636820054</c:v>
                </c:pt>
                <c:pt idx="1">
                  <c:v>41.522426865225718</c:v>
                </c:pt>
                <c:pt idx="2">
                  <c:v>316.07419745532144</c:v>
                </c:pt>
                <c:pt idx="3">
                  <c:v>257.58902548659586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04-4546-92B4-FF9FD5E14D12}"/>
            </c:ext>
          </c:extLst>
        </c:ser>
        <c:ser>
          <c:idx val="2"/>
          <c:order val="2"/>
          <c:tx>
            <c:strRef>
              <c:f>'Total SHC Dengue Endemic Asia '!$C$50</c:f>
              <c:strCache>
                <c:ptCount val="1"/>
                <c:pt idx="0">
                  <c:v>EEC-PMFP</c:v>
                </c:pt>
              </c:strCache>
            </c:strRef>
          </c:tx>
          <c:spPr>
            <a:solidFill>
              <a:srgbClr val="BEDDAB"/>
            </a:solidFill>
            <a:ln w="19050"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val>
            <c:numRef>
              <c:f>'Total SHC Dengue Endemic Asia '!$D$50:$G$50</c:f>
              <c:numCache>
                <c:formatCode>0.00</c:formatCode>
                <c:ptCount val="4"/>
                <c:pt idx="0">
                  <c:v>113.16886732006527</c:v>
                </c:pt>
                <c:pt idx="1">
                  <c:v>22.161306307696421</c:v>
                </c:pt>
                <c:pt idx="2">
                  <c:v>92.563190031275482</c:v>
                </c:pt>
                <c:pt idx="3">
                  <c:v>75.621321692951469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604-4546-92B4-FF9FD5E14D12}"/>
            </c:ext>
          </c:extLst>
        </c:ser>
        <c:ser>
          <c:idx val="3"/>
          <c:order val="3"/>
          <c:tx>
            <c:strRef>
              <c:f>'Total SHC Dengue Endemic Asia '!$C$29</c:f>
              <c:strCache>
                <c:ptCount val="1"/>
                <c:pt idx="0">
                  <c:v>EEC-FDP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 w="19050"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val>
            <c:numRef>
              <c:f>'Total SHC Dengue Endemic Asia '!$D$29:$G$29</c:f>
              <c:numCache>
                <c:formatCode>0.00</c:formatCode>
                <c:ptCount val="4"/>
                <c:pt idx="0">
                  <c:v>66.833495750297772</c:v>
                </c:pt>
                <c:pt idx="1">
                  <c:v>6.1082731284872134</c:v>
                </c:pt>
                <c:pt idx="2">
                  <c:v>56.127667514544576</c:v>
                </c:pt>
                <c:pt idx="3">
                  <c:v>47.262537938794537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604-4546-92B4-FF9FD5E14D12}"/>
            </c:ext>
          </c:extLst>
        </c:ser>
        <c:ser>
          <c:idx val="4"/>
          <c:order val="4"/>
          <c:tx>
            <c:strRef>
              <c:f>'Total SHC Dengue Endemic Asia '!$C$30</c:f>
              <c:strCache>
                <c:ptCount val="1"/>
                <c:pt idx="0">
                  <c:v>EEC-Other Impacts</c:v>
                </c:pt>
              </c:strCache>
            </c:strRef>
          </c:tx>
          <c:spPr>
            <a:solidFill>
              <a:srgbClr val="FFC000"/>
            </a:solidFill>
            <a:ln w="19050"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val>
            <c:numRef>
              <c:f>'Total SHC Dengue Endemic Asia '!$D$52:$G$52</c:f>
              <c:numCache>
                <c:formatCode>0.00</c:formatCode>
                <c:ptCount val="4"/>
                <c:pt idx="0">
                  <c:v>43.908465394713602</c:v>
                </c:pt>
                <c:pt idx="1">
                  <c:v>10.078348191211129</c:v>
                </c:pt>
                <c:pt idx="2">
                  <c:v>35.882578787126207</c:v>
                </c:pt>
                <c:pt idx="3">
                  <c:v>29.283741374582487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604-4546-92B4-FF9FD5E14D12}"/>
            </c:ext>
          </c:extLst>
        </c:ser>
        <c:ser>
          <c:idx val="5"/>
          <c:order val="5"/>
          <c:tx>
            <c:strRef>
              <c:f>'Total SHC Dengue Endemic Asia '!$C$53</c:f>
              <c:strCache>
                <c:ptCount val="1"/>
                <c:pt idx="0">
                  <c:v>ADTC</c:v>
                </c:pt>
              </c:strCache>
            </c:strRef>
          </c:tx>
          <c:spPr>
            <a:solidFill>
              <a:srgbClr val="FFCCFF"/>
            </a:solidFill>
            <a:ln w="19050"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'Total SHC Dengue Endemic Asia '!$D$62:$G$62</c:f>
                <c:numCache>
                  <c:formatCode>General</c:formatCode>
                  <c:ptCount val="4"/>
                  <c:pt idx="2">
                    <c:v>120</c:v>
                  </c:pt>
                  <c:pt idx="3">
                    <c:v>120</c:v>
                  </c:pt>
                </c:numCache>
              </c:numRef>
            </c:plus>
            <c:minus>
              <c:numRef>
                <c:f>'Total SHC Dengue Endemic Asia '!$D$63:$G$63</c:f>
                <c:numCache>
                  <c:formatCode>General</c:formatCode>
                  <c:ptCount val="4"/>
                  <c:pt idx="2">
                    <c:v>0</c:v>
                  </c:pt>
                  <c:pt idx="3">
                    <c:v>0</c:v>
                  </c:pt>
                </c:numCache>
              </c:numRef>
            </c:minus>
            <c:spPr>
              <a:noFill/>
              <a:ln w="19050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'Total SHC Dengue Endemic Asia '!$D$53:$G$53</c:f>
              <c:numCache>
                <c:formatCode>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120</c:v>
                </c:pt>
                <c:pt idx="3">
                  <c:v>240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604-4546-92B4-FF9FD5E14D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69314056"/>
        <c:axId val="669314776"/>
      </c:barChart>
      <c:catAx>
        <c:axId val="66931405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spPr>
          <a:noFill/>
          <a:ln w="9525" cap="flat" cmpd="sng" algn="ctr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9314776"/>
        <c:crosses val="autoZero"/>
        <c:auto val="1"/>
        <c:lblAlgn val="ctr"/>
        <c:lblOffset val="100"/>
        <c:noMultiLvlLbl val="0"/>
      </c:catAx>
      <c:valAx>
        <c:axId val="66931477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SE" sz="1400" b="1">
                    <a:solidFill>
                      <a:schemeClr val="tx1">
                        <a:lumMod val="95000"/>
                        <a:lumOff val="5000"/>
                      </a:schemeClr>
                    </a:solidFill>
                  </a:rPr>
                  <a:t>Costs</a:t>
                </a:r>
                <a:r>
                  <a:rPr lang="en-SE" sz="1400" b="1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</a:rPr>
                  <a:t> (</a:t>
                </a:r>
                <a:r>
                  <a:rPr lang="en-SE" sz="1400" b="1">
                    <a:solidFill>
                      <a:schemeClr val="tx1">
                        <a:lumMod val="95000"/>
                        <a:lumOff val="5000"/>
                      </a:schemeClr>
                    </a:solidFill>
                  </a:rPr>
                  <a:t>$ USD) </a:t>
                </a:r>
                <a:endParaRPr lang="en-US" sz="1400" b="1">
                  <a:solidFill>
                    <a:schemeClr val="tx1">
                      <a:lumMod val="95000"/>
                      <a:lumOff val="5000"/>
                    </a:schemeClr>
                  </a:solidFill>
                </a:endParaRPr>
              </a:p>
            </c:rich>
          </c:tx>
          <c:layout>
            <c:manualLayout>
              <c:xMode val="edge"/>
              <c:yMode val="edge"/>
              <c:x val="1.0933806146572106E-2"/>
              <c:y val="0.2120022798758733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>
            <a:solidFill>
              <a:schemeClr val="tx1">
                <a:lumMod val="95000"/>
                <a:lumOff val="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9314056"/>
        <c:crosses val="autoZero"/>
        <c:crossBetween val="between"/>
        <c:majorUnit val="30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4333221645166702E-3"/>
          <c:y val="0.89409667541557303"/>
          <c:w val="0.9867596005286573"/>
          <c:h val="7.81255468066491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799212598425197"/>
          <c:y val="4.5980452175381561E-2"/>
          <c:w val="0.77849723571787566"/>
          <c:h val="0.6705398804316127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'Total SHC Dengue Endemic Asia '!$C$69</c:f>
              <c:strCache>
                <c:ptCount val="1"/>
                <c:pt idx="0">
                  <c:v>ACC</c:v>
                </c:pt>
              </c:strCache>
            </c:strRef>
          </c:tx>
          <c:spPr>
            <a:solidFill>
              <a:srgbClr val="5DD5FF"/>
            </a:solidFill>
            <a:ln w="19050"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val>
            <c:numRef>
              <c:f>'Total SHC Dengue Endemic Asia '!$D$69:$G$69</c:f>
              <c:numCache>
                <c:formatCode>General</c:formatCode>
                <c:ptCount val="4"/>
                <c:pt idx="0">
                  <c:v>282</c:v>
                </c:pt>
                <c:pt idx="1">
                  <c:v>214</c:v>
                </c:pt>
                <c:pt idx="2">
                  <c:v>239</c:v>
                </c:pt>
                <c:pt idx="3">
                  <c:v>205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45-4C36-8428-0F424909EA13}"/>
            </c:ext>
          </c:extLst>
        </c:ser>
        <c:ser>
          <c:idx val="1"/>
          <c:order val="1"/>
          <c:tx>
            <c:strRef>
              <c:f>'Total SHC Dengue Endemic Asia '!$C$70</c:f>
              <c:strCache>
                <c:ptCount val="1"/>
                <c:pt idx="0">
                  <c:v>EEC-GWP</c:v>
                </c:pt>
              </c:strCache>
            </c:strRef>
          </c:tx>
          <c:spPr>
            <a:solidFill>
              <a:schemeClr val="accent2"/>
            </a:solidFill>
            <a:ln w="19050"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val>
            <c:numRef>
              <c:f>'Total SHC Dengue Endemic Asia '!$D$70:$G$70</c:f>
              <c:numCache>
                <c:formatCode>0.00</c:formatCode>
                <c:ptCount val="4"/>
                <c:pt idx="0">
                  <c:v>395.21381628632486</c:v>
                </c:pt>
                <c:pt idx="1">
                  <c:v>38.93092654563452</c:v>
                </c:pt>
                <c:pt idx="2">
                  <c:v>326.90741938635227</c:v>
                </c:pt>
                <c:pt idx="3">
                  <c:v>273.75834975236836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45-4C36-8428-0F424909EA13}"/>
            </c:ext>
          </c:extLst>
        </c:ser>
        <c:ser>
          <c:idx val="2"/>
          <c:order val="2"/>
          <c:tx>
            <c:strRef>
              <c:f>'Total SHC Dengue Endemic Asia '!$C$71</c:f>
              <c:strCache>
                <c:ptCount val="1"/>
                <c:pt idx="0">
                  <c:v>EEC-PMFP</c:v>
                </c:pt>
              </c:strCache>
            </c:strRef>
          </c:tx>
          <c:spPr>
            <a:solidFill>
              <a:srgbClr val="BEDDAB"/>
            </a:solidFill>
            <a:ln w="19050"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val>
            <c:numRef>
              <c:f>'Total SHC Dengue Endemic Asia '!$D$71:$G$71</c:f>
              <c:numCache>
                <c:formatCode>0.00</c:formatCode>
                <c:ptCount val="4"/>
                <c:pt idx="0">
                  <c:v>56.700952416119279</c:v>
                </c:pt>
                <c:pt idx="1">
                  <c:v>20.775438391184743</c:v>
                </c:pt>
                <c:pt idx="2">
                  <c:v>47.185578595101099</c:v>
                </c:pt>
                <c:pt idx="3">
                  <c:v>39.781685420245523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B45-4C36-8428-0F424909EA13}"/>
            </c:ext>
          </c:extLst>
        </c:ser>
        <c:ser>
          <c:idx val="3"/>
          <c:order val="3"/>
          <c:tx>
            <c:strRef>
              <c:f>'Total SHC Dengue Endemic Asia '!$C$72</c:f>
              <c:strCache>
                <c:ptCount val="1"/>
                <c:pt idx="0">
                  <c:v>EEC-FDP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 w="19050"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val>
            <c:numRef>
              <c:f>'Total SHC Dengue Endemic Asia '!$D$72:$G$72</c:f>
              <c:numCache>
                <c:formatCode>0.00</c:formatCode>
                <c:ptCount val="4"/>
                <c:pt idx="0">
                  <c:v>70.663282458640865</c:v>
                </c:pt>
                <c:pt idx="1">
                  <c:v>6.1366944341959364</c:v>
                </c:pt>
                <c:pt idx="2">
                  <c:v>58.437363399165378</c:v>
                </c:pt>
                <c:pt idx="3">
                  <c:v>48.924400442224808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B45-4C36-8428-0F424909EA13}"/>
            </c:ext>
          </c:extLst>
        </c:ser>
        <c:ser>
          <c:idx val="4"/>
          <c:order val="4"/>
          <c:tx>
            <c:strRef>
              <c:f>'Total SHC Dengue Endemic Asia '!$C$73</c:f>
              <c:strCache>
                <c:ptCount val="1"/>
                <c:pt idx="0">
                  <c:v>EEC-Other Impacts</c:v>
                </c:pt>
              </c:strCache>
            </c:strRef>
          </c:tx>
          <c:spPr>
            <a:solidFill>
              <a:srgbClr val="FFC000"/>
            </a:solidFill>
            <a:ln w="19050"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val>
            <c:numRef>
              <c:f>'Total SHC Dengue Endemic Asia '!$D$73:$G$73</c:f>
              <c:numCache>
                <c:formatCode>0.00</c:formatCode>
                <c:ptCount val="4"/>
                <c:pt idx="0">
                  <c:v>29.521419414910902</c:v>
                </c:pt>
                <c:pt idx="1">
                  <c:v>9.4260422432990456</c:v>
                </c:pt>
                <c:pt idx="2">
                  <c:v>24.486050066778482</c:v>
                </c:pt>
                <c:pt idx="3">
                  <c:v>20.568039334802112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B45-4C36-8428-0F424909EA13}"/>
            </c:ext>
          </c:extLst>
        </c:ser>
        <c:ser>
          <c:idx val="5"/>
          <c:order val="5"/>
          <c:tx>
            <c:strRef>
              <c:f>'Total SHC Dengue Endemic Asia '!$C$74</c:f>
              <c:strCache>
                <c:ptCount val="1"/>
                <c:pt idx="0">
                  <c:v>ADTC</c:v>
                </c:pt>
              </c:strCache>
            </c:strRef>
          </c:tx>
          <c:spPr>
            <a:solidFill>
              <a:srgbClr val="FFCCFF"/>
            </a:solidFill>
            <a:ln w="19050"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'Total SHC Dengue Endemic Asia '!$D$83:$G$83</c:f>
                <c:numCache>
                  <c:formatCode>General</c:formatCode>
                  <c:ptCount val="4"/>
                  <c:pt idx="2">
                    <c:v>386</c:v>
                  </c:pt>
                  <c:pt idx="3">
                    <c:v>386</c:v>
                  </c:pt>
                </c:numCache>
              </c:numRef>
            </c:plus>
            <c:minus>
              <c:numRef>
                <c:f>'Total SHC Dengue Endemic Asia '!$D$84:$G$84</c:f>
                <c:numCache>
                  <c:formatCode>General</c:formatCode>
                  <c:ptCount val="4"/>
                  <c:pt idx="2">
                    <c:v>0</c:v>
                  </c:pt>
                  <c:pt idx="3">
                    <c:v>0</c:v>
                  </c:pt>
                </c:numCache>
              </c:numRef>
            </c:minus>
            <c:spPr>
              <a:noFill/>
              <a:ln w="19050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'Total SHC Dengue Endemic Asia '!$D$74:$G$74</c:f>
              <c:numCache>
                <c:formatCode>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386</c:v>
                </c:pt>
                <c:pt idx="3">
                  <c:v>772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B45-4C36-8428-0F424909EA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69314056"/>
        <c:axId val="669314776"/>
      </c:barChart>
      <c:catAx>
        <c:axId val="66931405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spPr>
          <a:noFill/>
          <a:ln w="9525" cap="flat" cmpd="sng" algn="ctr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9314776"/>
        <c:crosses val="autoZero"/>
        <c:auto val="1"/>
        <c:lblAlgn val="ctr"/>
        <c:lblOffset val="100"/>
        <c:noMultiLvlLbl val="0"/>
      </c:catAx>
      <c:valAx>
        <c:axId val="669314776"/>
        <c:scaling>
          <c:orientation val="minMax"/>
          <c:max val="18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SE" sz="1400" b="1">
                    <a:solidFill>
                      <a:schemeClr val="tx1">
                        <a:lumMod val="95000"/>
                        <a:lumOff val="5000"/>
                      </a:schemeClr>
                    </a:solidFill>
                  </a:rPr>
                  <a:t>Costs</a:t>
                </a:r>
                <a:r>
                  <a:rPr lang="en-SE" sz="1400" b="1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</a:rPr>
                  <a:t> (</a:t>
                </a:r>
                <a:r>
                  <a:rPr lang="en-SE" sz="1400" b="1">
                    <a:solidFill>
                      <a:schemeClr val="tx1">
                        <a:lumMod val="95000"/>
                        <a:lumOff val="5000"/>
                      </a:schemeClr>
                    </a:solidFill>
                  </a:rPr>
                  <a:t>$ USD) </a:t>
                </a:r>
                <a:endParaRPr lang="en-US" sz="1400" b="1">
                  <a:solidFill>
                    <a:schemeClr val="tx1">
                      <a:lumMod val="95000"/>
                      <a:lumOff val="5000"/>
                    </a:schemeClr>
                  </a:solidFill>
                </a:endParaRPr>
              </a:p>
            </c:rich>
          </c:tx>
          <c:layout>
            <c:manualLayout>
              <c:xMode val="edge"/>
              <c:yMode val="edge"/>
              <c:x val="1.0933806146572106E-2"/>
              <c:y val="0.2173642101707795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>
            <a:solidFill>
              <a:schemeClr val="tx1">
                <a:lumMod val="95000"/>
                <a:lumOff val="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9314056"/>
        <c:crosses val="autoZero"/>
        <c:crossBetween val="between"/>
        <c:majorUnit val="30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0343487649150239E-2"/>
          <c:y val="0.89409667541557303"/>
          <c:w val="0.98084943504402378"/>
          <c:h val="7.81255468066491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91268777573016"/>
          <c:y val="3.9276350509805574E-2"/>
          <c:w val="0.81986839411031076"/>
          <c:h val="0.6705398804316127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'Total SHC Dengue Endemic Asia '!$C$90</c:f>
              <c:strCache>
                <c:ptCount val="1"/>
                <c:pt idx="0">
                  <c:v>ACC</c:v>
                </c:pt>
              </c:strCache>
            </c:strRef>
          </c:tx>
          <c:spPr>
            <a:solidFill>
              <a:srgbClr val="5DD5FF"/>
            </a:solidFill>
            <a:ln w="19050"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val>
            <c:numRef>
              <c:f>'Total SHC Dengue Endemic Asia '!$D$90:$G$90</c:f>
              <c:numCache>
                <c:formatCode>General</c:formatCode>
                <c:ptCount val="4"/>
                <c:pt idx="0">
                  <c:v>427</c:v>
                </c:pt>
                <c:pt idx="1">
                  <c:v>270</c:v>
                </c:pt>
                <c:pt idx="2">
                  <c:v>360</c:v>
                </c:pt>
                <c:pt idx="3">
                  <c:v>304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D1-4F41-B462-B20A30D24A7A}"/>
            </c:ext>
          </c:extLst>
        </c:ser>
        <c:ser>
          <c:idx val="1"/>
          <c:order val="1"/>
          <c:tx>
            <c:strRef>
              <c:f>'Total SHC Dengue Endemic Asia '!$C$91</c:f>
              <c:strCache>
                <c:ptCount val="1"/>
                <c:pt idx="0">
                  <c:v>EEC-GWP</c:v>
                </c:pt>
              </c:strCache>
            </c:strRef>
          </c:tx>
          <c:spPr>
            <a:solidFill>
              <a:schemeClr val="accent2"/>
            </a:solidFill>
            <a:ln w="19050"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val>
            <c:numRef>
              <c:f>'Total SHC Dengue Endemic Asia '!$D$91:$G$91</c:f>
              <c:numCache>
                <c:formatCode>0.00</c:formatCode>
                <c:ptCount val="4"/>
                <c:pt idx="0">
                  <c:v>336.5687032890383</c:v>
                </c:pt>
                <c:pt idx="1">
                  <c:v>44.707267325329433</c:v>
                </c:pt>
                <c:pt idx="2">
                  <c:v>279.84751322765175</c:v>
                </c:pt>
                <c:pt idx="3">
                  <c:v>232.95034723505137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D1-4F41-B462-B20A30D24A7A}"/>
            </c:ext>
          </c:extLst>
        </c:ser>
        <c:ser>
          <c:idx val="2"/>
          <c:order val="2"/>
          <c:tx>
            <c:strRef>
              <c:f>'Total SHC Dengue Endemic Asia '!$C$92</c:f>
              <c:strCache>
                <c:ptCount val="1"/>
                <c:pt idx="0">
                  <c:v>EEC-PMFP</c:v>
                </c:pt>
              </c:strCache>
            </c:strRef>
          </c:tx>
          <c:spPr>
            <a:solidFill>
              <a:srgbClr val="BEDDAB"/>
            </a:solidFill>
            <a:ln w="19050"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val>
            <c:numRef>
              <c:f>'Total SHC Dengue Endemic Asia '!$D$92:$G$92</c:f>
              <c:numCache>
                <c:formatCode>0.00</c:formatCode>
                <c:ptCount val="4"/>
                <c:pt idx="0">
                  <c:v>39.329085483008612</c:v>
                </c:pt>
                <c:pt idx="1">
                  <c:v>23.864477316203892</c:v>
                </c:pt>
                <c:pt idx="2">
                  <c:v>32.998374738991593</c:v>
                </c:pt>
                <c:pt idx="3">
                  <c:v>27.76413349172643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4D1-4F41-B462-B20A30D24A7A}"/>
            </c:ext>
          </c:extLst>
        </c:ser>
        <c:ser>
          <c:idx val="3"/>
          <c:order val="3"/>
          <c:tx>
            <c:strRef>
              <c:f>'Total SHC Dengue Endemic Asia '!$C$93</c:f>
              <c:strCache>
                <c:ptCount val="1"/>
                <c:pt idx="0">
                  <c:v>EEC-FDP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 w="19050"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val>
            <c:numRef>
              <c:f>'Total SHC Dengue Endemic Asia '!$D$93:$G$93</c:f>
              <c:numCache>
                <c:formatCode>0.00</c:formatCode>
                <c:ptCount val="4"/>
                <c:pt idx="0">
                  <c:v>44.7608423951269</c:v>
                </c:pt>
                <c:pt idx="1">
                  <c:v>7.0444510180748487</c:v>
                </c:pt>
                <c:pt idx="2">
                  <c:v>37.238202389907791</c:v>
                </c:pt>
                <c:pt idx="3">
                  <c:v>31.018472221243549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4D1-4F41-B462-B20A30D24A7A}"/>
            </c:ext>
          </c:extLst>
        </c:ser>
        <c:ser>
          <c:idx val="4"/>
          <c:order val="4"/>
          <c:tx>
            <c:strRef>
              <c:f>'Total SHC Dengue Endemic Asia '!$C$94</c:f>
              <c:strCache>
                <c:ptCount val="1"/>
                <c:pt idx="0">
                  <c:v>EEC-Other Impacts</c:v>
                </c:pt>
              </c:strCache>
            </c:strRef>
          </c:tx>
          <c:spPr>
            <a:solidFill>
              <a:srgbClr val="FFC000"/>
            </a:solidFill>
            <a:ln w="19050"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val>
            <c:numRef>
              <c:f>'Total SHC Dengue Endemic Asia '!$D$94:$G$94</c:f>
              <c:numCache>
                <c:formatCode>0.00</c:formatCode>
                <c:ptCount val="4"/>
                <c:pt idx="0">
                  <c:v>37.271171580773341</c:v>
                </c:pt>
                <c:pt idx="1">
                  <c:v>10.880003649082877</c:v>
                </c:pt>
                <c:pt idx="2">
                  <c:v>31.029048547154083</c:v>
                </c:pt>
                <c:pt idx="3">
                  <c:v>25.868051753238639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4D1-4F41-B462-B20A30D24A7A}"/>
            </c:ext>
          </c:extLst>
        </c:ser>
        <c:ser>
          <c:idx val="5"/>
          <c:order val="5"/>
          <c:tx>
            <c:strRef>
              <c:f>'Total SHC Dengue Endemic Asia '!$C$95</c:f>
              <c:strCache>
                <c:ptCount val="1"/>
                <c:pt idx="0">
                  <c:v>ADTC</c:v>
                </c:pt>
              </c:strCache>
            </c:strRef>
          </c:tx>
          <c:spPr>
            <a:solidFill>
              <a:srgbClr val="FFCCFF"/>
            </a:solidFill>
            <a:ln w="19050"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'Total SHC Dengue Endemic Asia '!$D$104:$G$104</c:f>
                <c:numCache>
                  <c:formatCode>General</c:formatCode>
                  <c:ptCount val="4"/>
                  <c:pt idx="2">
                    <c:v>213</c:v>
                  </c:pt>
                  <c:pt idx="3">
                    <c:v>213</c:v>
                  </c:pt>
                </c:numCache>
              </c:numRef>
            </c:plus>
            <c:minus>
              <c:numRef>
                <c:f>'Total SHC Dengue Endemic Asia '!$D$105:$G$105</c:f>
                <c:numCache>
                  <c:formatCode>General</c:formatCode>
                  <c:ptCount val="4"/>
                  <c:pt idx="2">
                    <c:v>0</c:v>
                  </c:pt>
                  <c:pt idx="3">
                    <c:v>0</c:v>
                  </c:pt>
                </c:numCache>
              </c:numRef>
            </c:minus>
            <c:spPr>
              <a:noFill/>
              <a:ln w="19050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'Total SHC Dengue Endemic Asia '!$D$95:$G$95</c:f>
              <c:numCache>
                <c:formatCode>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213</c:v>
                </c:pt>
                <c:pt idx="3">
                  <c:v>426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4D1-4F41-B462-B20A30D24A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69314056"/>
        <c:axId val="669314776"/>
      </c:barChart>
      <c:catAx>
        <c:axId val="66931405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spPr>
          <a:noFill/>
          <a:ln w="9525" cap="flat" cmpd="sng" algn="ctr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9314776"/>
        <c:crosses val="autoZero"/>
        <c:auto val="1"/>
        <c:lblAlgn val="ctr"/>
        <c:lblOffset val="100"/>
        <c:noMultiLvlLbl val="0"/>
      </c:catAx>
      <c:valAx>
        <c:axId val="66931477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SE" sz="1400">
                    <a:solidFill>
                      <a:schemeClr val="tx1">
                        <a:lumMod val="95000"/>
                        <a:lumOff val="5000"/>
                      </a:schemeClr>
                    </a:solidFill>
                  </a:rPr>
                  <a:t>Costs ($ USD) </a:t>
                </a:r>
                <a:endParaRPr lang="en-US" sz="1400">
                  <a:solidFill>
                    <a:schemeClr val="tx1">
                      <a:lumMod val="95000"/>
                      <a:lumOff val="5000"/>
                    </a:schemeClr>
                  </a:solidFill>
                </a:endParaRPr>
              </a:p>
            </c:rich>
          </c:tx>
          <c:layout>
            <c:manualLayout>
              <c:xMode val="edge"/>
              <c:yMode val="edge"/>
              <c:x val="2.0685579196217498E-3"/>
              <c:y val="0.1959164889911549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>
            <a:solidFill>
              <a:schemeClr val="tx1">
                <a:lumMod val="95000"/>
                <a:lumOff val="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9314056"/>
        <c:crosses val="autoZero"/>
        <c:crossBetween val="between"/>
        <c:majorUnit val="30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9409667541557303"/>
          <c:w val="0.96902910407475673"/>
          <c:h val="7.81255468066491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 sz="1100" b="1"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9390229146888555"/>
          <c:y val="3.9276350509805574E-2"/>
          <c:w val="0.80509298039872679"/>
          <c:h val="0.6705398804316127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'Total SHC Dengue Endemic Asia '!$C$112</c:f>
              <c:strCache>
                <c:ptCount val="1"/>
                <c:pt idx="0">
                  <c:v>ACC</c:v>
                </c:pt>
              </c:strCache>
            </c:strRef>
          </c:tx>
          <c:spPr>
            <a:solidFill>
              <a:srgbClr val="5DD5FF"/>
            </a:solidFill>
            <a:ln w="19050"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val>
            <c:numRef>
              <c:f>'Total SHC Dengue Endemic Asia '!$D$112:$G$112</c:f>
              <c:numCache>
                <c:formatCode>0.00</c:formatCode>
                <c:ptCount val="4"/>
                <c:pt idx="0">
                  <c:v>875</c:v>
                </c:pt>
                <c:pt idx="1">
                  <c:v>452</c:v>
                </c:pt>
                <c:pt idx="2">
                  <c:v>723</c:v>
                </c:pt>
                <c:pt idx="3">
                  <c:v>598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66-425F-9242-779111BA5C4C}"/>
            </c:ext>
          </c:extLst>
        </c:ser>
        <c:ser>
          <c:idx val="1"/>
          <c:order val="1"/>
          <c:tx>
            <c:strRef>
              <c:f>'Total SHC Dengue Endemic Asia '!$C$113</c:f>
              <c:strCache>
                <c:ptCount val="1"/>
                <c:pt idx="0">
                  <c:v>EEC-GWP</c:v>
                </c:pt>
              </c:strCache>
            </c:strRef>
          </c:tx>
          <c:spPr>
            <a:solidFill>
              <a:schemeClr val="accent2"/>
            </a:solidFill>
            <a:ln w="19050"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val>
            <c:numRef>
              <c:f>'Total SHC Dengue Endemic Asia '!$D$113:$G$113</c:f>
              <c:numCache>
                <c:formatCode>0.00</c:formatCode>
                <c:ptCount val="4"/>
                <c:pt idx="0">
                  <c:v>481.66530991482193</c:v>
                </c:pt>
                <c:pt idx="1">
                  <c:v>42.744009507457257</c:v>
                </c:pt>
                <c:pt idx="2">
                  <c:v>395.80180448466712</c:v>
                </c:pt>
                <c:pt idx="3">
                  <c:v>324.77222117800835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66-425F-9242-779111BA5C4C}"/>
            </c:ext>
          </c:extLst>
        </c:ser>
        <c:ser>
          <c:idx val="2"/>
          <c:order val="2"/>
          <c:tx>
            <c:strRef>
              <c:f>'Total SHC Dengue Endemic Asia '!$C$114</c:f>
              <c:strCache>
                <c:ptCount val="1"/>
                <c:pt idx="0">
                  <c:v>EEC-PMFP</c:v>
                </c:pt>
              </c:strCache>
            </c:strRef>
          </c:tx>
          <c:spPr>
            <a:solidFill>
              <a:srgbClr val="BEDDAB"/>
            </a:solidFill>
            <a:ln w="19050"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val>
            <c:numRef>
              <c:f>'Total SHC Dengue Endemic Asia '!$D$114:$G$114</c:f>
              <c:numCache>
                <c:formatCode>0.00</c:formatCode>
                <c:ptCount val="4"/>
                <c:pt idx="0">
                  <c:v>106.94670411878722</c:v>
                </c:pt>
                <c:pt idx="1">
                  <c:v>22.814577379452619</c:v>
                </c:pt>
                <c:pt idx="2">
                  <c:v>88.114438088569486</c:v>
                </c:pt>
                <c:pt idx="3">
                  <c:v>72.535665685261733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466-425F-9242-779111BA5C4C}"/>
            </c:ext>
          </c:extLst>
        </c:ser>
        <c:ser>
          <c:idx val="3"/>
          <c:order val="3"/>
          <c:tx>
            <c:strRef>
              <c:f>'Total SHC Dengue Endemic Asia '!$C$115</c:f>
              <c:strCache>
                <c:ptCount val="1"/>
                <c:pt idx="0">
                  <c:v>EEC-FDP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 w="19050"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val>
            <c:numRef>
              <c:f>'Total SHC Dengue Endemic Asia '!$D$115:$G$115</c:f>
              <c:numCache>
                <c:formatCode>0.00</c:formatCode>
                <c:ptCount val="4"/>
                <c:pt idx="0">
                  <c:v>62.415711579204164</c:v>
                </c:pt>
                <c:pt idx="1">
                  <c:v>6.7359234782368489</c:v>
                </c:pt>
                <c:pt idx="2">
                  <c:v>51.313791320168697</c:v>
                </c:pt>
                <c:pt idx="3">
                  <c:v>42.129857284951385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466-425F-9242-779111BA5C4C}"/>
            </c:ext>
          </c:extLst>
        </c:ser>
        <c:ser>
          <c:idx val="4"/>
          <c:order val="4"/>
          <c:tx>
            <c:strRef>
              <c:f>'Total SHC Dengue Endemic Asia '!$C$116</c:f>
              <c:strCache>
                <c:ptCount val="1"/>
                <c:pt idx="0">
                  <c:v>EEC-Other Impacts</c:v>
                </c:pt>
              </c:strCache>
            </c:strRef>
          </c:tx>
          <c:spPr>
            <a:solidFill>
              <a:srgbClr val="FFC000"/>
            </a:solidFill>
            <a:ln w="19050"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val>
            <c:numRef>
              <c:f>'Total SHC Dengue Endemic Asia '!$D$116:$G$116</c:f>
              <c:numCache>
                <c:formatCode>0.00</c:formatCode>
                <c:ptCount val="4"/>
                <c:pt idx="0">
                  <c:v>55.50767278482467</c:v>
                </c:pt>
                <c:pt idx="1">
                  <c:v>10.385832476422209</c:v>
                </c:pt>
                <c:pt idx="2">
                  <c:v>45.650407784110349</c:v>
                </c:pt>
                <c:pt idx="3">
                  <c:v>37.496100292977282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466-425F-9242-779111BA5C4C}"/>
            </c:ext>
          </c:extLst>
        </c:ser>
        <c:ser>
          <c:idx val="5"/>
          <c:order val="5"/>
          <c:tx>
            <c:strRef>
              <c:f>'Total SHC Dengue Endemic Asia '!$C$117</c:f>
              <c:strCache>
                <c:ptCount val="1"/>
                <c:pt idx="0">
                  <c:v>ADTC</c:v>
                </c:pt>
              </c:strCache>
            </c:strRef>
          </c:tx>
          <c:spPr>
            <a:solidFill>
              <a:srgbClr val="FFCCFF"/>
            </a:solidFill>
            <a:ln w="19050"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'Total SHC Dengue Endemic Asia '!$D$126:$G$126</c:f>
                <c:numCache>
                  <c:formatCode>General</c:formatCode>
                  <c:ptCount val="4"/>
                  <c:pt idx="2">
                    <c:v>766</c:v>
                  </c:pt>
                  <c:pt idx="3">
                    <c:v>766</c:v>
                  </c:pt>
                </c:numCache>
              </c:numRef>
            </c:plus>
            <c:minus>
              <c:numRef>
                <c:f>'Total SHC Dengue Endemic Asia '!$D$127:$G$127</c:f>
                <c:numCache>
                  <c:formatCode>General</c:formatCode>
                  <c:ptCount val="4"/>
                  <c:pt idx="2">
                    <c:v>0</c:v>
                  </c:pt>
                  <c:pt idx="3">
                    <c:v>0</c:v>
                  </c:pt>
                </c:numCache>
              </c:numRef>
            </c:minus>
            <c:spPr>
              <a:noFill/>
              <a:ln w="19050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'Total SHC Dengue Endemic Asia '!$D$117:$G$117</c:f>
              <c:numCache>
                <c:formatCode>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766</c:v>
                </c:pt>
                <c:pt idx="3">
                  <c:v>1532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466-425F-9242-779111BA5C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69314056"/>
        <c:axId val="669314776"/>
      </c:barChart>
      <c:catAx>
        <c:axId val="66931405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spPr>
          <a:noFill/>
          <a:ln w="9525" cap="flat" cmpd="sng" algn="ctr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9314776"/>
        <c:crosses val="autoZero"/>
        <c:auto val="1"/>
        <c:lblAlgn val="ctr"/>
        <c:lblOffset val="100"/>
        <c:noMultiLvlLbl val="0"/>
      </c:catAx>
      <c:valAx>
        <c:axId val="66931477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SE" sz="1400" b="1">
                    <a:solidFill>
                      <a:schemeClr val="tx1">
                        <a:lumMod val="95000"/>
                        <a:lumOff val="5000"/>
                      </a:schemeClr>
                    </a:solidFill>
                  </a:rPr>
                  <a:t>Costs</a:t>
                </a:r>
                <a:r>
                  <a:rPr lang="en-SE" sz="1400" b="1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</a:rPr>
                  <a:t> (</a:t>
                </a:r>
                <a:r>
                  <a:rPr lang="en-SE" sz="1400" b="1">
                    <a:solidFill>
                      <a:schemeClr val="tx1">
                        <a:lumMod val="95000"/>
                        <a:lumOff val="5000"/>
                      </a:schemeClr>
                    </a:solidFill>
                  </a:rPr>
                  <a:t>$ USD) </a:t>
                </a:r>
                <a:endParaRPr lang="en-US" sz="1400" b="1">
                  <a:solidFill>
                    <a:schemeClr val="tx1">
                      <a:lumMod val="95000"/>
                      <a:lumOff val="5000"/>
                    </a:schemeClr>
                  </a:solidFill>
                </a:endParaRPr>
              </a:p>
            </c:rich>
          </c:tx>
          <c:layout>
            <c:manualLayout>
              <c:xMode val="edge"/>
              <c:yMode val="edge"/>
              <c:x val="1.6843971631205674E-2"/>
              <c:y val="0.2120022798758733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>
            <a:solidFill>
              <a:schemeClr val="tx1">
                <a:lumMod val="95000"/>
                <a:lumOff val="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9314056"/>
        <c:crosses val="autoZero"/>
        <c:crossBetween val="between"/>
        <c:majorUnit val="90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3298570391467026E-2"/>
          <c:y val="0.89409667541557303"/>
          <c:w val="0.97493926955939025"/>
          <c:h val="7.81255468066491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998124569535191"/>
          <c:y val="5.5651169917383003E-2"/>
          <c:w val="0.79918285214348217"/>
          <c:h val="0.65088397713097057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'Total SHC Dengue Endemic Asia '!$C$133</c:f>
              <c:strCache>
                <c:ptCount val="1"/>
                <c:pt idx="0">
                  <c:v>ACC</c:v>
                </c:pt>
              </c:strCache>
            </c:strRef>
          </c:tx>
          <c:spPr>
            <a:solidFill>
              <a:srgbClr val="5DD5FF"/>
            </a:solidFill>
            <a:ln w="19050"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val>
            <c:numRef>
              <c:f>'Total SHC Dengue Endemic Asia '!$D$133:$G$133</c:f>
              <c:numCache>
                <c:formatCode>0.00</c:formatCode>
                <c:ptCount val="4"/>
                <c:pt idx="0">
                  <c:v>430</c:v>
                </c:pt>
                <c:pt idx="1">
                  <c:v>311</c:v>
                </c:pt>
                <c:pt idx="2">
                  <c:v>361</c:v>
                </c:pt>
                <c:pt idx="3">
                  <c:v>303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D-4A5E-A007-EE322BD5D94A}"/>
            </c:ext>
          </c:extLst>
        </c:ser>
        <c:ser>
          <c:idx val="1"/>
          <c:order val="1"/>
          <c:tx>
            <c:strRef>
              <c:f>'Total SHC Dengue Endemic Asia '!$C$134</c:f>
              <c:strCache>
                <c:ptCount val="1"/>
                <c:pt idx="0">
                  <c:v>EEC-GWP</c:v>
                </c:pt>
              </c:strCache>
            </c:strRef>
          </c:tx>
          <c:spPr>
            <a:solidFill>
              <a:schemeClr val="accent2"/>
            </a:solidFill>
            <a:ln w="19050"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val>
            <c:numRef>
              <c:f>'Total SHC Dengue Endemic Asia '!$D$134:$G$134</c:f>
              <c:numCache>
                <c:formatCode>0.00</c:formatCode>
                <c:ptCount val="4"/>
                <c:pt idx="0">
                  <c:v>620.21718091204423</c:v>
                </c:pt>
                <c:pt idx="1">
                  <c:v>43.872686550993798</c:v>
                </c:pt>
                <c:pt idx="2">
                  <c:v>512.48806111884448</c:v>
                </c:pt>
                <c:pt idx="3">
                  <c:v>422.55530285516812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AD-4A5E-A007-EE322BD5D94A}"/>
            </c:ext>
          </c:extLst>
        </c:ser>
        <c:ser>
          <c:idx val="2"/>
          <c:order val="2"/>
          <c:tx>
            <c:strRef>
              <c:f>'Total SHC Dengue Endemic Asia '!$C$135</c:f>
              <c:strCache>
                <c:ptCount val="1"/>
                <c:pt idx="0">
                  <c:v>EEC-PMFP</c:v>
                </c:pt>
              </c:strCache>
            </c:strRef>
          </c:tx>
          <c:spPr>
            <a:solidFill>
              <a:srgbClr val="BEDDAB"/>
            </a:solidFill>
            <a:ln w="19050"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val>
            <c:numRef>
              <c:f>'Total SHC Dengue Endemic Asia '!$D$135:$G$135</c:f>
              <c:numCache>
                <c:formatCode>0.00</c:formatCode>
                <c:ptCount val="4"/>
                <c:pt idx="0">
                  <c:v>362.94600003252123</c:v>
                </c:pt>
                <c:pt idx="1">
                  <c:v>23.418165133666577</c:v>
                </c:pt>
                <c:pt idx="2">
                  <c:v>299.85846086471776</c:v>
                </c:pt>
                <c:pt idx="3">
                  <c:v>247.19269676750841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0AD-4A5E-A007-EE322BD5D94A}"/>
            </c:ext>
          </c:extLst>
        </c:ser>
        <c:ser>
          <c:idx val="3"/>
          <c:order val="3"/>
          <c:tx>
            <c:strRef>
              <c:f>'Total SHC Dengue Endemic Asia '!$C$136</c:f>
              <c:strCache>
                <c:ptCount val="1"/>
                <c:pt idx="0">
                  <c:v>EEC-FDP</c:v>
                </c:pt>
              </c:strCache>
            </c:strRef>
          </c:tx>
          <c:spPr>
            <a:solidFill>
              <a:schemeClr val="accent4"/>
            </a:solidFill>
            <a:ln w="19050"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val>
            <c:numRef>
              <c:f>'Total SHC Dengue Endemic Asia '!$D$136:$G$136</c:f>
              <c:numCache>
                <c:formatCode>0.00</c:formatCode>
                <c:ptCount val="4"/>
                <c:pt idx="0">
                  <c:v>82.113409224223503</c:v>
                </c:pt>
                <c:pt idx="1">
                  <c:v>6.9132959562764791</c:v>
                </c:pt>
                <c:pt idx="2">
                  <c:v>67.872420989863571</c:v>
                </c:pt>
                <c:pt idx="3">
                  <c:v>55.983979361684142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0AD-4A5E-A007-EE322BD5D94A}"/>
            </c:ext>
          </c:extLst>
        </c:ser>
        <c:ser>
          <c:idx val="4"/>
          <c:order val="4"/>
          <c:tx>
            <c:strRef>
              <c:f>'Total SHC Dengue Endemic Asia '!$C$137</c:f>
              <c:strCache>
                <c:ptCount val="1"/>
                <c:pt idx="0">
                  <c:v>EEC-Other Impacts</c:v>
                </c:pt>
              </c:strCache>
            </c:strRef>
          </c:tx>
          <c:spPr>
            <a:solidFill>
              <a:srgbClr val="FFC000"/>
            </a:solidFill>
            <a:ln w="19050"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val>
            <c:numRef>
              <c:f>'Total SHC Dengue Endemic Asia '!$D$137:$G$137</c:f>
              <c:numCache>
                <c:formatCode>0.00</c:formatCode>
                <c:ptCount val="4"/>
                <c:pt idx="0">
                  <c:v>70.831457499522656</c:v>
                </c:pt>
                <c:pt idx="1">
                  <c:v>10.669929985803293</c:v>
                </c:pt>
                <c:pt idx="2">
                  <c:v>58.565810682825514</c:v>
                </c:pt>
                <c:pt idx="3">
                  <c:v>48.326393037613144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0AD-4A5E-A007-EE322BD5D94A}"/>
            </c:ext>
          </c:extLst>
        </c:ser>
        <c:ser>
          <c:idx val="5"/>
          <c:order val="5"/>
          <c:tx>
            <c:strRef>
              <c:f>'Total SHC Dengue Endemic Asia '!$C$138</c:f>
              <c:strCache>
                <c:ptCount val="1"/>
                <c:pt idx="0">
                  <c:v>ADTC</c:v>
                </c:pt>
              </c:strCache>
            </c:strRef>
          </c:tx>
          <c:spPr>
            <a:solidFill>
              <a:srgbClr val="FFCCFF"/>
            </a:solidFill>
            <a:ln w="19050"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'Total SHC Dengue Endemic Asia '!$D$147:$G$147</c:f>
                <c:numCache>
                  <c:formatCode>General</c:formatCode>
                  <c:ptCount val="4"/>
                  <c:pt idx="2">
                    <c:v>381</c:v>
                  </c:pt>
                  <c:pt idx="3">
                    <c:v>381</c:v>
                  </c:pt>
                </c:numCache>
              </c:numRef>
            </c:plus>
            <c:minus>
              <c:numRef>
                <c:f>'Total SHC Dengue Endemic Asia '!$D$148:$G$148</c:f>
                <c:numCache>
                  <c:formatCode>General</c:formatCode>
                  <c:ptCount val="4"/>
                  <c:pt idx="2">
                    <c:v>0</c:v>
                  </c:pt>
                  <c:pt idx="3">
                    <c:v>0</c:v>
                  </c:pt>
                </c:numCache>
              </c:numRef>
            </c:minus>
            <c:spPr>
              <a:noFill/>
              <a:ln w="19050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'Total SHC Dengue Endemic Asia '!$D$138:$G$138</c:f>
              <c:numCache>
                <c:formatCode>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381</c:v>
                </c:pt>
                <c:pt idx="3">
                  <c:v>762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0AD-4A5E-A007-EE322BD5D9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69314056"/>
        <c:axId val="669314776"/>
      </c:barChart>
      <c:catAx>
        <c:axId val="66931405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spPr>
          <a:noFill/>
          <a:ln w="9525" cap="flat" cmpd="sng" algn="ctr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9314776"/>
        <c:crosses val="autoZero"/>
        <c:auto val="1"/>
        <c:lblAlgn val="ctr"/>
        <c:lblOffset val="100"/>
        <c:noMultiLvlLbl val="0"/>
      </c:catAx>
      <c:valAx>
        <c:axId val="669314776"/>
        <c:scaling>
          <c:orientation val="minMax"/>
          <c:max val="25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SE" sz="1400" b="1">
                    <a:solidFill>
                      <a:schemeClr val="tx1">
                        <a:lumMod val="95000"/>
                        <a:lumOff val="5000"/>
                      </a:schemeClr>
                    </a:solidFill>
                  </a:rPr>
                  <a:t>Costs</a:t>
                </a:r>
                <a:r>
                  <a:rPr lang="en-SE" sz="1400" b="1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</a:rPr>
                  <a:t> (</a:t>
                </a:r>
                <a:r>
                  <a:rPr lang="en-SE" sz="1400" b="1">
                    <a:solidFill>
                      <a:schemeClr val="tx1">
                        <a:lumMod val="95000"/>
                        <a:lumOff val="5000"/>
                      </a:schemeClr>
                    </a:solidFill>
                  </a:rPr>
                  <a:t>$ USD) </a:t>
                </a:r>
                <a:endParaRPr lang="en-US" sz="1400" b="1">
                  <a:solidFill>
                    <a:schemeClr val="tx1">
                      <a:lumMod val="95000"/>
                      <a:lumOff val="5000"/>
                    </a:schemeClr>
                  </a:solidFill>
                </a:endParaRPr>
              </a:p>
            </c:rich>
          </c:tx>
          <c:layout>
            <c:manualLayout>
              <c:xMode val="edge"/>
              <c:yMode val="edge"/>
              <c:x val="8.091145460507175E-3"/>
              <c:y val="0.212002448484323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>
            <a:solidFill>
              <a:schemeClr val="tx1">
                <a:lumMod val="95000"/>
                <a:lumOff val="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9314056"/>
        <c:crosses val="autoZero"/>
        <c:crossBetween val="between"/>
        <c:majorUnit val="50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9409667541557303"/>
          <c:w val="0.98971468327097412"/>
          <c:h val="7.81255468066491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435146404571768"/>
          <c:y val="4.0618521880475399E-2"/>
          <c:w val="0.81395822862567713"/>
          <c:h val="0.6705398804316127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'Total SHC Dengue Endemic Asia '!$C$155</c:f>
              <c:strCache>
                <c:ptCount val="1"/>
                <c:pt idx="0">
                  <c:v>ACC</c:v>
                </c:pt>
              </c:strCache>
            </c:strRef>
          </c:tx>
          <c:spPr>
            <a:solidFill>
              <a:srgbClr val="5DD5FF"/>
            </a:solidFill>
            <a:ln w="19050"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val>
            <c:numRef>
              <c:f>'Total SHC Dengue Endemic Asia '!$D$155:$G$155</c:f>
              <c:numCache>
                <c:formatCode>0.00</c:formatCode>
                <c:ptCount val="4"/>
                <c:pt idx="0">
                  <c:v>273</c:v>
                </c:pt>
                <c:pt idx="1">
                  <c:v>203</c:v>
                </c:pt>
                <c:pt idx="2">
                  <c:v>230</c:v>
                </c:pt>
                <c:pt idx="3">
                  <c:v>196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A4-4BB2-9312-8BB46700F0F4}"/>
            </c:ext>
          </c:extLst>
        </c:ser>
        <c:ser>
          <c:idx val="1"/>
          <c:order val="1"/>
          <c:tx>
            <c:strRef>
              <c:f>'Total SHC Dengue Endemic Asia '!$C$156</c:f>
              <c:strCache>
                <c:ptCount val="1"/>
                <c:pt idx="0">
                  <c:v>EEC-GWP</c:v>
                </c:pt>
              </c:strCache>
            </c:strRef>
          </c:tx>
          <c:spPr>
            <a:solidFill>
              <a:schemeClr val="accent2"/>
            </a:solidFill>
            <a:ln w="19050"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val>
            <c:numRef>
              <c:f>'Total SHC Dengue Endemic Asia '!$D$156:$G$156</c:f>
              <c:numCache>
                <c:formatCode>0.00</c:formatCode>
                <c:ptCount val="4"/>
                <c:pt idx="0">
                  <c:v>213.1281722094997</c:v>
                </c:pt>
                <c:pt idx="1">
                  <c:v>40.929086724713102</c:v>
                </c:pt>
                <c:pt idx="2">
                  <c:v>175.79174682343282</c:v>
                </c:pt>
                <c:pt idx="3">
                  <c:v>145.51493848772654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4A4-4BB2-9312-8BB46700F0F4}"/>
            </c:ext>
          </c:extLst>
        </c:ser>
        <c:ser>
          <c:idx val="2"/>
          <c:order val="2"/>
          <c:tx>
            <c:strRef>
              <c:f>'Total SHC Dengue Endemic Asia '!$C$157</c:f>
              <c:strCache>
                <c:ptCount val="1"/>
                <c:pt idx="0">
                  <c:v>EEC-PMFP</c:v>
                </c:pt>
              </c:strCache>
            </c:strRef>
          </c:tx>
          <c:spPr>
            <a:solidFill>
              <a:srgbClr val="BEDDAB"/>
            </a:solidFill>
            <a:ln w="19050"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val>
            <c:numRef>
              <c:f>'Total SHC Dengue Endemic Asia '!$D$157:$G$157</c:f>
              <c:numCache>
                <c:formatCode>0.00</c:formatCode>
                <c:ptCount val="4"/>
                <c:pt idx="0">
                  <c:v>20.718328062784362</c:v>
                </c:pt>
                <c:pt idx="1">
                  <c:v>21.84400321570039</c:v>
                </c:pt>
                <c:pt idx="2">
                  <c:v>17.415228910318795</c:v>
                </c:pt>
                <c:pt idx="3">
                  <c:v>14.736683792007812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4A4-4BB2-9312-8BB46700F0F4}"/>
            </c:ext>
          </c:extLst>
        </c:ser>
        <c:ser>
          <c:idx val="3"/>
          <c:order val="3"/>
          <c:tx>
            <c:strRef>
              <c:f>'Total SHC Dengue Endemic Asia '!$C$158</c:f>
              <c:strCache>
                <c:ptCount val="1"/>
                <c:pt idx="0">
                  <c:v>EEC-FDP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 w="19050"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val>
            <c:numRef>
              <c:f>'Total SHC Dengue Endemic Asia '!$D$158:$G$158</c:f>
              <c:numCache>
                <c:formatCode>0.00</c:formatCode>
                <c:ptCount val="4"/>
                <c:pt idx="0">
                  <c:v>36.012096954436103</c:v>
                </c:pt>
                <c:pt idx="1">
                  <c:v>6.4507069080755031</c:v>
                </c:pt>
                <c:pt idx="2">
                  <c:v>29.697700748851997</c:v>
                </c:pt>
                <c:pt idx="3">
                  <c:v>24.577238313165306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4A4-4BB2-9312-8BB46700F0F4}"/>
            </c:ext>
          </c:extLst>
        </c:ser>
        <c:ser>
          <c:idx val="4"/>
          <c:order val="4"/>
          <c:tx>
            <c:strRef>
              <c:f>'Total SHC Dengue Endemic Asia '!$C$159</c:f>
              <c:strCache>
                <c:ptCount val="1"/>
                <c:pt idx="0">
                  <c:v>EEC-Other Impacts</c:v>
                </c:pt>
              </c:strCache>
            </c:strRef>
          </c:tx>
          <c:spPr>
            <a:solidFill>
              <a:srgbClr val="FFC000"/>
            </a:solidFill>
            <a:ln w="19050"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val>
            <c:numRef>
              <c:f>'Total SHC Dengue Endemic Asia '!$D$159:$G$159</c:f>
              <c:numCache>
                <c:formatCode>0.00</c:formatCode>
                <c:ptCount val="4"/>
                <c:pt idx="0">
                  <c:v>19.672358206366933</c:v>
                </c:pt>
                <c:pt idx="1">
                  <c:v>9.9289986812514659</c:v>
                </c:pt>
                <c:pt idx="2">
                  <c:v>16.281133882937791</c:v>
                </c:pt>
                <c:pt idx="3">
                  <c:v>13.53112640894536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4A4-4BB2-9312-8BB46700F0F4}"/>
            </c:ext>
          </c:extLst>
        </c:ser>
        <c:ser>
          <c:idx val="5"/>
          <c:order val="5"/>
          <c:tx>
            <c:strRef>
              <c:f>'Total SHC Dengue Endemic Asia '!$C$160</c:f>
              <c:strCache>
                <c:ptCount val="1"/>
                <c:pt idx="0">
                  <c:v>ADTC</c:v>
                </c:pt>
              </c:strCache>
            </c:strRef>
          </c:tx>
          <c:spPr>
            <a:solidFill>
              <a:srgbClr val="FFCCFF"/>
            </a:solidFill>
            <a:ln w="19050"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'Total SHC Dengue Endemic Asia '!$D$169:$G$169</c:f>
                <c:numCache>
                  <c:formatCode>General</c:formatCode>
                  <c:ptCount val="4"/>
                  <c:pt idx="2">
                    <c:v>121</c:v>
                  </c:pt>
                  <c:pt idx="3">
                    <c:v>121</c:v>
                  </c:pt>
                </c:numCache>
              </c:numRef>
            </c:plus>
            <c:minus>
              <c:numRef>
                <c:f>'Total SHC Dengue Endemic Asia '!$D$170:$G$170</c:f>
                <c:numCache>
                  <c:formatCode>General</c:formatCode>
                  <c:ptCount val="4"/>
                  <c:pt idx="2">
                    <c:v>0</c:v>
                  </c:pt>
                  <c:pt idx="3">
                    <c:v>0</c:v>
                  </c:pt>
                </c:numCache>
              </c:numRef>
            </c:minus>
            <c:spPr>
              <a:noFill/>
              <a:ln w="19050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'Total SHC Dengue Endemic Asia '!$D$160:$G$160</c:f>
              <c:numCache>
                <c:formatCode>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121</c:v>
                </c:pt>
                <c:pt idx="3">
                  <c:v>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4A4-4BB2-9312-8BB46700F0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69314056"/>
        <c:axId val="669314776"/>
      </c:barChart>
      <c:catAx>
        <c:axId val="66931405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spPr>
          <a:noFill/>
          <a:ln w="9525" cap="flat" cmpd="sng" algn="ctr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9314776"/>
        <c:crosses val="autoZero"/>
        <c:auto val="1"/>
        <c:lblAlgn val="ctr"/>
        <c:lblOffset val="100"/>
        <c:noMultiLvlLbl val="0"/>
      </c:catAx>
      <c:valAx>
        <c:axId val="66931477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SE" sz="1400" b="1">
                    <a:solidFill>
                      <a:schemeClr val="tx1">
                        <a:lumMod val="95000"/>
                        <a:lumOff val="5000"/>
                      </a:schemeClr>
                    </a:solidFill>
                  </a:rPr>
                  <a:t>Costs</a:t>
                </a:r>
                <a:r>
                  <a:rPr lang="en-SE" sz="1400" b="1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</a:rPr>
                  <a:t> (</a:t>
                </a:r>
                <a:r>
                  <a:rPr lang="en-SE" sz="1400" b="1">
                    <a:solidFill>
                      <a:schemeClr val="tx1">
                        <a:lumMod val="95000"/>
                        <a:lumOff val="5000"/>
                      </a:schemeClr>
                    </a:solidFill>
                  </a:rPr>
                  <a:t>$ USD) </a:t>
                </a:r>
                <a:endParaRPr lang="en-US" sz="1400" b="1">
                  <a:solidFill>
                    <a:schemeClr val="tx1">
                      <a:lumMod val="95000"/>
                      <a:lumOff val="5000"/>
                    </a:schemeClr>
                  </a:solidFill>
                </a:endParaRPr>
              </a:p>
            </c:rich>
          </c:tx>
          <c:layout>
            <c:manualLayout>
              <c:xMode val="edge"/>
              <c:yMode val="edge"/>
              <c:x val="7.9787234042553203E-3"/>
              <c:y val="0.2280880707605918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>
            <a:solidFill>
              <a:schemeClr val="tx1">
                <a:lumMod val="95000"/>
                <a:lumOff val="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9314056"/>
        <c:crosses val="autoZero"/>
        <c:crossBetween val="between"/>
        <c:majorUnit val="30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0343487649150239E-2"/>
          <c:y val="0.89409667541557303"/>
          <c:w val="0.98965651235084973"/>
          <c:h val="7.81255468066491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4835728-2A06-4230-8F7F-B5301F8D0C25}">
  <sheetPr/>
  <sheetViews>
    <sheetView zoomScale="62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0.png"/><Relationship Id="rId2" Type="http://schemas.openxmlformats.org/officeDocument/2006/relationships/image" Target="../media/image29.png"/><Relationship Id="rId1" Type="http://schemas.openxmlformats.org/officeDocument/2006/relationships/image" Target="../media/image28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4.xml"/><Relationship Id="rId3" Type="http://schemas.openxmlformats.org/officeDocument/2006/relationships/chart" Target="../charts/chart19.xml"/><Relationship Id="rId7" Type="http://schemas.openxmlformats.org/officeDocument/2006/relationships/chart" Target="../charts/chart23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546100</xdr:colOff>
      <xdr:row>15</xdr:row>
      <xdr:rowOff>43579</xdr:rowOff>
    </xdr:from>
    <xdr:to>
      <xdr:col>5</xdr:col>
      <xdr:colOff>661300</xdr:colOff>
      <xdr:row>27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9CAE96-EA4B-4B8E-B4A9-7AAB232196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5700" y="2507379"/>
          <a:ext cx="5233300" cy="1893171"/>
        </a:xfrm>
        <a:prstGeom prst="rect">
          <a:avLst/>
        </a:prstGeom>
      </xdr:spPr>
    </xdr:pic>
    <xdr:clientData/>
  </xdr:twoCellAnchor>
  <xdr:twoCellAnchor editAs="oneCell">
    <xdr:from>
      <xdr:col>1</xdr:col>
      <xdr:colOff>300556</xdr:colOff>
      <xdr:row>30</xdr:row>
      <xdr:rowOff>139700</xdr:rowOff>
    </xdr:from>
    <xdr:to>
      <xdr:col>5</xdr:col>
      <xdr:colOff>577850</xdr:colOff>
      <xdr:row>71</xdr:row>
      <xdr:rowOff>44450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34B8AAA-E99B-422A-A02E-BFEE5AB986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10156" y="5010150"/>
          <a:ext cx="5395394" cy="6457950"/>
        </a:xfrm>
        <a:prstGeom prst="rect">
          <a:avLst/>
        </a:prstGeom>
      </xdr:spPr>
    </xdr:pic>
    <xdr:clientData/>
  </xdr:twoCellAnchor>
  <xdr:twoCellAnchor>
    <xdr:from>
      <xdr:col>5</xdr:col>
      <xdr:colOff>609600</xdr:colOff>
      <xdr:row>17</xdr:row>
      <xdr:rowOff>95250</xdr:rowOff>
    </xdr:from>
    <xdr:to>
      <xdr:col>5</xdr:col>
      <xdr:colOff>996950</xdr:colOff>
      <xdr:row>19</xdr:row>
      <xdr:rowOff>12700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48F577B5-25B2-BFCC-1142-C6C501E160C7}"/>
            </a:ext>
          </a:extLst>
        </xdr:cNvPr>
        <xdr:cNvSpPr/>
      </xdr:nvSpPr>
      <xdr:spPr>
        <a:xfrm>
          <a:off x="6337300" y="2882900"/>
          <a:ext cx="387350" cy="2476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 editAs="oneCell">
    <xdr:from>
      <xdr:col>2</xdr:col>
      <xdr:colOff>72902</xdr:colOff>
      <xdr:row>120</xdr:row>
      <xdr:rowOff>57150</xdr:rowOff>
    </xdr:from>
    <xdr:to>
      <xdr:col>4</xdr:col>
      <xdr:colOff>304800</xdr:colOff>
      <xdr:row>131</xdr:row>
      <xdr:rowOff>19050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132CF9F-1F72-721E-BFC2-F44C012996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92102" y="22694900"/>
          <a:ext cx="3571998" cy="1765300"/>
        </a:xfrm>
        <a:prstGeom prst="rect">
          <a:avLst/>
        </a:prstGeom>
      </xdr:spPr>
    </xdr:pic>
    <xdr:clientData/>
  </xdr:twoCellAnchor>
  <xdr:twoCellAnchor editAs="oneCell">
    <xdr:from>
      <xdr:col>0</xdr:col>
      <xdr:colOff>562904</xdr:colOff>
      <xdr:row>154</xdr:row>
      <xdr:rowOff>76201</xdr:rowOff>
    </xdr:from>
    <xdr:to>
      <xdr:col>3</xdr:col>
      <xdr:colOff>1363377</xdr:colOff>
      <xdr:row>159</xdr:row>
      <xdr:rowOff>69851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20E95B0-0785-E5B7-61CC-6067F078BA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62904" y="24904701"/>
          <a:ext cx="3816723" cy="825500"/>
        </a:xfrm>
        <a:prstGeom prst="rect">
          <a:avLst/>
        </a:prstGeom>
      </xdr:spPr>
    </xdr:pic>
    <xdr:clientData/>
  </xdr:twoCellAnchor>
  <xdr:twoCellAnchor editAs="oneCell">
    <xdr:from>
      <xdr:col>1</xdr:col>
      <xdr:colOff>317499</xdr:colOff>
      <xdr:row>140</xdr:row>
      <xdr:rowOff>18617</xdr:rowOff>
    </xdr:from>
    <xdr:to>
      <xdr:col>3</xdr:col>
      <xdr:colOff>622300</xdr:colOff>
      <xdr:row>150</xdr:row>
      <xdr:rowOff>153028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849D77F5-DDCE-1CCA-CBF5-19471EC9BA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27099" y="22573817"/>
          <a:ext cx="2711451" cy="1779061"/>
        </a:xfrm>
        <a:prstGeom prst="rect">
          <a:avLst/>
        </a:prstGeom>
      </xdr:spPr>
    </xdr:pic>
    <xdr:clientData/>
  </xdr:twoCellAnchor>
  <xdr:twoCellAnchor editAs="oneCell">
    <xdr:from>
      <xdr:col>0</xdr:col>
      <xdr:colOff>425450</xdr:colOff>
      <xdr:row>192</xdr:row>
      <xdr:rowOff>102563</xdr:rowOff>
    </xdr:from>
    <xdr:to>
      <xdr:col>3</xdr:col>
      <xdr:colOff>914400</xdr:colOff>
      <xdr:row>205</xdr:row>
      <xdr:rowOff>365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3D60A62-CD29-6796-FF54-DEBBBF0749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5450" y="31128663"/>
          <a:ext cx="3505200" cy="2018702"/>
        </a:xfrm>
        <a:prstGeom prst="rect">
          <a:avLst/>
        </a:prstGeom>
      </xdr:spPr>
    </xdr:pic>
    <xdr:clientData/>
  </xdr:twoCellAnchor>
  <xdr:twoCellAnchor editAs="oneCell">
    <xdr:from>
      <xdr:col>0</xdr:col>
      <xdr:colOff>361950</xdr:colOff>
      <xdr:row>207</xdr:row>
      <xdr:rowOff>33912</xdr:rowOff>
    </xdr:from>
    <xdr:to>
      <xdr:col>3</xdr:col>
      <xdr:colOff>1468452</xdr:colOff>
      <xdr:row>211</xdr:row>
      <xdr:rowOff>19049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C1A5685-B289-B656-C5E9-3836F82A7E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61950" y="33485712"/>
          <a:ext cx="4122752" cy="651887"/>
        </a:xfrm>
        <a:prstGeom prst="rect">
          <a:avLst/>
        </a:prstGeom>
      </xdr:spPr>
    </xdr:pic>
    <xdr:clientData/>
  </xdr:twoCellAnchor>
  <xdr:twoCellAnchor editAs="oneCell">
    <xdr:from>
      <xdr:col>0</xdr:col>
      <xdr:colOff>6350</xdr:colOff>
      <xdr:row>231</xdr:row>
      <xdr:rowOff>31750</xdr:rowOff>
    </xdr:from>
    <xdr:to>
      <xdr:col>5</xdr:col>
      <xdr:colOff>278636</xdr:colOff>
      <xdr:row>256</xdr:row>
      <xdr:rowOff>68588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8F049174-0A4D-8C5C-C5CC-EEA899A0C7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350" y="33591500"/>
          <a:ext cx="5999986" cy="4069088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127000</xdr:colOff>
      <xdr:row>253</xdr:row>
      <xdr:rowOff>24152</xdr:rowOff>
    </xdr:from>
    <xdr:to>
      <xdr:col>5</xdr:col>
      <xdr:colOff>723117</xdr:colOff>
      <xdr:row>270</xdr:row>
      <xdr:rowOff>39124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501141A1-D3B1-4E5E-9BC5-E46BAE45A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7000" y="38028902"/>
          <a:ext cx="6323817" cy="2713722"/>
        </a:xfrm>
        <a:prstGeom prst="rect">
          <a:avLst/>
        </a:prstGeom>
      </xdr:spPr>
    </xdr:pic>
    <xdr:clientData/>
  </xdr:twoCellAnchor>
  <xdr:twoCellAnchor editAs="oneCell">
    <xdr:from>
      <xdr:col>2</xdr:col>
      <xdr:colOff>1661913</xdr:colOff>
      <xdr:row>237</xdr:row>
      <xdr:rowOff>38100</xdr:rowOff>
    </xdr:from>
    <xdr:to>
      <xdr:col>4</xdr:col>
      <xdr:colOff>311150</xdr:colOff>
      <xdr:row>248</xdr:row>
      <xdr:rowOff>87678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44FE4709-2BFC-0FEB-5D1F-5E3DA012FB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881113" y="38354000"/>
          <a:ext cx="1989337" cy="1833928"/>
        </a:xfrm>
        <a:prstGeom prst="rect">
          <a:avLst/>
        </a:prstGeom>
      </xdr:spPr>
    </xdr:pic>
    <xdr:clientData/>
  </xdr:twoCellAnchor>
  <xdr:twoCellAnchor editAs="oneCell">
    <xdr:from>
      <xdr:col>2</xdr:col>
      <xdr:colOff>196850</xdr:colOff>
      <xdr:row>2</xdr:row>
      <xdr:rowOff>44450</xdr:rowOff>
    </xdr:from>
    <xdr:to>
      <xdr:col>5</xdr:col>
      <xdr:colOff>169411</xdr:colOff>
      <xdr:row>13</xdr:row>
      <xdr:rowOff>19050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76FDEEE1-13C8-F2C7-B1BC-16C9EB64AC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416050" y="361950"/>
          <a:ext cx="4481061" cy="1746250"/>
        </a:xfrm>
        <a:prstGeom prst="rect">
          <a:avLst/>
        </a:prstGeom>
      </xdr:spPr>
    </xdr:pic>
    <xdr:clientData/>
  </xdr:twoCellAnchor>
  <xdr:twoCellAnchor>
    <xdr:from>
      <xdr:col>5</xdr:col>
      <xdr:colOff>514350</xdr:colOff>
      <xdr:row>4</xdr:row>
      <xdr:rowOff>139700</xdr:rowOff>
    </xdr:from>
    <xdr:to>
      <xdr:col>5</xdr:col>
      <xdr:colOff>901700</xdr:colOff>
      <xdr:row>6</xdr:row>
      <xdr:rowOff>50800</xdr:rowOff>
    </xdr:to>
    <xdr:sp macro="" textlink="">
      <xdr:nvSpPr>
        <xdr:cNvPr id="21" name="Arrow: Right 20">
          <a:extLst>
            <a:ext uri="{FF2B5EF4-FFF2-40B4-BE49-F238E27FC236}">
              <a16:creationId xmlns:a16="http://schemas.microsoft.com/office/drawing/2014/main" id="{6F9F107C-E0A5-4BC4-9DBB-32C9EB152EBD}"/>
            </a:ext>
          </a:extLst>
        </xdr:cNvPr>
        <xdr:cNvSpPr/>
      </xdr:nvSpPr>
      <xdr:spPr>
        <a:xfrm>
          <a:off x="6242050" y="793750"/>
          <a:ext cx="387350" cy="2413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5</xdr:col>
      <xdr:colOff>698500</xdr:colOff>
      <xdr:row>42</xdr:row>
      <xdr:rowOff>12700</xdr:rowOff>
    </xdr:from>
    <xdr:to>
      <xdr:col>5</xdr:col>
      <xdr:colOff>1085850</xdr:colOff>
      <xdr:row>43</xdr:row>
      <xdr:rowOff>101600</xdr:rowOff>
    </xdr:to>
    <xdr:sp macro="" textlink="">
      <xdr:nvSpPr>
        <xdr:cNvPr id="17" name="Arrow: Right 16">
          <a:extLst>
            <a:ext uri="{FF2B5EF4-FFF2-40B4-BE49-F238E27FC236}">
              <a16:creationId xmlns:a16="http://schemas.microsoft.com/office/drawing/2014/main" id="{BB627709-9473-49B3-813B-CA8C04B9717B}"/>
            </a:ext>
          </a:extLst>
        </xdr:cNvPr>
        <xdr:cNvSpPr/>
      </xdr:nvSpPr>
      <xdr:spPr>
        <a:xfrm>
          <a:off x="6426200" y="6788150"/>
          <a:ext cx="387350" cy="2476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 editAs="oneCell">
    <xdr:from>
      <xdr:col>2</xdr:col>
      <xdr:colOff>0</xdr:colOff>
      <xdr:row>72</xdr:row>
      <xdr:rowOff>57150</xdr:rowOff>
    </xdr:from>
    <xdr:to>
      <xdr:col>5</xdr:col>
      <xdr:colOff>187980</xdr:colOff>
      <xdr:row>81</xdr:row>
      <xdr:rowOff>143092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BBE7E178-ADE2-C14C-7046-4F3AB40636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219200" y="11798300"/>
          <a:ext cx="4696480" cy="1552792"/>
        </a:xfrm>
        <a:prstGeom prst="rect">
          <a:avLst/>
        </a:prstGeom>
      </xdr:spPr>
    </xdr:pic>
    <xdr:clientData/>
  </xdr:twoCellAnchor>
  <xdr:twoCellAnchor>
    <xdr:from>
      <xdr:col>5</xdr:col>
      <xdr:colOff>457200</xdr:colOff>
      <xdr:row>75</xdr:row>
      <xdr:rowOff>152400</xdr:rowOff>
    </xdr:from>
    <xdr:to>
      <xdr:col>5</xdr:col>
      <xdr:colOff>844550</xdr:colOff>
      <xdr:row>77</xdr:row>
      <xdr:rowOff>0</xdr:rowOff>
    </xdr:to>
    <xdr:sp macro="" textlink="">
      <xdr:nvSpPr>
        <xdr:cNvPr id="24" name="Arrow: Right 23">
          <a:extLst>
            <a:ext uri="{FF2B5EF4-FFF2-40B4-BE49-F238E27FC236}">
              <a16:creationId xmlns:a16="http://schemas.microsoft.com/office/drawing/2014/main" id="{A81B5BFD-D87F-4908-B978-5C89005F62DA}"/>
            </a:ext>
          </a:extLst>
        </xdr:cNvPr>
        <xdr:cNvSpPr/>
      </xdr:nvSpPr>
      <xdr:spPr>
        <a:xfrm>
          <a:off x="6184900" y="12382500"/>
          <a:ext cx="387350" cy="2667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 editAs="oneCell">
    <xdr:from>
      <xdr:col>2</xdr:col>
      <xdr:colOff>38100</xdr:colOff>
      <xdr:row>84</xdr:row>
      <xdr:rowOff>12700</xdr:rowOff>
    </xdr:from>
    <xdr:to>
      <xdr:col>4</xdr:col>
      <xdr:colOff>1149350</xdr:colOff>
      <xdr:row>96</xdr:row>
      <xdr:rowOff>32787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A17853F-425F-9821-4894-4C3ECABD7D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257300" y="13855700"/>
          <a:ext cx="4451350" cy="1963187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88</xdr:row>
      <xdr:rowOff>0</xdr:rowOff>
    </xdr:from>
    <xdr:to>
      <xdr:col>5</xdr:col>
      <xdr:colOff>387350</xdr:colOff>
      <xdr:row>89</xdr:row>
      <xdr:rowOff>19050</xdr:rowOff>
    </xdr:to>
    <xdr:sp macro="" textlink="">
      <xdr:nvSpPr>
        <xdr:cNvPr id="26" name="Arrow: Right 25">
          <a:extLst>
            <a:ext uri="{FF2B5EF4-FFF2-40B4-BE49-F238E27FC236}">
              <a16:creationId xmlns:a16="http://schemas.microsoft.com/office/drawing/2014/main" id="{62AD5CCB-9934-4C0A-930D-92B2F201CABD}"/>
            </a:ext>
          </a:extLst>
        </xdr:cNvPr>
        <xdr:cNvSpPr/>
      </xdr:nvSpPr>
      <xdr:spPr>
        <a:xfrm>
          <a:off x="5727700" y="14478000"/>
          <a:ext cx="387350" cy="1778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 editAs="oneCell">
    <xdr:from>
      <xdr:col>2</xdr:col>
      <xdr:colOff>31750</xdr:colOff>
      <xdr:row>98</xdr:row>
      <xdr:rowOff>34541</xdr:rowOff>
    </xdr:from>
    <xdr:to>
      <xdr:col>5</xdr:col>
      <xdr:colOff>218970</xdr:colOff>
      <xdr:row>109</xdr:row>
      <xdr:rowOff>107950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DF2655B1-EC88-C5F5-20A2-BC0F704471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250950" y="15820641"/>
          <a:ext cx="4695720" cy="1845059"/>
        </a:xfrm>
        <a:prstGeom prst="rect">
          <a:avLst/>
        </a:prstGeom>
      </xdr:spPr>
    </xdr:pic>
    <xdr:clientData/>
  </xdr:twoCellAnchor>
  <xdr:twoCellAnchor>
    <xdr:from>
      <xdr:col>5</xdr:col>
      <xdr:colOff>127000</xdr:colOff>
      <xdr:row>101</xdr:row>
      <xdr:rowOff>146050</xdr:rowOff>
    </xdr:from>
    <xdr:to>
      <xdr:col>5</xdr:col>
      <xdr:colOff>514350</xdr:colOff>
      <xdr:row>103</xdr:row>
      <xdr:rowOff>12700</xdr:rowOff>
    </xdr:to>
    <xdr:sp macro="" textlink="">
      <xdr:nvSpPr>
        <xdr:cNvPr id="28" name="Arrow: Right 27">
          <a:extLst>
            <a:ext uri="{FF2B5EF4-FFF2-40B4-BE49-F238E27FC236}">
              <a16:creationId xmlns:a16="http://schemas.microsoft.com/office/drawing/2014/main" id="{FBDAFA48-ACA9-4F23-BD2F-EB727F2EAAC1}"/>
            </a:ext>
          </a:extLst>
        </xdr:cNvPr>
        <xdr:cNvSpPr/>
      </xdr:nvSpPr>
      <xdr:spPr>
        <a:xfrm>
          <a:off x="5854700" y="16567150"/>
          <a:ext cx="387350" cy="1841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 editAs="oneCell">
    <xdr:from>
      <xdr:col>2</xdr:col>
      <xdr:colOff>76201</xdr:colOff>
      <xdr:row>114</xdr:row>
      <xdr:rowOff>57150</xdr:rowOff>
    </xdr:from>
    <xdr:to>
      <xdr:col>4</xdr:col>
      <xdr:colOff>146051</xdr:colOff>
      <xdr:row>115</xdr:row>
      <xdr:rowOff>125843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AF2184CE-6C14-1FA9-94B7-3270069787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295401" y="18415000"/>
          <a:ext cx="3409950" cy="233793"/>
        </a:xfrm>
        <a:prstGeom prst="rect">
          <a:avLst/>
        </a:prstGeom>
      </xdr:spPr>
    </xdr:pic>
    <xdr:clientData/>
  </xdr:twoCellAnchor>
  <xdr:twoCellAnchor editAs="oneCell">
    <xdr:from>
      <xdr:col>2</xdr:col>
      <xdr:colOff>88900</xdr:colOff>
      <xdr:row>112</xdr:row>
      <xdr:rowOff>120651</xdr:rowOff>
    </xdr:from>
    <xdr:to>
      <xdr:col>3</xdr:col>
      <xdr:colOff>1447800</xdr:colOff>
      <xdr:row>113</xdr:row>
      <xdr:rowOff>146403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263CBE64-0BE4-3978-D45B-FB6FA5D6E7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308100" y="18161001"/>
          <a:ext cx="3155950" cy="184502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114</xdr:row>
      <xdr:rowOff>0</xdr:rowOff>
    </xdr:from>
    <xdr:to>
      <xdr:col>5</xdr:col>
      <xdr:colOff>387350</xdr:colOff>
      <xdr:row>115</xdr:row>
      <xdr:rowOff>25400</xdr:rowOff>
    </xdr:to>
    <xdr:sp macro="" textlink="">
      <xdr:nvSpPr>
        <xdr:cNvPr id="31" name="Arrow: Right 30">
          <a:extLst>
            <a:ext uri="{FF2B5EF4-FFF2-40B4-BE49-F238E27FC236}">
              <a16:creationId xmlns:a16="http://schemas.microsoft.com/office/drawing/2014/main" id="{F6C59AA0-A175-4C9D-996E-39B7E898735C}"/>
            </a:ext>
          </a:extLst>
        </xdr:cNvPr>
        <xdr:cNvSpPr/>
      </xdr:nvSpPr>
      <xdr:spPr>
        <a:xfrm>
          <a:off x="5727700" y="18357850"/>
          <a:ext cx="387350" cy="1841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4</xdr:col>
      <xdr:colOff>920750</xdr:colOff>
      <xdr:row>124</xdr:row>
      <xdr:rowOff>57150</xdr:rowOff>
    </xdr:from>
    <xdr:to>
      <xdr:col>5</xdr:col>
      <xdr:colOff>139700</xdr:colOff>
      <xdr:row>125</xdr:row>
      <xdr:rowOff>50800</xdr:rowOff>
    </xdr:to>
    <xdr:sp macro="" textlink="">
      <xdr:nvSpPr>
        <xdr:cNvPr id="35" name="Arrow: Right 34">
          <a:extLst>
            <a:ext uri="{FF2B5EF4-FFF2-40B4-BE49-F238E27FC236}">
              <a16:creationId xmlns:a16="http://schemas.microsoft.com/office/drawing/2014/main" id="{B2547615-608A-47E8-B7AF-9AE4583AACA6}"/>
            </a:ext>
          </a:extLst>
        </xdr:cNvPr>
        <xdr:cNvSpPr/>
      </xdr:nvSpPr>
      <xdr:spPr>
        <a:xfrm flipV="1">
          <a:off x="5480050" y="22561550"/>
          <a:ext cx="387350" cy="1587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 editAs="oneCell">
    <xdr:from>
      <xdr:col>2</xdr:col>
      <xdr:colOff>0</xdr:colOff>
      <xdr:row>133</xdr:row>
      <xdr:rowOff>0</xdr:rowOff>
    </xdr:from>
    <xdr:to>
      <xdr:col>3</xdr:col>
      <xdr:colOff>1358900</xdr:colOff>
      <xdr:row>134</xdr:row>
      <xdr:rowOff>19402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E9DF87EE-6E9B-40B3-8A3A-D1B93910FC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219200" y="21405850"/>
          <a:ext cx="3155950" cy="18450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135</xdr:row>
      <xdr:rowOff>1</xdr:rowOff>
    </xdr:from>
    <xdr:to>
      <xdr:col>4</xdr:col>
      <xdr:colOff>108283</xdr:colOff>
      <xdr:row>136</xdr:row>
      <xdr:rowOff>50801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9230394-4F12-2517-FF2C-63FCB5CCA2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219200" y="21723351"/>
          <a:ext cx="3448383" cy="209550"/>
        </a:xfrm>
        <a:prstGeom prst="rect">
          <a:avLst/>
        </a:prstGeom>
      </xdr:spPr>
    </xdr:pic>
    <xdr:clientData/>
  </xdr:twoCellAnchor>
  <xdr:twoCellAnchor>
    <xdr:from>
      <xdr:col>4</xdr:col>
      <xdr:colOff>971550</xdr:colOff>
      <xdr:row>134</xdr:row>
      <xdr:rowOff>12700</xdr:rowOff>
    </xdr:from>
    <xdr:to>
      <xdr:col>5</xdr:col>
      <xdr:colOff>190500</xdr:colOff>
      <xdr:row>135</xdr:row>
      <xdr:rowOff>12700</xdr:rowOff>
    </xdr:to>
    <xdr:sp macro="" textlink="">
      <xdr:nvSpPr>
        <xdr:cNvPr id="38" name="Arrow: Right 37">
          <a:extLst>
            <a:ext uri="{FF2B5EF4-FFF2-40B4-BE49-F238E27FC236}">
              <a16:creationId xmlns:a16="http://schemas.microsoft.com/office/drawing/2014/main" id="{8A107C73-4A6C-4696-9BDD-06EF30635D22}"/>
            </a:ext>
          </a:extLst>
        </xdr:cNvPr>
        <xdr:cNvSpPr/>
      </xdr:nvSpPr>
      <xdr:spPr>
        <a:xfrm flipV="1">
          <a:off x="5530850" y="21602700"/>
          <a:ext cx="387350" cy="1714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4</xdr:col>
      <xdr:colOff>965200</xdr:colOff>
      <xdr:row>143</xdr:row>
      <xdr:rowOff>127000</xdr:rowOff>
    </xdr:from>
    <xdr:to>
      <xdr:col>5</xdr:col>
      <xdr:colOff>184150</xdr:colOff>
      <xdr:row>144</xdr:row>
      <xdr:rowOff>139700</xdr:rowOff>
    </xdr:to>
    <xdr:sp macro="" textlink="">
      <xdr:nvSpPr>
        <xdr:cNvPr id="39" name="Arrow: Right 38">
          <a:extLst>
            <a:ext uri="{FF2B5EF4-FFF2-40B4-BE49-F238E27FC236}">
              <a16:creationId xmlns:a16="http://schemas.microsoft.com/office/drawing/2014/main" id="{1215D2C1-0BE6-4AC9-9083-50910A7B87F3}"/>
            </a:ext>
          </a:extLst>
        </xdr:cNvPr>
        <xdr:cNvSpPr/>
      </xdr:nvSpPr>
      <xdr:spPr>
        <a:xfrm flipV="1">
          <a:off x="5524500" y="23158450"/>
          <a:ext cx="387350" cy="1714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5</xdr:col>
      <xdr:colOff>0</xdr:colOff>
      <xdr:row>155</xdr:row>
      <xdr:rowOff>114300</xdr:rowOff>
    </xdr:from>
    <xdr:to>
      <xdr:col>5</xdr:col>
      <xdr:colOff>387350</xdr:colOff>
      <xdr:row>156</xdr:row>
      <xdr:rowOff>133350</xdr:rowOff>
    </xdr:to>
    <xdr:sp macro="" textlink="">
      <xdr:nvSpPr>
        <xdr:cNvPr id="40" name="Arrow: Right 39">
          <a:extLst>
            <a:ext uri="{FF2B5EF4-FFF2-40B4-BE49-F238E27FC236}">
              <a16:creationId xmlns:a16="http://schemas.microsoft.com/office/drawing/2014/main" id="{A74DFE6D-6370-42D7-8592-85A867C1151D}"/>
            </a:ext>
          </a:extLst>
        </xdr:cNvPr>
        <xdr:cNvSpPr/>
      </xdr:nvSpPr>
      <xdr:spPr>
        <a:xfrm flipV="1">
          <a:off x="5727700" y="25095200"/>
          <a:ext cx="387350" cy="1778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 editAs="oneCell">
    <xdr:from>
      <xdr:col>2</xdr:col>
      <xdr:colOff>0</xdr:colOff>
      <xdr:row>161</xdr:row>
      <xdr:rowOff>0</xdr:rowOff>
    </xdr:from>
    <xdr:to>
      <xdr:col>3</xdr:col>
      <xdr:colOff>1358900</xdr:colOff>
      <xdr:row>162</xdr:row>
      <xdr:rowOff>19402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33DFC56A-86EE-443A-9F5E-F47FAD53DB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219200" y="25977850"/>
          <a:ext cx="3155950" cy="18450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163</xdr:row>
      <xdr:rowOff>0</xdr:rowOff>
    </xdr:from>
    <xdr:to>
      <xdr:col>3</xdr:col>
      <xdr:colOff>1181100</xdr:colOff>
      <xdr:row>163</xdr:row>
      <xdr:rowOff>104988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32C9103F-A3B7-E2BC-45D4-8C4EE7BD9C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219200" y="26295350"/>
          <a:ext cx="2978150" cy="104988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285750</xdr:colOff>
      <xdr:row>167</xdr:row>
      <xdr:rowOff>33437</xdr:rowOff>
    </xdr:from>
    <xdr:to>
      <xdr:col>5</xdr:col>
      <xdr:colOff>214201</xdr:colOff>
      <xdr:row>177</xdr:row>
      <xdr:rowOff>63987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4EA4CD9F-FD76-4D92-F3B2-F6957C1A60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95350" y="27001887"/>
          <a:ext cx="5046551" cy="1662500"/>
        </a:xfrm>
        <a:prstGeom prst="rect">
          <a:avLst/>
        </a:prstGeom>
      </xdr:spPr>
    </xdr:pic>
    <xdr:clientData/>
  </xdr:twoCellAnchor>
  <xdr:twoCellAnchor>
    <xdr:from>
      <xdr:col>5</xdr:col>
      <xdr:colOff>374650</xdr:colOff>
      <xdr:row>171</xdr:row>
      <xdr:rowOff>12700</xdr:rowOff>
    </xdr:from>
    <xdr:to>
      <xdr:col>5</xdr:col>
      <xdr:colOff>762000</xdr:colOff>
      <xdr:row>171</xdr:row>
      <xdr:rowOff>146050</xdr:rowOff>
    </xdr:to>
    <xdr:sp macro="" textlink="">
      <xdr:nvSpPr>
        <xdr:cNvPr id="44" name="Arrow: Right 43">
          <a:extLst>
            <a:ext uri="{FF2B5EF4-FFF2-40B4-BE49-F238E27FC236}">
              <a16:creationId xmlns:a16="http://schemas.microsoft.com/office/drawing/2014/main" id="{77935C98-EF03-4EA4-B135-17BFC09FA95F}"/>
            </a:ext>
          </a:extLst>
        </xdr:cNvPr>
        <xdr:cNvSpPr/>
      </xdr:nvSpPr>
      <xdr:spPr>
        <a:xfrm flipV="1">
          <a:off x="6102350" y="27616150"/>
          <a:ext cx="387350" cy="1333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 editAs="oneCell">
    <xdr:from>
      <xdr:col>1</xdr:col>
      <xdr:colOff>482600</xdr:colOff>
      <xdr:row>181</xdr:row>
      <xdr:rowOff>79828</xdr:rowOff>
    </xdr:from>
    <xdr:to>
      <xdr:col>5</xdr:col>
      <xdr:colOff>522263</xdr:colOff>
      <xdr:row>189</xdr:row>
      <xdr:rowOff>41661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CED76020-C454-38D4-99D0-1BDE748A4F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092200" y="29321578"/>
          <a:ext cx="5157763" cy="1276283"/>
        </a:xfrm>
        <a:prstGeom prst="rect">
          <a:avLst/>
        </a:prstGeom>
      </xdr:spPr>
    </xdr:pic>
    <xdr:clientData/>
  </xdr:twoCellAnchor>
  <xdr:twoCellAnchor>
    <xdr:from>
      <xdr:col>5</xdr:col>
      <xdr:colOff>495300</xdr:colOff>
      <xdr:row>183</xdr:row>
      <xdr:rowOff>139700</xdr:rowOff>
    </xdr:from>
    <xdr:to>
      <xdr:col>5</xdr:col>
      <xdr:colOff>882650</xdr:colOff>
      <xdr:row>184</xdr:row>
      <xdr:rowOff>107950</xdr:rowOff>
    </xdr:to>
    <xdr:sp macro="" textlink="">
      <xdr:nvSpPr>
        <xdr:cNvPr id="49" name="Arrow: Right 48">
          <a:extLst>
            <a:ext uri="{FF2B5EF4-FFF2-40B4-BE49-F238E27FC236}">
              <a16:creationId xmlns:a16="http://schemas.microsoft.com/office/drawing/2014/main" id="{692EF88C-4344-40B7-8BC1-9B3842E1F7F7}"/>
            </a:ext>
          </a:extLst>
        </xdr:cNvPr>
        <xdr:cNvSpPr/>
      </xdr:nvSpPr>
      <xdr:spPr>
        <a:xfrm flipV="1">
          <a:off x="6223000" y="29711650"/>
          <a:ext cx="387350" cy="1333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4</xdr:col>
      <xdr:colOff>1035050</xdr:colOff>
      <xdr:row>196</xdr:row>
      <xdr:rowOff>25400</xdr:rowOff>
    </xdr:from>
    <xdr:to>
      <xdr:col>5</xdr:col>
      <xdr:colOff>254000</xdr:colOff>
      <xdr:row>197</xdr:row>
      <xdr:rowOff>0</xdr:rowOff>
    </xdr:to>
    <xdr:sp macro="" textlink="">
      <xdr:nvSpPr>
        <xdr:cNvPr id="50" name="Arrow: Right 49">
          <a:extLst>
            <a:ext uri="{FF2B5EF4-FFF2-40B4-BE49-F238E27FC236}">
              <a16:creationId xmlns:a16="http://schemas.microsoft.com/office/drawing/2014/main" id="{565BCB36-6CC2-4613-8979-4F9C806A1524}"/>
            </a:ext>
          </a:extLst>
        </xdr:cNvPr>
        <xdr:cNvSpPr/>
      </xdr:nvSpPr>
      <xdr:spPr>
        <a:xfrm flipV="1">
          <a:off x="5594350" y="31705550"/>
          <a:ext cx="387350" cy="1397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5</xdr:col>
      <xdr:colOff>0</xdr:colOff>
      <xdr:row>207</xdr:row>
      <xdr:rowOff>0</xdr:rowOff>
    </xdr:from>
    <xdr:to>
      <xdr:col>5</xdr:col>
      <xdr:colOff>387350</xdr:colOff>
      <xdr:row>207</xdr:row>
      <xdr:rowOff>139700</xdr:rowOff>
    </xdr:to>
    <xdr:sp macro="" textlink="">
      <xdr:nvSpPr>
        <xdr:cNvPr id="51" name="Arrow: Right 50">
          <a:extLst>
            <a:ext uri="{FF2B5EF4-FFF2-40B4-BE49-F238E27FC236}">
              <a16:creationId xmlns:a16="http://schemas.microsoft.com/office/drawing/2014/main" id="{09FEB711-A37F-4138-87E6-086D4830808D}"/>
            </a:ext>
          </a:extLst>
        </xdr:cNvPr>
        <xdr:cNvSpPr/>
      </xdr:nvSpPr>
      <xdr:spPr>
        <a:xfrm flipV="1">
          <a:off x="5727700" y="33451800"/>
          <a:ext cx="387350" cy="1397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 editAs="oneCell">
    <xdr:from>
      <xdr:col>0</xdr:col>
      <xdr:colOff>459767</xdr:colOff>
      <xdr:row>213</xdr:row>
      <xdr:rowOff>114300</xdr:rowOff>
    </xdr:from>
    <xdr:to>
      <xdr:col>3</xdr:col>
      <xdr:colOff>1148963</xdr:colOff>
      <xdr:row>226</xdr:row>
      <xdr:rowOff>10281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63E48ECC-5860-FFA7-10EB-5A1B9175DE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459767" y="34563050"/>
          <a:ext cx="3705446" cy="2004181"/>
        </a:xfrm>
        <a:prstGeom prst="rect">
          <a:avLst/>
        </a:prstGeom>
      </xdr:spPr>
    </xdr:pic>
    <xdr:clientData/>
  </xdr:twoCellAnchor>
  <xdr:twoCellAnchor>
    <xdr:from>
      <xdr:col>4</xdr:col>
      <xdr:colOff>1047750</xdr:colOff>
      <xdr:row>217</xdr:row>
      <xdr:rowOff>44450</xdr:rowOff>
    </xdr:from>
    <xdr:to>
      <xdr:col>5</xdr:col>
      <xdr:colOff>266700</xdr:colOff>
      <xdr:row>218</xdr:row>
      <xdr:rowOff>57150</xdr:rowOff>
    </xdr:to>
    <xdr:sp macro="" textlink="">
      <xdr:nvSpPr>
        <xdr:cNvPr id="54" name="Arrow: Right 53">
          <a:extLst>
            <a:ext uri="{FF2B5EF4-FFF2-40B4-BE49-F238E27FC236}">
              <a16:creationId xmlns:a16="http://schemas.microsoft.com/office/drawing/2014/main" id="{4E06805A-00FD-4120-A333-C0665976E250}"/>
            </a:ext>
          </a:extLst>
        </xdr:cNvPr>
        <xdr:cNvSpPr/>
      </xdr:nvSpPr>
      <xdr:spPr>
        <a:xfrm flipV="1">
          <a:off x="5607050" y="35128200"/>
          <a:ext cx="387350" cy="1714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5</xdr:col>
      <xdr:colOff>476250</xdr:colOff>
      <xdr:row>236</xdr:row>
      <xdr:rowOff>158750</xdr:rowOff>
    </xdr:from>
    <xdr:to>
      <xdr:col>5</xdr:col>
      <xdr:colOff>863600</xdr:colOff>
      <xdr:row>238</xdr:row>
      <xdr:rowOff>6350</xdr:rowOff>
    </xdr:to>
    <xdr:sp macro="" textlink="">
      <xdr:nvSpPr>
        <xdr:cNvPr id="55" name="Arrow: Right 54">
          <a:extLst>
            <a:ext uri="{FF2B5EF4-FFF2-40B4-BE49-F238E27FC236}">
              <a16:creationId xmlns:a16="http://schemas.microsoft.com/office/drawing/2014/main" id="{AD86032F-F7D1-4046-8404-71250A37CF07}"/>
            </a:ext>
          </a:extLst>
        </xdr:cNvPr>
        <xdr:cNvSpPr/>
      </xdr:nvSpPr>
      <xdr:spPr>
        <a:xfrm flipV="1">
          <a:off x="6203950" y="38334950"/>
          <a:ext cx="387350" cy="1778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 editAs="oneCell">
    <xdr:from>
      <xdr:col>1</xdr:col>
      <xdr:colOff>0</xdr:colOff>
      <xdr:row>273</xdr:row>
      <xdr:rowOff>0</xdr:rowOff>
    </xdr:from>
    <xdr:to>
      <xdr:col>3</xdr:col>
      <xdr:colOff>749300</xdr:colOff>
      <xdr:row>274</xdr:row>
      <xdr:rowOff>19402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BE41FD51-55A3-4F51-9515-4A6D105D4C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609600" y="44081700"/>
          <a:ext cx="3155950" cy="184502"/>
        </a:xfrm>
        <a:prstGeom prst="rect">
          <a:avLst/>
        </a:prstGeom>
      </xdr:spPr>
    </xdr:pic>
    <xdr:clientData/>
  </xdr:twoCellAnchor>
  <xdr:twoCellAnchor editAs="oneCell">
    <xdr:from>
      <xdr:col>0</xdr:col>
      <xdr:colOff>457200</xdr:colOff>
      <xdr:row>274</xdr:row>
      <xdr:rowOff>107950</xdr:rowOff>
    </xdr:from>
    <xdr:to>
      <xdr:col>3</xdr:col>
      <xdr:colOff>1320619</xdr:colOff>
      <xdr:row>275</xdr:row>
      <xdr:rowOff>152400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989FC62C-0BB8-6A06-9D9B-71EC44C053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457200" y="44348400"/>
          <a:ext cx="3879669" cy="209550"/>
        </a:xfrm>
        <a:prstGeom prst="rect">
          <a:avLst/>
        </a:prstGeom>
      </xdr:spPr>
    </xdr:pic>
    <xdr:clientData/>
  </xdr:twoCellAnchor>
  <xdr:twoCellAnchor editAs="oneCell">
    <xdr:from>
      <xdr:col>0</xdr:col>
      <xdr:colOff>444500</xdr:colOff>
      <xdr:row>280</xdr:row>
      <xdr:rowOff>39478</xdr:rowOff>
    </xdr:from>
    <xdr:to>
      <xdr:col>5</xdr:col>
      <xdr:colOff>684663</xdr:colOff>
      <xdr:row>290</xdr:row>
      <xdr:rowOff>146647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F3CE1D05-BB83-9426-E650-7C18B36D3D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444500" y="45264178"/>
          <a:ext cx="5967863" cy="1751819"/>
        </a:xfrm>
        <a:prstGeom prst="rect">
          <a:avLst/>
        </a:prstGeom>
      </xdr:spPr>
    </xdr:pic>
    <xdr:clientData/>
  </xdr:twoCellAnchor>
  <xdr:twoCellAnchor>
    <xdr:from>
      <xdr:col>5</xdr:col>
      <xdr:colOff>1060450</xdr:colOff>
      <xdr:row>285</xdr:row>
      <xdr:rowOff>6350</xdr:rowOff>
    </xdr:from>
    <xdr:to>
      <xdr:col>6</xdr:col>
      <xdr:colOff>215900</xdr:colOff>
      <xdr:row>286</xdr:row>
      <xdr:rowOff>25400</xdr:rowOff>
    </xdr:to>
    <xdr:sp macro="" textlink="">
      <xdr:nvSpPr>
        <xdr:cNvPr id="59" name="Arrow: Right 58">
          <a:extLst>
            <a:ext uri="{FF2B5EF4-FFF2-40B4-BE49-F238E27FC236}">
              <a16:creationId xmlns:a16="http://schemas.microsoft.com/office/drawing/2014/main" id="{EF9931ED-66C8-4C1E-8D5A-29DEBDF453E7}"/>
            </a:ext>
          </a:extLst>
        </xdr:cNvPr>
        <xdr:cNvSpPr/>
      </xdr:nvSpPr>
      <xdr:spPr>
        <a:xfrm flipV="1">
          <a:off x="6788150" y="46024800"/>
          <a:ext cx="387350" cy="1778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 editAs="oneCell">
    <xdr:from>
      <xdr:col>0</xdr:col>
      <xdr:colOff>533400</xdr:colOff>
      <xdr:row>294</xdr:row>
      <xdr:rowOff>30791</xdr:rowOff>
    </xdr:from>
    <xdr:to>
      <xdr:col>5</xdr:col>
      <xdr:colOff>999019</xdr:colOff>
      <xdr:row>306</xdr:row>
      <xdr:rowOff>3817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AA3A308E-D7A2-76A3-35CE-4ABC8C334E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533400" y="47528791"/>
          <a:ext cx="6193319" cy="1922476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299</xdr:row>
      <xdr:rowOff>0</xdr:rowOff>
    </xdr:from>
    <xdr:to>
      <xdr:col>6</xdr:col>
      <xdr:colOff>387350</xdr:colOff>
      <xdr:row>300</xdr:row>
      <xdr:rowOff>25400</xdr:rowOff>
    </xdr:to>
    <xdr:sp macro="" textlink="">
      <xdr:nvSpPr>
        <xdr:cNvPr id="61" name="Arrow: Right 60">
          <a:extLst>
            <a:ext uri="{FF2B5EF4-FFF2-40B4-BE49-F238E27FC236}">
              <a16:creationId xmlns:a16="http://schemas.microsoft.com/office/drawing/2014/main" id="{6001A4F6-77F9-4DDA-9EB5-F6C95A06DD04}"/>
            </a:ext>
          </a:extLst>
        </xdr:cNvPr>
        <xdr:cNvSpPr/>
      </xdr:nvSpPr>
      <xdr:spPr>
        <a:xfrm flipV="1">
          <a:off x="6959600" y="48291750"/>
          <a:ext cx="387350" cy="1841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 editAs="oneCell">
    <xdr:from>
      <xdr:col>1</xdr:col>
      <xdr:colOff>0</xdr:colOff>
      <xdr:row>308</xdr:row>
      <xdr:rowOff>0</xdr:rowOff>
    </xdr:from>
    <xdr:to>
      <xdr:col>3</xdr:col>
      <xdr:colOff>749300</xdr:colOff>
      <xdr:row>309</xdr:row>
      <xdr:rowOff>19402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F917E52B-0F75-4C63-857D-C8928A065C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609600" y="49764950"/>
          <a:ext cx="3155950" cy="184502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310</xdr:row>
      <xdr:rowOff>1</xdr:rowOff>
    </xdr:from>
    <xdr:to>
      <xdr:col>3</xdr:col>
      <xdr:colOff>685800</xdr:colOff>
      <xdr:row>311</xdr:row>
      <xdr:rowOff>146051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09FB08D1-C1E5-27B1-A730-9291DD5D25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609601" y="50082451"/>
          <a:ext cx="3092449" cy="3048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308</xdr:row>
      <xdr:rowOff>76200</xdr:rowOff>
    </xdr:from>
    <xdr:to>
      <xdr:col>6</xdr:col>
      <xdr:colOff>387350</xdr:colOff>
      <xdr:row>309</xdr:row>
      <xdr:rowOff>101600</xdr:rowOff>
    </xdr:to>
    <xdr:sp macro="" textlink="">
      <xdr:nvSpPr>
        <xdr:cNvPr id="64" name="Arrow: Right 63">
          <a:extLst>
            <a:ext uri="{FF2B5EF4-FFF2-40B4-BE49-F238E27FC236}">
              <a16:creationId xmlns:a16="http://schemas.microsoft.com/office/drawing/2014/main" id="{A5C782F8-C320-4F1A-808A-AB604D676DEC}"/>
            </a:ext>
          </a:extLst>
        </xdr:cNvPr>
        <xdr:cNvSpPr/>
      </xdr:nvSpPr>
      <xdr:spPr>
        <a:xfrm flipV="1">
          <a:off x="6959600" y="49847500"/>
          <a:ext cx="387350" cy="1905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 editAs="oneCell">
    <xdr:from>
      <xdr:col>0</xdr:col>
      <xdr:colOff>31750</xdr:colOff>
      <xdr:row>319</xdr:row>
      <xdr:rowOff>719</xdr:rowOff>
    </xdr:from>
    <xdr:to>
      <xdr:col>5</xdr:col>
      <xdr:colOff>1135492</xdr:colOff>
      <xdr:row>336</xdr:row>
      <xdr:rowOff>13513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5F5D7FAC-9E74-D15C-216C-4A48D1763C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31750" y="51550019"/>
          <a:ext cx="6831442" cy="2755994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328</xdr:row>
      <xdr:rowOff>0</xdr:rowOff>
    </xdr:from>
    <xdr:to>
      <xdr:col>6</xdr:col>
      <xdr:colOff>387350</xdr:colOff>
      <xdr:row>329</xdr:row>
      <xdr:rowOff>31750</xdr:rowOff>
    </xdr:to>
    <xdr:sp macro="" textlink="">
      <xdr:nvSpPr>
        <xdr:cNvPr id="66" name="Arrow: Right 65">
          <a:extLst>
            <a:ext uri="{FF2B5EF4-FFF2-40B4-BE49-F238E27FC236}">
              <a16:creationId xmlns:a16="http://schemas.microsoft.com/office/drawing/2014/main" id="{87CA4CB5-4B7C-485B-A2F1-63BCA5B64E6D}"/>
            </a:ext>
          </a:extLst>
        </xdr:cNvPr>
        <xdr:cNvSpPr/>
      </xdr:nvSpPr>
      <xdr:spPr>
        <a:xfrm flipV="1">
          <a:off x="6959600" y="52978050"/>
          <a:ext cx="387350" cy="1905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 editAs="oneCell">
    <xdr:from>
      <xdr:col>1</xdr:col>
      <xdr:colOff>0</xdr:colOff>
      <xdr:row>338</xdr:row>
      <xdr:rowOff>0</xdr:rowOff>
    </xdr:from>
    <xdr:to>
      <xdr:col>3</xdr:col>
      <xdr:colOff>749300</xdr:colOff>
      <xdr:row>339</xdr:row>
      <xdr:rowOff>25752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8D157685-EBCE-4A0D-92BF-90A1DA2F07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609600" y="54610000"/>
          <a:ext cx="3155950" cy="184502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340</xdr:row>
      <xdr:rowOff>0</xdr:rowOff>
    </xdr:from>
    <xdr:to>
      <xdr:col>3</xdr:col>
      <xdr:colOff>889001</xdr:colOff>
      <xdr:row>342</xdr:row>
      <xdr:rowOff>6350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15812D15-94E2-3B77-E934-CCA9A46C6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609601" y="54927500"/>
          <a:ext cx="3295650" cy="342900"/>
        </a:xfrm>
        <a:prstGeom prst="rect">
          <a:avLst/>
        </a:prstGeom>
      </xdr:spPr>
    </xdr:pic>
    <xdr:clientData/>
  </xdr:twoCellAnchor>
  <xdr:twoCellAnchor>
    <xdr:from>
      <xdr:col>6</xdr:col>
      <xdr:colOff>44450</xdr:colOff>
      <xdr:row>340</xdr:row>
      <xdr:rowOff>6350</xdr:rowOff>
    </xdr:from>
    <xdr:to>
      <xdr:col>6</xdr:col>
      <xdr:colOff>431800</xdr:colOff>
      <xdr:row>341</xdr:row>
      <xdr:rowOff>38100</xdr:rowOff>
    </xdr:to>
    <xdr:sp macro="" textlink="">
      <xdr:nvSpPr>
        <xdr:cNvPr id="69" name="Arrow: Right 68">
          <a:extLst>
            <a:ext uri="{FF2B5EF4-FFF2-40B4-BE49-F238E27FC236}">
              <a16:creationId xmlns:a16="http://schemas.microsoft.com/office/drawing/2014/main" id="{947BA7C0-6299-4A47-BE9D-7423BBEE4752}"/>
            </a:ext>
          </a:extLst>
        </xdr:cNvPr>
        <xdr:cNvSpPr/>
      </xdr:nvSpPr>
      <xdr:spPr>
        <a:xfrm flipV="1">
          <a:off x="7004050" y="54933850"/>
          <a:ext cx="387350" cy="1905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171450</xdr:colOff>
      <xdr:row>24</xdr:row>
      <xdr:rowOff>101600</xdr:rowOff>
    </xdr:from>
    <xdr:to>
      <xdr:col>16</xdr:col>
      <xdr:colOff>546100</xdr:colOff>
      <xdr:row>40</xdr:row>
      <xdr:rowOff>25400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AD5C045-A23C-4BCF-A8DB-CA37F2E58D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228600</xdr:colOff>
      <xdr:row>1</xdr:row>
      <xdr:rowOff>76200</xdr:rowOff>
    </xdr:from>
    <xdr:to>
      <xdr:col>17</xdr:col>
      <xdr:colOff>349250</xdr:colOff>
      <xdr:row>22</xdr:row>
      <xdr:rowOff>120650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01E325FE-E0C1-2785-39F7-F8C98DD03228}"/>
            </a:ext>
          </a:extLst>
        </xdr:cNvPr>
        <xdr:cNvGrpSpPr/>
      </xdr:nvGrpSpPr>
      <xdr:grpSpPr>
        <a:xfrm>
          <a:off x="6934200" y="241300"/>
          <a:ext cx="3778250" cy="3378200"/>
          <a:chOff x="5854700" y="492954"/>
          <a:chExt cx="4572000" cy="3657600"/>
        </a:xfrm>
      </xdr:grpSpPr>
      <xdr:graphicFrame macro="">
        <xdr:nvGraphicFramePr>
          <xdr:cNvPr id="5" name="Chart 4">
            <a:extLst>
              <a:ext uri="{FF2B5EF4-FFF2-40B4-BE49-F238E27FC236}">
                <a16:creationId xmlns:a16="http://schemas.microsoft.com/office/drawing/2014/main" id="{B1BA5BAF-514A-4F42-BA9C-871BDC1700CA}"/>
              </a:ext>
            </a:extLst>
          </xdr:cNvPr>
          <xdr:cNvGraphicFramePr>
            <a:graphicFrameLocks/>
          </xdr:cNvGraphicFramePr>
        </xdr:nvGraphicFramePr>
        <xdr:xfrm>
          <a:off x="5854700" y="492954"/>
          <a:ext cx="4572000" cy="36576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F798FF82-4347-488F-9738-44F42903D859}"/>
              </a:ext>
            </a:extLst>
          </xdr:cNvPr>
          <xdr:cNvSpPr txBox="1"/>
        </xdr:nvSpPr>
        <xdr:spPr>
          <a:xfrm>
            <a:off x="7797988" y="1906062"/>
            <a:ext cx="838330" cy="31115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SE" sz="1400" b="1" baseline="0">
                <a:solidFill>
                  <a:srgbClr val="FF0000"/>
                </a:solidFill>
              </a:rPr>
              <a:t>$798</a:t>
            </a:r>
            <a:endParaRPr lang="en-US" sz="1400" b="1">
              <a:solidFill>
                <a:srgbClr val="FF0000"/>
              </a:solidFill>
            </a:endParaRPr>
          </a:p>
        </xdr:txBody>
      </xdr:sp>
    </xdr:grpSp>
    <xdr:clientData/>
  </xdr:twoCellAnchor>
  <xdr:twoCellAnchor>
    <xdr:from>
      <xdr:col>7</xdr:col>
      <xdr:colOff>241300</xdr:colOff>
      <xdr:row>24</xdr:row>
      <xdr:rowOff>101600</xdr:rowOff>
    </xdr:from>
    <xdr:to>
      <xdr:col>11</xdr:col>
      <xdr:colOff>285750</xdr:colOff>
      <xdr:row>40</xdr:row>
      <xdr:rowOff>114300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F5D541D-6E85-48FC-87F4-35D46CD820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520700</xdr:colOff>
      <xdr:row>24</xdr:row>
      <xdr:rowOff>69850</xdr:rowOff>
    </xdr:from>
    <xdr:to>
      <xdr:col>6</xdr:col>
      <xdr:colOff>63500</xdr:colOff>
      <xdr:row>41</xdr:row>
      <xdr:rowOff>114300</xdr:rowOff>
    </xdr:to>
    <xdr:grpSp>
      <xdr:nvGrpSpPr>
        <xdr:cNvPr id="17" name="Group 16">
          <a:extLst>
            <a:ext uri="{FF2B5EF4-FFF2-40B4-BE49-F238E27FC236}">
              <a16:creationId xmlns:a16="http://schemas.microsoft.com/office/drawing/2014/main" id="{4763E608-02C5-8DF5-231A-024A5364CBDB}"/>
            </a:ext>
          </a:extLst>
        </xdr:cNvPr>
        <xdr:cNvGrpSpPr/>
      </xdr:nvGrpSpPr>
      <xdr:grpSpPr>
        <a:xfrm>
          <a:off x="520700" y="3886200"/>
          <a:ext cx="3200400" cy="2743200"/>
          <a:chOff x="558800" y="3378200"/>
          <a:chExt cx="3200400" cy="2743200"/>
        </a:xfrm>
      </xdr:grpSpPr>
      <xdr:graphicFrame macro="">
        <xdr:nvGraphicFramePr>
          <xdr:cNvPr id="7" name="Chart 6">
            <a:extLst>
              <a:ext uri="{FF2B5EF4-FFF2-40B4-BE49-F238E27FC236}">
                <a16:creationId xmlns:a16="http://schemas.microsoft.com/office/drawing/2014/main" id="{0C637D2C-1AB5-4992-81A5-4606DE221063}"/>
              </a:ext>
            </a:extLst>
          </xdr:cNvPr>
          <xdr:cNvGraphicFramePr>
            <a:graphicFrameLocks/>
          </xdr:cNvGraphicFramePr>
        </xdr:nvGraphicFramePr>
        <xdr:xfrm>
          <a:off x="558800" y="3378200"/>
          <a:ext cx="3200400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8A2EB8A-2A8C-4286-AD3B-A4EE815A3EB5}"/>
              </a:ext>
            </a:extLst>
          </xdr:cNvPr>
          <xdr:cNvSpPr txBox="1"/>
        </xdr:nvSpPr>
        <xdr:spPr>
          <a:xfrm>
            <a:off x="1581149" y="4438650"/>
            <a:ext cx="1047751" cy="33020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SE" sz="1400" b="1" baseline="0">
                <a:solidFill>
                  <a:srgbClr val="FF0000"/>
                </a:solidFill>
              </a:rPr>
              <a:t> $409</a:t>
            </a:r>
            <a:endParaRPr lang="en-US" sz="1400" b="1">
              <a:solidFill>
                <a:srgbClr val="FF0000"/>
              </a:solidFill>
            </a:endParaRPr>
          </a:p>
        </xdr:txBody>
      </xdr:sp>
    </xdr:grpSp>
    <xdr:clientData/>
  </xdr:twoCellAnchor>
  <xdr:twoCellAnchor>
    <xdr:from>
      <xdr:col>8</xdr:col>
      <xdr:colOff>584200</xdr:colOff>
      <xdr:row>30</xdr:row>
      <xdr:rowOff>107950</xdr:rowOff>
    </xdr:from>
    <xdr:to>
      <xdr:col>9</xdr:col>
      <xdr:colOff>533400</xdr:colOff>
      <xdr:row>32</xdr:row>
      <xdr:rowOff>114300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777235B2-E067-4417-9817-D4F819531493}"/>
            </a:ext>
          </a:extLst>
        </xdr:cNvPr>
        <xdr:cNvSpPr txBox="1"/>
      </xdr:nvSpPr>
      <xdr:spPr>
        <a:xfrm>
          <a:off x="5461000" y="4711700"/>
          <a:ext cx="558800" cy="3238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SE" sz="1400" b="1" baseline="0">
              <a:solidFill>
                <a:srgbClr val="FF0000"/>
              </a:solidFill>
            </a:rPr>
            <a:t>$222</a:t>
          </a:r>
          <a:endParaRPr lang="en-US" sz="1400" b="1">
            <a:solidFill>
              <a:srgbClr val="FF0000"/>
            </a:solidFill>
          </a:endParaRPr>
        </a:p>
      </xdr:txBody>
    </xdr:sp>
    <xdr:clientData/>
  </xdr:twoCellAnchor>
  <xdr:twoCellAnchor>
    <xdr:from>
      <xdr:col>14</xdr:col>
      <xdr:colOff>342900</xdr:colOff>
      <xdr:row>30</xdr:row>
      <xdr:rowOff>12700</xdr:rowOff>
    </xdr:from>
    <xdr:to>
      <xdr:col>15</xdr:col>
      <xdr:colOff>361950</xdr:colOff>
      <xdr:row>32</xdr:row>
      <xdr:rowOff>44450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293FFDF4-1AFD-4A64-8AA2-4EA05C0B8648}"/>
            </a:ext>
          </a:extLst>
        </xdr:cNvPr>
        <xdr:cNvSpPr txBox="1"/>
      </xdr:nvSpPr>
      <xdr:spPr>
        <a:xfrm>
          <a:off x="8877300" y="4616450"/>
          <a:ext cx="628650" cy="349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SE" sz="1400" b="1" baseline="0">
              <a:solidFill>
                <a:srgbClr val="FF0000"/>
              </a:solidFill>
            </a:rPr>
            <a:t>$119</a:t>
          </a:r>
          <a:endParaRPr lang="en-US" sz="1400" b="1">
            <a:solidFill>
              <a:srgbClr val="FF0000"/>
            </a:solidFill>
          </a:endParaRPr>
        </a:p>
      </xdr:txBody>
    </xdr:sp>
    <xdr:clientData/>
  </xdr:twoCellAnchor>
  <xdr:twoCellAnchor>
    <xdr:from>
      <xdr:col>0</xdr:col>
      <xdr:colOff>406400</xdr:colOff>
      <xdr:row>2</xdr:row>
      <xdr:rowOff>76200</xdr:rowOff>
    </xdr:from>
    <xdr:to>
      <xdr:col>6</xdr:col>
      <xdr:colOff>589280</xdr:colOff>
      <xdr:row>20</xdr:row>
      <xdr:rowOff>144780</xdr:rowOff>
    </xdr:to>
    <xdr:grpSp>
      <xdr:nvGrpSpPr>
        <xdr:cNvPr id="10" name="Group 9">
          <a:extLst>
            <a:ext uri="{FF2B5EF4-FFF2-40B4-BE49-F238E27FC236}">
              <a16:creationId xmlns:a16="http://schemas.microsoft.com/office/drawing/2014/main" id="{520F7F0B-F3CE-EE84-4B33-9CC812A1EF18}"/>
            </a:ext>
          </a:extLst>
        </xdr:cNvPr>
        <xdr:cNvGrpSpPr/>
      </xdr:nvGrpSpPr>
      <xdr:grpSpPr>
        <a:xfrm>
          <a:off x="406400" y="400050"/>
          <a:ext cx="3840480" cy="2926080"/>
          <a:chOff x="1949450" y="508000"/>
          <a:chExt cx="3840480" cy="2926080"/>
        </a:xfrm>
      </xdr:grpSpPr>
      <xdr:graphicFrame macro="">
        <xdr:nvGraphicFramePr>
          <xdr:cNvPr id="9" name="Chart 8">
            <a:extLst>
              <a:ext uri="{FF2B5EF4-FFF2-40B4-BE49-F238E27FC236}">
                <a16:creationId xmlns:a16="http://schemas.microsoft.com/office/drawing/2014/main" id="{128D491A-A6E5-475C-A5F6-202F4A6C3300}"/>
              </a:ext>
            </a:extLst>
          </xdr:cNvPr>
          <xdr:cNvGraphicFramePr>
            <a:graphicFrameLocks/>
          </xdr:cNvGraphicFramePr>
        </xdr:nvGraphicFramePr>
        <xdr:xfrm>
          <a:off x="1949450" y="508000"/>
          <a:ext cx="3840480" cy="29260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sp macro="" textlink="">
        <xdr:nvSpPr>
          <xdr:cNvPr id="3" name="TextBox 2">
            <a:extLst>
              <a:ext uri="{FF2B5EF4-FFF2-40B4-BE49-F238E27FC236}">
                <a16:creationId xmlns:a16="http://schemas.microsoft.com/office/drawing/2014/main" id="{43FF215F-6120-8D0E-F4AA-74980CAF91B7}"/>
              </a:ext>
            </a:extLst>
          </xdr:cNvPr>
          <xdr:cNvSpPr txBox="1"/>
        </xdr:nvSpPr>
        <xdr:spPr>
          <a:xfrm>
            <a:off x="3529693" y="1612900"/>
            <a:ext cx="654957" cy="30480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SE" sz="1400" b="1" baseline="0">
                <a:solidFill>
                  <a:srgbClr val="FF0000"/>
                </a:solidFill>
              </a:rPr>
              <a:t>$552</a:t>
            </a:r>
            <a:endParaRPr lang="en-US" sz="1400" b="1">
              <a:solidFill>
                <a:srgbClr val="FF0000"/>
              </a:solidFill>
            </a:endParaRPr>
          </a:p>
        </xdr:txBody>
      </xdr:sp>
    </xdr:grpSp>
    <xdr:clientData/>
  </xdr:twoCellAnchor>
  <xdr:twoCellAnchor>
    <xdr:from>
      <xdr:col>0</xdr:col>
      <xdr:colOff>450850</xdr:colOff>
      <xdr:row>2</xdr:row>
      <xdr:rowOff>82550</xdr:rowOff>
    </xdr:from>
    <xdr:to>
      <xdr:col>2</xdr:col>
      <xdr:colOff>279400</xdr:colOff>
      <xdr:row>3</xdr:row>
      <xdr:rowOff>146050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0D4BBEF-5355-8F54-CB60-53846E267DC2}"/>
            </a:ext>
          </a:extLst>
        </xdr:cNvPr>
        <xdr:cNvSpPr txBox="1"/>
      </xdr:nvSpPr>
      <xdr:spPr>
        <a:xfrm>
          <a:off x="450850" y="406400"/>
          <a:ext cx="1047750" cy="222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SE" sz="1200" b="1" kern="1200"/>
            <a:t>chn-fan+slr</a:t>
          </a:r>
          <a:endParaRPr lang="en-US" sz="1200" b="1" kern="1200"/>
        </a:p>
      </xdr:txBody>
    </xdr:sp>
    <xdr:clientData/>
  </xdr:twoCellAnchor>
  <xdr:twoCellAnchor>
    <xdr:from>
      <xdr:col>11</xdr:col>
      <xdr:colOff>285750</xdr:colOff>
      <xdr:row>1</xdr:row>
      <xdr:rowOff>120650</xdr:rowOff>
    </xdr:from>
    <xdr:to>
      <xdr:col>13</xdr:col>
      <xdr:colOff>114300</xdr:colOff>
      <xdr:row>3</xdr:row>
      <xdr:rowOff>25400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E787B2E-2208-4CF9-8E34-53E1913CB95B}"/>
            </a:ext>
          </a:extLst>
        </xdr:cNvPr>
        <xdr:cNvSpPr txBox="1"/>
      </xdr:nvSpPr>
      <xdr:spPr>
        <a:xfrm>
          <a:off x="6991350" y="285750"/>
          <a:ext cx="1047750" cy="222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SE" sz="1200" b="1" kern="1200"/>
            <a:t>chn-fan+mc</a:t>
          </a:r>
          <a:endParaRPr lang="en-US" sz="1200" b="1" kern="1200"/>
        </a:p>
      </xdr:txBody>
    </xdr:sp>
    <xdr:clientData/>
  </xdr:twoCellAnchor>
  <xdr:twoCellAnchor>
    <xdr:from>
      <xdr:col>0</xdr:col>
      <xdr:colOff>552450</xdr:colOff>
      <xdr:row>24</xdr:row>
      <xdr:rowOff>152400</xdr:rowOff>
    </xdr:from>
    <xdr:to>
      <xdr:col>2</xdr:col>
      <xdr:colOff>381000</xdr:colOff>
      <xdr:row>26</xdr:row>
      <xdr:rowOff>57150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8CA3FDBF-A1B5-49B6-83B1-FBA2F1736CCF}"/>
            </a:ext>
          </a:extLst>
        </xdr:cNvPr>
        <xdr:cNvSpPr txBox="1"/>
      </xdr:nvSpPr>
      <xdr:spPr>
        <a:xfrm>
          <a:off x="552450" y="3968750"/>
          <a:ext cx="1047750" cy="222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SE" sz="1200" b="1" kern="1200"/>
            <a:t>ldrz-chn-ugr</a:t>
          </a:r>
          <a:endParaRPr lang="en-US" sz="1200" b="1" kern="1200"/>
        </a:p>
      </xdr:txBody>
    </xdr:sp>
    <xdr:clientData/>
  </xdr:twoCellAnchor>
  <xdr:twoCellAnchor>
    <xdr:from>
      <xdr:col>7</xdr:col>
      <xdr:colOff>285750</xdr:colOff>
      <xdr:row>24</xdr:row>
      <xdr:rowOff>152400</xdr:rowOff>
    </xdr:from>
    <xdr:to>
      <xdr:col>9</xdr:col>
      <xdr:colOff>114300</xdr:colOff>
      <xdr:row>26</xdr:row>
      <xdr:rowOff>57150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BAFCBF31-EF9E-4D2C-A5F6-DE831682ACF8}"/>
            </a:ext>
          </a:extLst>
        </xdr:cNvPr>
        <xdr:cNvSpPr txBox="1"/>
      </xdr:nvSpPr>
      <xdr:spPr>
        <a:xfrm>
          <a:off x="4552950" y="3968750"/>
          <a:ext cx="1047750" cy="222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SE" sz="1200" b="1" kern="1200"/>
            <a:t>ldrz-chn-igr</a:t>
          </a:r>
          <a:endParaRPr lang="en-US" sz="1200" b="1" kern="1200"/>
        </a:p>
      </xdr:txBody>
    </xdr:sp>
    <xdr:clientData/>
  </xdr:twoCellAnchor>
  <xdr:twoCellAnchor>
    <xdr:from>
      <xdr:col>15</xdr:col>
      <xdr:colOff>82550</xdr:colOff>
      <xdr:row>24</xdr:row>
      <xdr:rowOff>114300</xdr:rowOff>
    </xdr:from>
    <xdr:to>
      <xdr:col>16</xdr:col>
      <xdr:colOff>520700</xdr:colOff>
      <xdr:row>26</xdr:row>
      <xdr:rowOff>19050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6F6F6139-6AF0-49E3-AC4D-A3887C5201E5}"/>
            </a:ext>
          </a:extLst>
        </xdr:cNvPr>
        <xdr:cNvSpPr txBox="1"/>
      </xdr:nvSpPr>
      <xdr:spPr>
        <a:xfrm>
          <a:off x="9226550" y="3930650"/>
          <a:ext cx="1047750" cy="222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SE" sz="1200" b="1" kern="1200"/>
            <a:t>ldrz-chn-uso</a:t>
          </a:r>
          <a:endParaRPr lang="en-US" sz="1200" b="1" kern="1200"/>
        </a:p>
      </xdr:txBody>
    </xdr:sp>
    <xdr:clientData/>
  </xdr:twoCellAnchor>
  <xdr:twoCellAnchor>
    <xdr:from>
      <xdr:col>1</xdr:col>
      <xdr:colOff>0</xdr:colOff>
      <xdr:row>47</xdr:row>
      <xdr:rowOff>0</xdr:rowOff>
    </xdr:from>
    <xdr:to>
      <xdr:col>7</xdr:col>
      <xdr:colOff>182880</xdr:colOff>
      <xdr:row>65</xdr:row>
      <xdr:rowOff>68580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73A9FE68-09F2-4EFA-BE71-82551C580E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419100</xdr:colOff>
      <xdr:row>53</xdr:row>
      <xdr:rowOff>95250</xdr:rowOff>
    </xdr:from>
    <xdr:to>
      <xdr:col>4</xdr:col>
      <xdr:colOff>464457</xdr:colOff>
      <xdr:row>55</xdr:row>
      <xdr:rowOff>82550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EFC79E9B-943C-451D-A8F7-A9683A582E73}"/>
            </a:ext>
          </a:extLst>
        </xdr:cNvPr>
        <xdr:cNvSpPr txBox="1"/>
      </xdr:nvSpPr>
      <xdr:spPr>
        <a:xfrm>
          <a:off x="2247900" y="8521700"/>
          <a:ext cx="654957" cy="304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SE" sz="1400" b="1" baseline="0">
              <a:solidFill>
                <a:srgbClr val="FF0000"/>
              </a:solidFill>
            </a:rPr>
            <a:t>$559</a:t>
          </a:r>
          <a:endParaRPr lang="en-US" sz="1400" b="1">
            <a:solidFill>
              <a:srgbClr val="FF0000"/>
            </a:solidFill>
          </a:endParaRPr>
        </a:p>
      </xdr:txBody>
    </xdr:sp>
    <xdr:clientData/>
  </xdr:twoCellAnchor>
  <xdr:twoCellAnchor>
    <xdr:from>
      <xdr:col>11</xdr:col>
      <xdr:colOff>0</xdr:colOff>
      <xdr:row>46</xdr:row>
      <xdr:rowOff>82550</xdr:rowOff>
    </xdr:from>
    <xdr:to>
      <xdr:col>17</xdr:col>
      <xdr:colOff>120650</xdr:colOff>
      <xdr:row>67</xdr:row>
      <xdr:rowOff>127000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BCC13F95-A1F6-41B7-96C0-F46D2BB18E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13</xdr:col>
      <xdr:colOff>285750</xdr:colOff>
      <xdr:row>54</xdr:row>
      <xdr:rowOff>114300</xdr:rowOff>
    </xdr:from>
    <xdr:to>
      <xdr:col>14</xdr:col>
      <xdr:colOff>368937</xdr:colOff>
      <xdr:row>56</xdr:row>
      <xdr:rowOff>84182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4880F134-A9B8-47E3-BB47-019870653645}"/>
            </a:ext>
          </a:extLst>
        </xdr:cNvPr>
        <xdr:cNvSpPr txBox="1"/>
      </xdr:nvSpPr>
      <xdr:spPr>
        <a:xfrm>
          <a:off x="8210550" y="8699500"/>
          <a:ext cx="692787" cy="28738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SE" sz="1400" b="1" baseline="0">
              <a:solidFill>
                <a:srgbClr val="FF0000"/>
              </a:solidFill>
            </a:rPr>
            <a:t>$805</a:t>
          </a:r>
          <a:endParaRPr lang="en-US" sz="1400" b="1">
            <a:solidFill>
              <a:srgbClr val="FF0000"/>
            </a:solidFill>
          </a:endParaRPr>
        </a:p>
      </xdr:txBody>
    </xdr:sp>
    <xdr:clientData/>
  </xdr:twoCellAnchor>
  <xdr:twoCellAnchor>
    <xdr:from>
      <xdr:col>1</xdr:col>
      <xdr:colOff>0</xdr:colOff>
      <xdr:row>70</xdr:row>
      <xdr:rowOff>0</xdr:rowOff>
    </xdr:from>
    <xdr:to>
      <xdr:col>6</xdr:col>
      <xdr:colOff>152400</xdr:colOff>
      <xdr:row>87</xdr:row>
      <xdr:rowOff>44450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743C9959-8967-4722-B090-A52587602C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7</xdr:col>
      <xdr:colOff>501650</xdr:colOff>
      <xdr:row>70</xdr:row>
      <xdr:rowOff>38100</xdr:rowOff>
    </xdr:from>
    <xdr:to>
      <xdr:col>11</xdr:col>
      <xdr:colOff>546100</xdr:colOff>
      <xdr:row>86</xdr:row>
      <xdr:rowOff>50800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8CAF990B-50E6-44E7-BF24-90B5CF4D94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14</xdr:col>
      <xdr:colOff>0</xdr:colOff>
      <xdr:row>70</xdr:row>
      <xdr:rowOff>0</xdr:rowOff>
    </xdr:from>
    <xdr:to>
      <xdr:col>17</xdr:col>
      <xdr:colOff>520700</xdr:colOff>
      <xdr:row>85</xdr:row>
      <xdr:rowOff>82550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7DA7B56D-11F0-43C4-A854-58B3508723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</xdr:col>
      <xdr:colOff>419100</xdr:colOff>
      <xdr:row>76</xdr:row>
      <xdr:rowOff>57150</xdr:rowOff>
    </xdr:from>
    <xdr:to>
      <xdr:col>4</xdr:col>
      <xdr:colOff>247651</xdr:colOff>
      <xdr:row>78</xdr:row>
      <xdr:rowOff>69850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4FDC053C-EFD6-4505-B67E-640BFF87952E}"/>
            </a:ext>
          </a:extLst>
        </xdr:cNvPr>
        <xdr:cNvSpPr txBox="1"/>
      </xdr:nvSpPr>
      <xdr:spPr>
        <a:xfrm>
          <a:off x="1638300" y="12134850"/>
          <a:ext cx="1047751" cy="3302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SE" sz="1400" b="1" baseline="0">
              <a:solidFill>
                <a:srgbClr val="FF0000"/>
              </a:solidFill>
            </a:rPr>
            <a:t> $474</a:t>
          </a:r>
          <a:endParaRPr lang="en-US" sz="1400" b="1">
            <a:solidFill>
              <a:srgbClr val="FF0000"/>
            </a:solidFill>
          </a:endParaRPr>
        </a:p>
      </xdr:txBody>
    </xdr:sp>
    <xdr:clientData/>
  </xdr:twoCellAnchor>
  <xdr:twoCellAnchor>
    <xdr:from>
      <xdr:col>9</xdr:col>
      <xdr:colOff>19050</xdr:colOff>
      <xdr:row>75</xdr:row>
      <xdr:rowOff>152400</xdr:rowOff>
    </xdr:from>
    <xdr:to>
      <xdr:col>10</xdr:col>
      <xdr:colOff>457201</xdr:colOff>
      <xdr:row>78</xdr:row>
      <xdr:rowOff>6350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211E7DB2-0D3D-484C-AE40-D6DC9980A3C4}"/>
            </a:ext>
          </a:extLst>
        </xdr:cNvPr>
        <xdr:cNvSpPr txBox="1"/>
      </xdr:nvSpPr>
      <xdr:spPr>
        <a:xfrm>
          <a:off x="5505450" y="12071350"/>
          <a:ext cx="1047751" cy="3302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SE" sz="1400" b="1" baseline="0">
              <a:solidFill>
                <a:srgbClr val="FF0000"/>
              </a:solidFill>
            </a:rPr>
            <a:t> $267</a:t>
          </a:r>
          <a:endParaRPr lang="en-US" sz="1400" b="1">
            <a:solidFill>
              <a:srgbClr val="FF0000"/>
            </a:solidFill>
          </a:endParaRPr>
        </a:p>
      </xdr:txBody>
    </xdr:sp>
    <xdr:clientData/>
  </xdr:twoCellAnchor>
  <xdr:twoCellAnchor>
    <xdr:from>
      <xdr:col>15</xdr:col>
      <xdr:colOff>88900</xdr:colOff>
      <xdr:row>75</xdr:row>
      <xdr:rowOff>95250</xdr:rowOff>
    </xdr:from>
    <xdr:to>
      <xdr:col>16</xdr:col>
      <xdr:colOff>527051</xdr:colOff>
      <xdr:row>77</xdr:row>
      <xdr:rowOff>107950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E7935E0D-2DE0-4893-8325-A7F00DC8B079}"/>
            </a:ext>
          </a:extLst>
        </xdr:cNvPr>
        <xdr:cNvSpPr txBox="1"/>
      </xdr:nvSpPr>
      <xdr:spPr>
        <a:xfrm>
          <a:off x="9232900" y="12014200"/>
          <a:ext cx="1047751" cy="3302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SE" sz="1400" b="1" baseline="0">
              <a:solidFill>
                <a:srgbClr val="FF0000"/>
              </a:solidFill>
            </a:rPr>
            <a:t> $112</a:t>
          </a:r>
          <a:endParaRPr lang="en-US" sz="1400" b="1">
            <a:solidFill>
              <a:srgbClr val="FF0000"/>
            </a:solidFill>
          </a:endParaRPr>
        </a:p>
      </xdr:txBody>
    </xdr:sp>
    <xdr:clientData/>
  </xdr:twoCellAnchor>
  <xdr:twoCellAnchor>
    <xdr:from>
      <xdr:col>1</xdr:col>
      <xdr:colOff>38100</xdr:colOff>
      <xdr:row>47</xdr:row>
      <xdr:rowOff>76200</xdr:rowOff>
    </xdr:from>
    <xdr:to>
      <xdr:col>2</xdr:col>
      <xdr:colOff>476250</xdr:colOff>
      <xdr:row>48</xdr:row>
      <xdr:rowOff>139700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5B06C8E5-40E7-4F48-B9DA-DB8A6E9CDB2D}"/>
            </a:ext>
          </a:extLst>
        </xdr:cNvPr>
        <xdr:cNvSpPr txBox="1"/>
      </xdr:nvSpPr>
      <xdr:spPr>
        <a:xfrm>
          <a:off x="647700" y="7550150"/>
          <a:ext cx="1047750" cy="222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SE" sz="1200" b="1" kern="1200"/>
            <a:t>amd-fan+slr</a:t>
          </a:r>
          <a:endParaRPr lang="en-US" sz="1200" b="1" kern="1200"/>
        </a:p>
      </xdr:txBody>
    </xdr:sp>
    <xdr:clientData/>
  </xdr:twoCellAnchor>
  <xdr:twoCellAnchor>
    <xdr:from>
      <xdr:col>11</xdr:col>
      <xdr:colOff>82550</xdr:colOff>
      <xdr:row>46</xdr:row>
      <xdr:rowOff>114300</xdr:rowOff>
    </xdr:from>
    <xdr:to>
      <xdr:col>12</xdr:col>
      <xdr:colOff>520700</xdr:colOff>
      <xdr:row>48</xdr:row>
      <xdr:rowOff>19050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9A74C1DF-F8B6-4FBF-8B79-C6DDA7503A4A}"/>
            </a:ext>
          </a:extLst>
        </xdr:cNvPr>
        <xdr:cNvSpPr txBox="1"/>
      </xdr:nvSpPr>
      <xdr:spPr>
        <a:xfrm>
          <a:off x="6788150" y="7429500"/>
          <a:ext cx="1047750" cy="222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SE" sz="1200" b="1" kern="1200"/>
            <a:t>amd-fan+mc</a:t>
          </a:r>
          <a:endParaRPr lang="en-US" sz="1200" b="1" kern="1200"/>
        </a:p>
      </xdr:txBody>
    </xdr:sp>
    <xdr:clientData/>
  </xdr:twoCellAnchor>
  <xdr:twoCellAnchor>
    <xdr:from>
      <xdr:col>1</xdr:col>
      <xdr:colOff>25400</xdr:colOff>
      <xdr:row>70</xdr:row>
      <xdr:rowOff>31750</xdr:rowOff>
    </xdr:from>
    <xdr:to>
      <xdr:col>2</xdr:col>
      <xdr:colOff>463550</xdr:colOff>
      <xdr:row>71</xdr:row>
      <xdr:rowOff>95250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7339FC9D-BA6D-4787-B062-F65FECF49D07}"/>
            </a:ext>
          </a:extLst>
        </xdr:cNvPr>
        <xdr:cNvSpPr txBox="1"/>
      </xdr:nvSpPr>
      <xdr:spPr>
        <a:xfrm>
          <a:off x="635000" y="11156950"/>
          <a:ext cx="1047750" cy="222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SE" sz="1200" b="1" kern="1200"/>
            <a:t>ldrz-amd-ugr</a:t>
          </a:r>
          <a:endParaRPr lang="en-US" sz="1200" b="1" kern="1200"/>
        </a:p>
      </xdr:txBody>
    </xdr:sp>
    <xdr:clientData/>
  </xdr:twoCellAnchor>
  <xdr:twoCellAnchor>
    <xdr:from>
      <xdr:col>7</xdr:col>
      <xdr:colOff>546100</xdr:colOff>
      <xdr:row>70</xdr:row>
      <xdr:rowOff>50800</xdr:rowOff>
    </xdr:from>
    <xdr:to>
      <xdr:col>9</xdr:col>
      <xdr:colOff>374650</xdr:colOff>
      <xdr:row>71</xdr:row>
      <xdr:rowOff>114300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10B83767-6338-4E1C-B3BC-87CA93771434}"/>
            </a:ext>
          </a:extLst>
        </xdr:cNvPr>
        <xdr:cNvSpPr txBox="1"/>
      </xdr:nvSpPr>
      <xdr:spPr>
        <a:xfrm>
          <a:off x="4813300" y="11176000"/>
          <a:ext cx="1047750" cy="222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SE" sz="1200" b="1" kern="1200"/>
            <a:t>ldrz-amd-igr</a:t>
          </a:r>
          <a:endParaRPr lang="en-US" sz="1200" b="1" kern="1200"/>
        </a:p>
      </xdr:txBody>
    </xdr:sp>
    <xdr:clientData/>
  </xdr:twoCellAnchor>
  <xdr:twoCellAnchor>
    <xdr:from>
      <xdr:col>16</xdr:col>
      <xdr:colOff>44450</xdr:colOff>
      <xdr:row>70</xdr:row>
      <xdr:rowOff>31750</xdr:rowOff>
    </xdr:from>
    <xdr:to>
      <xdr:col>17</xdr:col>
      <xdr:colOff>482600</xdr:colOff>
      <xdr:row>71</xdr:row>
      <xdr:rowOff>95250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F0D33489-D5DA-4525-B6AB-1032853A6F3A}"/>
            </a:ext>
          </a:extLst>
        </xdr:cNvPr>
        <xdr:cNvSpPr txBox="1"/>
      </xdr:nvSpPr>
      <xdr:spPr>
        <a:xfrm>
          <a:off x="9798050" y="11156950"/>
          <a:ext cx="1047750" cy="222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SE" sz="1200" b="1" kern="1200"/>
            <a:t>ldrz-amd-uso</a:t>
          </a:r>
          <a:endParaRPr lang="en-US" sz="1200" b="1" kern="1200"/>
        </a:p>
      </xdr:txBody>
    </xdr:sp>
    <xdr:clientData/>
  </xdr:twoCellAnchor>
  <xdr:twoCellAnchor>
    <xdr:from>
      <xdr:col>1</xdr:col>
      <xdr:colOff>0</xdr:colOff>
      <xdr:row>93</xdr:row>
      <xdr:rowOff>76200</xdr:rowOff>
    </xdr:from>
    <xdr:to>
      <xdr:col>7</xdr:col>
      <xdr:colOff>182880</xdr:colOff>
      <xdr:row>111</xdr:row>
      <xdr:rowOff>144780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48A3A70E-F212-45D1-8236-06FD0B5038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0</xdr:colOff>
      <xdr:row>93</xdr:row>
      <xdr:rowOff>0</xdr:rowOff>
    </xdr:from>
    <xdr:to>
      <xdr:col>17</xdr:col>
      <xdr:colOff>120650</xdr:colOff>
      <xdr:row>114</xdr:row>
      <xdr:rowOff>44450</xdr:rowOff>
    </xdr:to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7DA4D7AD-D865-4161-A89C-A3B9685F03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</xdr:col>
      <xdr:colOff>0</xdr:colOff>
      <xdr:row>117</xdr:row>
      <xdr:rowOff>0</xdr:rowOff>
    </xdr:from>
    <xdr:to>
      <xdr:col>6</xdr:col>
      <xdr:colOff>152400</xdr:colOff>
      <xdr:row>134</xdr:row>
      <xdr:rowOff>44450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1F156ED5-F7A5-40EA-A922-797582D099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7</xdr:col>
      <xdr:colOff>266700</xdr:colOff>
      <xdr:row>117</xdr:row>
      <xdr:rowOff>0</xdr:rowOff>
    </xdr:from>
    <xdr:to>
      <xdr:col>12</xdr:col>
      <xdr:colOff>285750</xdr:colOff>
      <xdr:row>133</xdr:row>
      <xdr:rowOff>107950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DB408B60-1F86-4443-B04E-16AD97D479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14</xdr:col>
      <xdr:colOff>0</xdr:colOff>
      <xdr:row>117</xdr:row>
      <xdr:rowOff>0</xdr:rowOff>
    </xdr:from>
    <xdr:to>
      <xdr:col>17</xdr:col>
      <xdr:colOff>520700</xdr:colOff>
      <xdr:row>132</xdr:row>
      <xdr:rowOff>82550</xdr:rowOff>
    </xdr:to>
    <xdr:graphicFrame macro="">
      <xdr:nvGraphicFramePr>
        <xdr:cNvPr id="41" name="Chart 40">
          <a:extLst>
            <a:ext uri="{FF2B5EF4-FFF2-40B4-BE49-F238E27FC236}">
              <a16:creationId xmlns:a16="http://schemas.microsoft.com/office/drawing/2014/main" id="{091AFB97-15D2-473F-9631-1C9B69D03F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</xdr:col>
      <xdr:colOff>19050</xdr:colOff>
      <xdr:row>93</xdr:row>
      <xdr:rowOff>95250</xdr:rowOff>
    </xdr:from>
    <xdr:to>
      <xdr:col>2</xdr:col>
      <xdr:colOff>457200</xdr:colOff>
      <xdr:row>95</xdr:row>
      <xdr:rowOff>0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47417225-2EE6-41F0-923E-35CB4FD8BCAA}"/>
            </a:ext>
          </a:extLst>
        </xdr:cNvPr>
        <xdr:cNvSpPr txBox="1"/>
      </xdr:nvSpPr>
      <xdr:spPr>
        <a:xfrm>
          <a:off x="628650" y="14878050"/>
          <a:ext cx="1047750" cy="222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SE" sz="1200" b="1" kern="1200"/>
            <a:t>del-fan+slr</a:t>
          </a:r>
          <a:endParaRPr lang="en-US" sz="1200" b="1" kern="1200"/>
        </a:p>
      </xdr:txBody>
    </xdr:sp>
    <xdr:clientData/>
  </xdr:twoCellAnchor>
  <xdr:twoCellAnchor>
    <xdr:from>
      <xdr:col>11</xdr:col>
      <xdr:colOff>38100</xdr:colOff>
      <xdr:row>93</xdr:row>
      <xdr:rowOff>31750</xdr:rowOff>
    </xdr:from>
    <xdr:to>
      <xdr:col>12</xdr:col>
      <xdr:colOff>476250</xdr:colOff>
      <xdr:row>94</xdr:row>
      <xdr:rowOff>95250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21969EEC-2E6C-423B-AB48-3EA8DA688A51}"/>
            </a:ext>
          </a:extLst>
        </xdr:cNvPr>
        <xdr:cNvSpPr txBox="1"/>
      </xdr:nvSpPr>
      <xdr:spPr>
        <a:xfrm>
          <a:off x="6743700" y="14814550"/>
          <a:ext cx="1047750" cy="222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SE" sz="1200" b="1" kern="1200"/>
            <a:t>del-fan+mc</a:t>
          </a:r>
          <a:endParaRPr lang="en-US" sz="1200" b="1" kern="1200"/>
        </a:p>
      </xdr:txBody>
    </xdr:sp>
    <xdr:clientData/>
  </xdr:twoCellAnchor>
  <xdr:twoCellAnchor>
    <xdr:from>
      <xdr:col>1</xdr:col>
      <xdr:colOff>25400</xdr:colOff>
      <xdr:row>117</xdr:row>
      <xdr:rowOff>44450</xdr:rowOff>
    </xdr:from>
    <xdr:to>
      <xdr:col>2</xdr:col>
      <xdr:colOff>463550</xdr:colOff>
      <xdr:row>118</xdr:row>
      <xdr:rowOff>107950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19FBA1CD-BE2D-49B6-B4F6-D483DE6B15DB}"/>
            </a:ext>
          </a:extLst>
        </xdr:cNvPr>
        <xdr:cNvSpPr txBox="1"/>
      </xdr:nvSpPr>
      <xdr:spPr>
        <a:xfrm>
          <a:off x="635000" y="18637250"/>
          <a:ext cx="1047750" cy="222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SE" sz="1200" b="1" kern="1200"/>
            <a:t>ldrz-del-ugr</a:t>
          </a:r>
          <a:endParaRPr lang="en-US" sz="1200" b="1" kern="1200"/>
        </a:p>
      </xdr:txBody>
    </xdr:sp>
    <xdr:clientData/>
  </xdr:twoCellAnchor>
  <xdr:twoCellAnchor>
    <xdr:from>
      <xdr:col>7</xdr:col>
      <xdr:colOff>292100</xdr:colOff>
      <xdr:row>117</xdr:row>
      <xdr:rowOff>25400</xdr:rowOff>
    </xdr:from>
    <xdr:to>
      <xdr:col>9</xdr:col>
      <xdr:colOff>50800</xdr:colOff>
      <xdr:row>118</xdr:row>
      <xdr:rowOff>133350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974644A1-FCBE-47E1-BB3C-59258CF46E32}"/>
            </a:ext>
          </a:extLst>
        </xdr:cNvPr>
        <xdr:cNvSpPr txBox="1"/>
      </xdr:nvSpPr>
      <xdr:spPr>
        <a:xfrm>
          <a:off x="4559300" y="18618200"/>
          <a:ext cx="977900" cy="266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SE" sz="1200" b="1" kern="1200"/>
            <a:t>ldrz-del-ugr</a:t>
          </a:r>
          <a:endParaRPr lang="en-US" sz="1200" b="1" kern="1200"/>
        </a:p>
      </xdr:txBody>
    </xdr:sp>
    <xdr:clientData/>
  </xdr:twoCellAnchor>
  <xdr:twoCellAnchor>
    <xdr:from>
      <xdr:col>16</xdr:col>
      <xdr:colOff>50800</xdr:colOff>
      <xdr:row>117</xdr:row>
      <xdr:rowOff>6350</xdr:rowOff>
    </xdr:from>
    <xdr:to>
      <xdr:col>17</xdr:col>
      <xdr:colOff>488950</xdr:colOff>
      <xdr:row>118</xdr:row>
      <xdr:rowOff>69850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44F02238-31DE-4910-943C-73E71158270C}"/>
            </a:ext>
          </a:extLst>
        </xdr:cNvPr>
        <xdr:cNvSpPr txBox="1"/>
      </xdr:nvSpPr>
      <xdr:spPr>
        <a:xfrm>
          <a:off x="9804400" y="18599150"/>
          <a:ext cx="1047750" cy="222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SE" sz="1200" b="1" kern="1200"/>
            <a:t>ldrz-del-ugr</a:t>
          </a:r>
          <a:endParaRPr lang="en-US" sz="1200" b="1" kern="1200"/>
        </a:p>
      </xdr:txBody>
    </xdr:sp>
    <xdr:clientData/>
  </xdr:twoCellAnchor>
  <xdr:twoCellAnchor>
    <xdr:from>
      <xdr:col>3</xdr:col>
      <xdr:colOff>406400</xdr:colOff>
      <xdr:row>100</xdr:row>
      <xdr:rowOff>25400</xdr:rowOff>
    </xdr:from>
    <xdr:to>
      <xdr:col>4</xdr:col>
      <xdr:colOff>451757</xdr:colOff>
      <xdr:row>102</xdr:row>
      <xdr:rowOff>12700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A688E16E-9226-4F77-92A0-58DA7EA2808A}"/>
            </a:ext>
          </a:extLst>
        </xdr:cNvPr>
        <xdr:cNvSpPr txBox="1"/>
      </xdr:nvSpPr>
      <xdr:spPr>
        <a:xfrm>
          <a:off x="2235200" y="15919450"/>
          <a:ext cx="654957" cy="304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SE" sz="1400" b="1" baseline="0">
              <a:solidFill>
                <a:srgbClr val="FF0000"/>
              </a:solidFill>
            </a:rPr>
            <a:t>$558</a:t>
          </a:r>
          <a:endParaRPr lang="en-US" sz="1400" b="1">
            <a:solidFill>
              <a:srgbClr val="FF0000"/>
            </a:solidFill>
          </a:endParaRPr>
        </a:p>
      </xdr:txBody>
    </xdr:sp>
    <xdr:clientData/>
  </xdr:twoCellAnchor>
  <xdr:twoCellAnchor>
    <xdr:from>
      <xdr:col>13</xdr:col>
      <xdr:colOff>342900</xdr:colOff>
      <xdr:row>101</xdr:row>
      <xdr:rowOff>114300</xdr:rowOff>
    </xdr:from>
    <xdr:to>
      <xdr:col>14</xdr:col>
      <xdr:colOff>388257</xdr:colOff>
      <xdr:row>103</xdr:row>
      <xdr:rowOff>101600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6DE1742E-FD95-4AB2-A782-F42F49CA40EA}"/>
            </a:ext>
          </a:extLst>
        </xdr:cNvPr>
        <xdr:cNvSpPr txBox="1"/>
      </xdr:nvSpPr>
      <xdr:spPr>
        <a:xfrm>
          <a:off x="8267700" y="16167100"/>
          <a:ext cx="654957" cy="304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SE" sz="1400" b="1" baseline="0">
              <a:solidFill>
                <a:srgbClr val="FF0000"/>
              </a:solidFill>
            </a:rPr>
            <a:t>$803</a:t>
          </a:r>
          <a:endParaRPr lang="en-US" sz="1400" b="1">
            <a:solidFill>
              <a:srgbClr val="FF0000"/>
            </a:solidFill>
          </a:endParaRPr>
        </a:p>
      </xdr:txBody>
    </xdr:sp>
    <xdr:clientData/>
  </xdr:twoCellAnchor>
  <xdr:twoCellAnchor>
    <xdr:from>
      <xdr:col>3</xdr:col>
      <xdr:colOff>19050</xdr:colOff>
      <xdr:row>123</xdr:row>
      <xdr:rowOff>76200</xdr:rowOff>
    </xdr:from>
    <xdr:to>
      <xdr:col>4</xdr:col>
      <xdr:colOff>64407</xdr:colOff>
      <xdr:row>125</xdr:row>
      <xdr:rowOff>63500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4E5192B6-2F9C-4E0F-A8CD-BB3E7D46A1B3}"/>
            </a:ext>
          </a:extLst>
        </xdr:cNvPr>
        <xdr:cNvSpPr txBox="1"/>
      </xdr:nvSpPr>
      <xdr:spPr>
        <a:xfrm>
          <a:off x="1847850" y="19621500"/>
          <a:ext cx="654957" cy="304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SE" sz="1400" b="1" baseline="0">
              <a:solidFill>
                <a:srgbClr val="FF0000"/>
              </a:solidFill>
            </a:rPr>
            <a:t>$464</a:t>
          </a:r>
          <a:endParaRPr lang="en-US" sz="1400" b="1">
            <a:solidFill>
              <a:srgbClr val="FF0000"/>
            </a:solidFill>
          </a:endParaRPr>
        </a:p>
      </xdr:txBody>
    </xdr:sp>
    <xdr:clientData/>
  </xdr:twoCellAnchor>
  <xdr:twoCellAnchor>
    <xdr:from>
      <xdr:col>9</xdr:col>
      <xdr:colOff>260350</xdr:colOff>
      <xdr:row>123</xdr:row>
      <xdr:rowOff>44450</xdr:rowOff>
    </xdr:from>
    <xdr:to>
      <xdr:col>10</xdr:col>
      <xdr:colOff>305707</xdr:colOff>
      <xdr:row>125</xdr:row>
      <xdr:rowOff>31750</xdr:rowOff>
    </xdr:to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1A0A7E2C-3092-4D24-9A58-D0C02326EF53}"/>
            </a:ext>
          </a:extLst>
        </xdr:cNvPr>
        <xdr:cNvSpPr txBox="1"/>
      </xdr:nvSpPr>
      <xdr:spPr>
        <a:xfrm>
          <a:off x="5746750" y="19589750"/>
          <a:ext cx="654957" cy="304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SE" sz="1400" b="1" baseline="0">
              <a:solidFill>
                <a:srgbClr val="FF0000"/>
              </a:solidFill>
            </a:rPr>
            <a:t>$247</a:t>
          </a:r>
          <a:endParaRPr lang="en-US" sz="1400" b="1">
            <a:solidFill>
              <a:srgbClr val="FF0000"/>
            </a:solidFill>
          </a:endParaRPr>
        </a:p>
      </xdr:txBody>
    </xdr:sp>
    <xdr:clientData/>
  </xdr:twoCellAnchor>
  <xdr:twoCellAnchor>
    <xdr:from>
      <xdr:col>15</xdr:col>
      <xdr:colOff>228600</xdr:colOff>
      <xdr:row>122</xdr:row>
      <xdr:rowOff>82550</xdr:rowOff>
    </xdr:from>
    <xdr:to>
      <xdr:col>16</xdr:col>
      <xdr:colOff>273957</xdr:colOff>
      <xdr:row>124</xdr:row>
      <xdr:rowOff>69850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CBD2F77B-C251-49D9-B544-6D8D54ABBD88}"/>
            </a:ext>
          </a:extLst>
        </xdr:cNvPr>
        <xdr:cNvSpPr txBox="1"/>
      </xdr:nvSpPr>
      <xdr:spPr>
        <a:xfrm>
          <a:off x="9372600" y="19469100"/>
          <a:ext cx="654957" cy="304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SE" sz="1400" b="1" baseline="0">
              <a:solidFill>
                <a:srgbClr val="FF0000"/>
              </a:solidFill>
            </a:rPr>
            <a:t>$117</a:t>
          </a:r>
          <a:endParaRPr lang="en-US" sz="1400" b="1">
            <a:solidFill>
              <a:srgbClr val="FF0000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299677" cy="6073468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101FB8-2697-1DB3-D6D1-CA60742B896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0.10531</cdr:x>
      <cdr:y>0.39441</cdr:y>
    </cdr:from>
    <cdr:to>
      <cdr:x>0.94611</cdr:x>
      <cdr:y>0.78709</cdr:y>
    </cdr:to>
    <cdr:grpSp>
      <cdr:nvGrpSpPr>
        <cdr:cNvPr id="21" name="Group 20">
          <a:extLst xmlns:a="http://schemas.openxmlformats.org/drawingml/2006/main">
            <a:ext uri="{FF2B5EF4-FFF2-40B4-BE49-F238E27FC236}">
              <a16:creationId xmlns:a16="http://schemas.microsoft.com/office/drawing/2014/main" id="{097A78FD-94B4-52D3-58B2-76DBAC8D735E}"/>
            </a:ext>
          </a:extLst>
        </cdr:cNvPr>
        <cdr:cNvGrpSpPr/>
      </cdr:nvGrpSpPr>
      <cdr:grpSpPr>
        <a:xfrm xmlns:a="http://schemas.openxmlformats.org/drawingml/2006/main">
          <a:off x="979349" y="2395437"/>
          <a:ext cx="7819168" cy="2384929"/>
          <a:chOff x="978630" y="2393220"/>
          <a:chExt cx="7813738" cy="2382662"/>
        </a:xfrm>
      </cdr:grpSpPr>
      <cdr:sp macro="" textlink="">
        <cdr:nvSpPr>
          <cdr:cNvPr id="2" name="TextBox 1">
            <a:extLst xmlns:a="http://schemas.openxmlformats.org/drawingml/2006/main">
              <a:ext uri="{FF2B5EF4-FFF2-40B4-BE49-F238E27FC236}">
                <a16:creationId xmlns:a16="http://schemas.microsoft.com/office/drawing/2014/main" id="{8CDB64ED-764E-C9D8-C49C-93FB9E1FF884}"/>
              </a:ext>
            </a:extLst>
          </cdr:cNvPr>
          <cdr:cNvSpPr txBox="1"/>
        </cdr:nvSpPr>
        <cdr:spPr>
          <a:xfrm xmlns:a="http://schemas.openxmlformats.org/drawingml/2006/main">
            <a:off x="978630" y="4441830"/>
            <a:ext cx="672533" cy="270515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wrap="square" rtlCol="0"/>
          <a:lstStyle xmlns:a="http://schemas.openxmlformats.org/drawingml/2006/main"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ctr"/>
            <a:r>
              <a:rPr lang="en-SE" sz="1400" b="1">
                <a:solidFill>
                  <a:schemeClr val="tx1">
                    <a:lumMod val="95000"/>
                    <a:lumOff val="5000"/>
                  </a:schemeClr>
                </a:solidFill>
              </a:rPr>
              <a:t>$</a:t>
            </a:r>
            <a:r>
              <a:rPr lang="en-SE" sz="1400" b="1" baseline="0">
                <a:solidFill>
                  <a:schemeClr val="tx1">
                    <a:lumMod val="95000"/>
                    <a:lumOff val="5000"/>
                  </a:schemeClr>
                </a:solidFill>
              </a:rPr>
              <a:t> 21</a:t>
            </a:r>
            <a:endParaRPr lang="en-US" sz="1400" b="1">
              <a:solidFill>
                <a:schemeClr val="tx1">
                  <a:lumMod val="95000"/>
                  <a:lumOff val="5000"/>
                </a:schemeClr>
              </a:solidFill>
            </a:endParaRPr>
          </a:p>
        </cdr:txBody>
      </cdr:sp>
      <cdr:sp macro="" textlink="">
        <cdr:nvSpPr>
          <cdr:cNvPr id="3" name="TextBox 1">
            <a:extLst xmlns:a="http://schemas.openxmlformats.org/drawingml/2006/main">
              <a:ext uri="{FF2B5EF4-FFF2-40B4-BE49-F238E27FC236}">
                <a16:creationId xmlns:a16="http://schemas.microsoft.com/office/drawing/2014/main" id="{CDB9A593-6E0B-9BC8-43AE-B3BC1D2CCAC8}"/>
              </a:ext>
            </a:extLst>
          </cdr:cNvPr>
          <cdr:cNvSpPr txBox="1"/>
        </cdr:nvSpPr>
        <cdr:spPr>
          <a:xfrm xmlns:a="http://schemas.openxmlformats.org/drawingml/2006/main">
            <a:off x="1718969" y="4543136"/>
            <a:ext cx="461417" cy="232746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wrap="square" rtlCol="0"/>
          <a:lstStyle xmlns:a="http://schemas.openxmlformats.org/drawingml/2006/main"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ctr"/>
            <a:r>
              <a:rPr lang="en-SE" sz="1400" b="1">
                <a:solidFill>
                  <a:schemeClr val="tx1">
                    <a:lumMod val="95000"/>
                    <a:lumOff val="5000"/>
                  </a:schemeClr>
                </a:solidFill>
              </a:rPr>
              <a:t>$ </a:t>
            </a:r>
            <a:r>
              <a:rPr lang="en-SE" sz="1400" b="1" baseline="0">
                <a:solidFill>
                  <a:schemeClr val="tx1">
                    <a:lumMod val="95000"/>
                    <a:lumOff val="5000"/>
                  </a:schemeClr>
                </a:solidFill>
              </a:rPr>
              <a:t>7</a:t>
            </a:r>
            <a:endParaRPr lang="en-US" sz="1400" b="1">
              <a:solidFill>
                <a:schemeClr val="tx1">
                  <a:lumMod val="95000"/>
                  <a:lumOff val="5000"/>
                </a:schemeClr>
              </a:solidFill>
            </a:endParaRPr>
          </a:p>
        </cdr:txBody>
      </cdr:sp>
      <cdr:sp macro="" textlink="">
        <cdr:nvSpPr>
          <cdr:cNvPr id="12" name="TextBox 1">
            <a:extLst xmlns:a="http://schemas.openxmlformats.org/drawingml/2006/main">
              <a:ext uri="{FF2B5EF4-FFF2-40B4-BE49-F238E27FC236}">
                <a16:creationId xmlns:a16="http://schemas.microsoft.com/office/drawing/2014/main" id="{0ED172DD-D28E-2197-29A9-F58AD27BF097}"/>
              </a:ext>
            </a:extLst>
          </cdr:cNvPr>
          <cdr:cNvSpPr txBox="1"/>
        </cdr:nvSpPr>
        <cdr:spPr>
          <a:xfrm xmlns:a="http://schemas.openxmlformats.org/drawingml/2006/main">
            <a:off x="3219761" y="4475418"/>
            <a:ext cx="845714" cy="297629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wrap="square" rtlCol="0"/>
          <a:lstStyle xmlns:a="http://schemas.openxmlformats.org/drawingml/2006/main"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ctr"/>
            <a:r>
              <a:rPr lang="en-SE" sz="1400" b="1">
                <a:solidFill>
                  <a:schemeClr val="tx1">
                    <a:lumMod val="95000"/>
                    <a:lumOff val="5000"/>
                  </a:schemeClr>
                </a:solidFill>
              </a:rPr>
              <a:t>$ </a:t>
            </a:r>
            <a:r>
              <a:rPr lang="en-SE" sz="1400" b="1" baseline="0">
                <a:solidFill>
                  <a:schemeClr val="tx1">
                    <a:lumMod val="95000"/>
                    <a:lumOff val="5000"/>
                  </a:schemeClr>
                </a:solidFill>
              </a:rPr>
              <a:t>21</a:t>
            </a:r>
            <a:endParaRPr lang="en-US" sz="1400" b="1">
              <a:solidFill>
                <a:schemeClr val="tx1">
                  <a:lumMod val="95000"/>
                  <a:lumOff val="5000"/>
                </a:schemeClr>
              </a:solidFill>
            </a:endParaRPr>
          </a:p>
        </cdr:txBody>
      </cdr:sp>
      <cdr:sp macro="" textlink="">
        <cdr:nvSpPr>
          <cdr:cNvPr id="13" name="TextBox 1">
            <a:extLst xmlns:a="http://schemas.openxmlformats.org/drawingml/2006/main">
              <a:ext uri="{FF2B5EF4-FFF2-40B4-BE49-F238E27FC236}">
                <a16:creationId xmlns:a16="http://schemas.microsoft.com/office/drawing/2014/main" id="{0ED172DD-D28E-2197-29A9-F58AD27BF097}"/>
              </a:ext>
            </a:extLst>
          </cdr:cNvPr>
          <cdr:cNvSpPr txBox="1"/>
        </cdr:nvSpPr>
        <cdr:spPr>
          <a:xfrm xmlns:a="http://schemas.openxmlformats.org/drawingml/2006/main">
            <a:off x="3912316" y="3254608"/>
            <a:ext cx="652093" cy="250271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wrap="square" rtlCol="0"/>
          <a:lstStyle xmlns:a="http://schemas.openxmlformats.org/drawingml/2006/main"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ctr"/>
            <a:r>
              <a:rPr lang="en-SE" sz="1400" b="1">
                <a:solidFill>
                  <a:schemeClr val="tx1">
                    <a:lumMod val="95000"/>
                    <a:lumOff val="5000"/>
                  </a:schemeClr>
                </a:solidFill>
              </a:rPr>
              <a:t>$ </a:t>
            </a:r>
            <a:r>
              <a:rPr lang="en-SE" sz="1400" b="1" baseline="0">
                <a:solidFill>
                  <a:schemeClr val="tx1">
                    <a:lumMod val="95000"/>
                    <a:lumOff val="5000"/>
                  </a:schemeClr>
                </a:solidFill>
              </a:rPr>
              <a:t>253</a:t>
            </a:r>
            <a:endParaRPr lang="en-US" sz="1400" b="1">
              <a:solidFill>
                <a:schemeClr val="tx1">
                  <a:lumMod val="95000"/>
                  <a:lumOff val="5000"/>
                </a:schemeClr>
              </a:solidFill>
            </a:endParaRPr>
          </a:p>
        </cdr:txBody>
      </cdr:sp>
      <cdr:sp macro="" textlink="">
        <cdr:nvSpPr>
          <cdr:cNvPr id="14" name="TextBox 1">
            <a:extLst xmlns:a="http://schemas.openxmlformats.org/drawingml/2006/main">
              <a:ext uri="{FF2B5EF4-FFF2-40B4-BE49-F238E27FC236}">
                <a16:creationId xmlns:a16="http://schemas.microsoft.com/office/drawing/2014/main" id="{0ED172DD-D28E-2197-29A9-F58AD27BF097}"/>
              </a:ext>
            </a:extLst>
          </cdr:cNvPr>
          <cdr:cNvSpPr txBox="1"/>
        </cdr:nvSpPr>
        <cdr:spPr>
          <a:xfrm xmlns:a="http://schemas.openxmlformats.org/drawingml/2006/main">
            <a:off x="5575367" y="2393220"/>
            <a:ext cx="845714" cy="297629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wrap="square" rtlCol="0"/>
          <a:lstStyle xmlns:a="http://schemas.openxmlformats.org/drawingml/2006/main"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ctr"/>
            <a:r>
              <a:rPr lang="en-SE" sz="1400" b="1">
                <a:solidFill>
                  <a:schemeClr val="tx1">
                    <a:lumMod val="95000"/>
                    <a:lumOff val="5000"/>
                  </a:schemeClr>
                </a:solidFill>
              </a:rPr>
              <a:t>$ </a:t>
            </a:r>
            <a:r>
              <a:rPr lang="en-SE" sz="1400" b="1" baseline="0">
                <a:solidFill>
                  <a:schemeClr val="tx1">
                    <a:lumMod val="95000"/>
                    <a:lumOff val="5000"/>
                  </a:schemeClr>
                </a:solidFill>
              </a:rPr>
              <a:t>409</a:t>
            </a:r>
            <a:endParaRPr lang="en-US" sz="1400" b="1">
              <a:solidFill>
                <a:schemeClr val="tx1">
                  <a:lumMod val="95000"/>
                  <a:lumOff val="5000"/>
                </a:schemeClr>
              </a:solidFill>
            </a:endParaRPr>
          </a:p>
        </cdr:txBody>
      </cdr:sp>
      <cdr:sp macro="" textlink="">
        <cdr:nvSpPr>
          <cdr:cNvPr id="15" name="TextBox 1">
            <a:extLst xmlns:a="http://schemas.openxmlformats.org/drawingml/2006/main">
              <a:ext uri="{FF2B5EF4-FFF2-40B4-BE49-F238E27FC236}">
                <a16:creationId xmlns:a16="http://schemas.microsoft.com/office/drawing/2014/main" id="{0ED172DD-D28E-2197-29A9-F58AD27BF097}"/>
              </a:ext>
            </a:extLst>
          </cdr:cNvPr>
          <cdr:cNvSpPr txBox="1"/>
        </cdr:nvSpPr>
        <cdr:spPr>
          <a:xfrm xmlns:a="http://schemas.openxmlformats.org/drawingml/2006/main">
            <a:off x="6763768" y="3399826"/>
            <a:ext cx="845714" cy="297629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wrap="square" rtlCol="0"/>
          <a:lstStyle xmlns:a="http://schemas.openxmlformats.org/drawingml/2006/main"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ctr"/>
            <a:r>
              <a:rPr lang="en-SE" sz="1400" b="1">
                <a:solidFill>
                  <a:schemeClr val="tx1">
                    <a:lumMod val="95000"/>
                    <a:lumOff val="5000"/>
                  </a:schemeClr>
                </a:solidFill>
              </a:rPr>
              <a:t>$ </a:t>
            </a:r>
            <a:r>
              <a:rPr lang="en-SE" sz="1400" b="1" baseline="0">
                <a:solidFill>
                  <a:schemeClr val="tx1">
                    <a:lumMod val="95000"/>
                    <a:lumOff val="5000"/>
                  </a:schemeClr>
                </a:solidFill>
              </a:rPr>
              <a:t>222</a:t>
            </a:r>
            <a:endParaRPr lang="en-US" sz="1400" b="1">
              <a:solidFill>
                <a:schemeClr val="tx1">
                  <a:lumMod val="95000"/>
                  <a:lumOff val="5000"/>
                </a:schemeClr>
              </a:solidFill>
            </a:endParaRPr>
          </a:p>
        </cdr:txBody>
      </cdr:sp>
      <cdr:sp macro="" textlink="">
        <cdr:nvSpPr>
          <cdr:cNvPr id="16" name="TextBox 1">
            <a:extLst xmlns:a="http://schemas.openxmlformats.org/drawingml/2006/main">
              <a:ext uri="{FF2B5EF4-FFF2-40B4-BE49-F238E27FC236}">
                <a16:creationId xmlns:a16="http://schemas.microsoft.com/office/drawing/2014/main" id="{0ED172DD-D28E-2197-29A9-F58AD27BF097}"/>
              </a:ext>
            </a:extLst>
          </cdr:cNvPr>
          <cdr:cNvSpPr txBox="1"/>
        </cdr:nvSpPr>
        <cdr:spPr>
          <a:xfrm xmlns:a="http://schemas.openxmlformats.org/drawingml/2006/main">
            <a:off x="7948552" y="3928940"/>
            <a:ext cx="843816" cy="309060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wrap="square" rtlCol="0"/>
          <a:lstStyle xmlns:a="http://schemas.openxmlformats.org/drawingml/2006/main"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ctr"/>
            <a:r>
              <a:rPr lang="en-SE" sz="1400" b="1">
                <a:solidFill>
                  <a:schemeClr val="tx1">
                    <a:lumMod val="95000"/>
                    <a:lumOff val="5000"/>
                  </a:schemeClr>
                </a:solidFill>
              </a:rPr>
              <a:t>$ </a:t>
            </a:r>
            <a:r>
              <a:rPr lang="en-SE" sz="1400" b="1" baseline="0">
                <a:solidFill>
                  <a:schemeClr val="tx1">
                    <a:lumMod val="95000"/>
                    <a:lumOff val="5000"/>
                  </a:schemeClr>
                </a:solidFill>
              </a:rPr>
              <a:t>119</a:t>
            </a:r>
            <a:endParaRPr lang="en-US" sz="1400" b="1">
              <a:solidFill>
                <a:schemeClr val="tx1">
                  <a:lumMod val="95000"/>
                  <a:lumOff val="5000"/>
                </a:schemeClr>
              </a:solidFill>
            </a:endParaRPr>
          </a:p>
        </cdr:txBody>
      </cdr:sp>
    </cdr:grpSp>
  </cdr:relSizeAnchor>
  <cdr:relSizeAnchor xmlns:cdr="http://schemas.openxmlformats.org/drawingml/2006/chartDrawing">
    <cdr:from>
      <cdr:x>0.4533</cdr:x>
      <cdr:y>0.0429</cdr:y>
    </cdr:from>
    <cdr:to>
      <cdr:x>0.5866</cdr:x>
      <cdr:y>0.11924</cdr:y>
    </cdr:to>
    <cdr:sp macro="" textlink="">
      <cdr:nvSpPr>
        <cdr:cNvPr id="10" name="TextBox 1">
          <a:extLst xmlns:a="http://schemas.openxmlformats.org/drawingml/2006/main">
            <a:ext uri="{FF2B5EF4-FFF2-40B4-BE49-F238E27FC236}">
              <a16:creationId xmlns:a16="http://schemas.microsoft.com/office/drawing/2014/main" id="{67515B0A-A3D8-13FD-273E-6F409817FBEA}"/>
            </a:ext>
          </a:extLst>
        </cdr:cNvPr>
        <cdr:cNvSpPr txBox="1"/>
      </cdr:nvSpPr>
      <cdr:spPr>
        <a:xfrm xmlns:a="http://schemas.openxmlformats.org/drawingml/2006/main">
          <a:off x="4208493" y="260180"/>
          <a:ext cx="1237576" cy="46302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SE" sz="1400" b="1">
              <a:solidFill>
                <a:schemeClr val="tx1">
                  <a:lumMod val="95000"/>
                  <a:lumOff val="5000"/>
                </a:schemeClr>
              </a:solidFill>
            </a:rPr>
            <a:t>$ </a:t>
          </a:r>
          <a:r>
            <a:rPr lang="en-SE" sz="1400" b="1" baseline="0">
              <a:solidFill>
                <a:schemeClr val="tx1">
                  <a:lumMod val="95000"/>
                  <a:lumOff val="5000"/>
                </a:schemeClr>
              </a:solidFill>
            </a:rPr>
            <a:t>786</a:t>
          </a:r>
        </a:p>
        <a:p xmlns:a="http://schemas.openxmlformats.org/drawingml/2006/main">
          <a:pPr algn="ctr"/>
          <a:r>
            <a:rPr lang="en-SE" sz="1400" b="1" baseline="0">
              <a:solidFill>
                <a:schemeClr val="tx1">
                  <a:lumMod val="95000"/>
                  <a:lumOff val="5000"/>
                </a:schemeClr>
              </a:solidFill>
            </a:rPr>
            <a:t>(3 Cases Max)</a:t>
          </a:r>
          <a:endParaRPr lang="en-US" sz="1400" b="1">
            <a:solidFill>
              <a:schemeClr val="tx1">
                <a:lumMod val="95000"/>
                <a:lumOff val="5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0.1981</cdr:x>
      <cdr:y>0.0551</cdr:y>
    </cdr:from>
    <cdr:to>
      <cdr:x>0.32889</cdr:x>
      <cdr:y>0.13144</cdr:y>
    </cdr:to>
    <cdr:sp macro="" textlink="">
      <cdr:nvSpPr>
        <cdr:cNvPr id="17" name="TextBox 1">
          <a:extLst xmlns:a="http://schemas.openxmlformats.org/drawingml/2006/main">
            <a:ext uri="{FF2B5EF4-FFF2-40B4-BE49-F238E27FC236}">
              <a16:creationId xmlns:a16="http://schemas.microsoft.com/office/drawing/2014/main" id="{67515B0A-A3D8-13FD-273E-6F409817FBEA}"/>
            </a:ext>
          </a:extLst>
        </cdr:cNvPr>
        <cdr:cNvSpPr txBox="1"/>
      </cdr:nvSpPr>
      <cdr:spPr>
        <a:xfrm xmlns:a="http://schemas.openxmlformats.org/drawingml/2006/main">
          <a:off x="1839201" y="334210"/>
          <a:ext cx="1214273" cy="46302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SE" sz="1400" b="1">
              <a:solidFill>
                <a:schemeClr val="tx1">
                  <a:lumMod val="95000"/>
                  <a:lumOff val="5000"/>
                </a:schemeClr>
              </a:solidFill>
            </a:rPr>
            <a:t>$ </a:t>
          </a:r>
          <a:r>
            <a:rPr lang="en-SE" sz="1400" b="1" baseline="0">
              <a:solidFill>
                <a:schemeClr val="tx1">
                  <a:lumMod val="95000"/>
                  <a:lumOff val="5000"/>
                </a:schemeClr>
              </a:solidFill>
            </a:rPr>
            <a:t>786</a:t>
          </a:r>
        </a:p>
        <a:p xmlns:a="http://schemas.openxmlformats.org/drawingml/2006/main">
          <a:pPr algn="ctr"/>
          <a:r>
            <a:rPr lang="en-SE" sz="1400" b="1" baseline="0">
              <a:solidFill>
                <a:schemeClr val="tx1">
                  <a:lumMod val="95000"/>
                  <a:lumOff val="5000"/>
                </a:schemeClr>
              </a:solidFill>
            </a:rPr>
            <a:t>(3 Cases Max)</a:t>
          </a:r>
          <a:endParaRPr lang="en-US" sz="1400" b="1">
            <a:solidFill>
              <a:schemeClr val="tx1">
                <a:lumMod val="95000"/>
                <a:lumOff val="5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0.17308</cdr:x>
      <cdr:y>0.26271</cdr:y>
    </cdr:from>
    <cdr:to>
      <cdr:x>0.27822</cdr:x>
      <cdr:y>0.33905</cdr:y>
    </cdr:to>
    <cdr:sp macro="" textlink="">
      <cdr:nvSpPr>
        <cdr:cNvPr id="19" name="TextBox 1">
          <a:extLst xmlns:a="http://schemas.openxmlformats.org/drawingml/2006/main">
            <a:ext uri="{FF2B5EF4-FFF2-40B4-BE49-F238E27FC236}">
              <a16:creationId xmlns:a16="http://schemas.microsoft.com/office/drawing/2014/main" id="{233A4C36-0DAF-029B-9A9F-6C7E5C1695C5}"/>
            </a:ext>
          </a:extLst>
        </cdr:cNvPr>
        <cdr:cNvSpPr txBox="1"/>
      </cdr:nvSpPr>
      <cdr:spPr>
        <a:xfrm xmlns:a="http://schemas.openxmlformats.org/drawingml/2006/main">
          <a:off x="1606906" y="1593429"/>
          <a:ext cx="976134" cy="46302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SE" sz="1400" b="1">
              <a:solidFill>
                <a:schemeClr val="tx1">
                  <a:lumMod val="95000"/>
                  <a:lumOff val="5000"/>
                </a:schemeClr>
              </a:solidFill>
            </a:rPr>
            <a:t>$ </a:t>
          </a:r>
          <a:r>
            <a:rPr lang="en-SE" sz="1400" b="1" baseline="0">
              <a:solidFill>
                <a:schemeClr val="tx1">
                  <a:lumMod val="95000"/>
                  <a:lumOff val="5000"/>
                </a:schemeClr>
              </a:solidFill>
            </a:rPr>
            <a:t>524</a:t>
          </a:r>
        </a:p>
        <a:p xmlns:a="http://schemas.openxmlformats.org/drawingml/2006/main">
          <a:pPr algn="ctr"/>
          <a:r>
            <a:rPr lang="en-SE" sz="1400" b="1" baseline="0">
              <a:solidFill>
                <a:schemeClr val="tx1">
                  <a:lumMod val="95000"/>
                  <a:lumOff val="5000"/>
                </a:schemeClr>
              </a:solidFill>
            </a:rPr>
            <a:t>(2 Cases)</a:t>
          </a:r>
          <a:endParaRPr lang="en-US" sz="1400" b="1">
            <a:solidFill>
              <a:schemeClr val="tx1">
                <a:lumMod val="95000"/>
                <a:lumOff val="5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0.42247</cdr:x>
      <cdr:y>0.26604</cdr:y>
    </cdr:from>
    <cdr:to>
      <cdr:x>0.53629</cdr:x>
      <cdr:y>0.34238</cdr:y>
    </cdr:to>
    <cdr:sp macro="" textlink="">
      <cdr:nvSpPr>
        <cdr:cNvPr id="24" name="TextBox 1">
          <a:extLst xmlns:a="http://schemas.openxmlformats.org/drawingml/2006/main">
            <a:ext uri="{FF2B5EF4-FFF2-40B4-BE49-F238E27FC236}">
              <a16:creationId xmlns:a16="http://schemas.microsoft.com/office/drawing/2014/main" id="{6FB254F9-1028-8BC8-0A8B-DEF3C6120CA7}"/>
            </a:ext>
          </a:extLst>
        </cdr:cNvPr>
        <cdr:cNvSpPr txBox="1"/>
      </cdr:nvSpPr>
      <cdr:spPr>
        <a:xfrm xmlns:a="http://schemas.openxmlformats.org/drawingml/2006/main">
          <a:off x="3922283" y="1613598"/>
          <a:ext cx="1056721" cy="46302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SE" sz="1400" b="1">
              <a:solidFill>
                <a:schemeClr val="tx1">
                  <a:lumMod val="95000"/>
                  <a:lumOff val="5000"/>
                </a:schemeClr>
              </a:solidFill>
            </a:rPr>
            <a:t>$</a:t>
          </a:r>
          <a:r>
            <a:rPr lang="en-SE" sz="1400" b="1" baseline="0">
              <a:solidFill>
                <a:schemeClr val="tx1">
                  <a:lumMod val="95000"/>
                  <a:lumOff val="5000"/>
                </a:schemeClr>
              </a:solidFill>
            </a:rPr>
            <a:t> 524</a:t>
          </a:r>
        </a:p>
        <a:p xmlns:a="http://schemas.openxmlformats.org/drawingml/2006/main">
          <a:pPr algn="ctr"/>
          <a:r>
            <a:rPr lang="en-SE" sz="1400" b="1" baseline="0">
              <a:solidFill>
                <a:schemeClr val="tx1">
                  <a:lumMod val="95000"/>
                  <a:lumOff val="5000"/>
                </a:schemeClr>
              </a:solidFill>
            </a:rPr>
            <a:t>(2 Cases)</a:t>
          </a:r>
          <a:endParaRPr lang="en-US" sz="1400" b="1">
            <a:solidFill>
              <a:schemeClr val="tx1">
                <a:lumMod val="95000"/>
                <a:lumOff val="5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</cdr:x>
      <cdr:y>2.60543E-5</cdr:y>
    </cdr:from>
    <cdr:to>
      <cdr:x>0</cdr:x>
      <cdr:y>2.60543E-5</cdr:y>
    </cdr:to>
    <cdr:grpSp>
      <cdr:nvGrpSpPr>
        <cdr:cNvPr id="5" name="Group 4">
          <a:extLst xmlns:a="http://schemas.openxmlformats.org/drawingml/2006/main">
            <a:ext uri="{FF2B5EF4-FFF2-40B4-BE49-F238E27FC236}">
              <a16:creationId xmlns:a16="http://schemas.microsoft.com/office/drawing/2014/main" id="{07468A61-661D-90E0-7397-5CC2B419B06F}"/>
            </a:ext>
          </a:extLst>
        </cdr:cNvPr>
        <cdr:cNvGrpSpPr/>
      </cdr:nvGrpSpPr>
      <cdr:grpSpPr>
        <a:xfrm xmlns:a="http://schemas.openxmlformats.org/drawingml/2006/main">
          <a:off x="0" y="158"/>
          <a:ext cx="0" cy="0"/>
          <a:chOff x="0" y="158"/>
          <a:chExt cx="0" cy="0"/>
        </a:xfrm>
      </cdr:grpSpPr>
      <cdr:grpSp>
        <cdr:nvGrpSpPr>
          <cdr:cNvPr id="25" name="Group 24">
            <a:extLst xmlns:a="http://schemas.openxmlformats.org/drawingml/2006/main">
              <a:ext uri="{FF2B5EF4-FFF2-40B4-BE49-F238E27FC236}">
                <a16:creationId xmlns:a16="http://schemas.microsoft.com/office/drawing/2014/main" id="{FF334C0B-17EF-4C54-F36F-A178449C535D}"/>
              </a:ext>
            </a:extLst>
          </cdr:cNvPr>
          <cdr:cNvGrpSpPr/>
        </cdr:nvGrpSpPr>
        <cdr:grpSpPr>
          <a:xfrm xmlns:a="http://schemas.openxmlformats.org/drawingml/2006/main">
            <a:off x="-26" y="-35"/>
            <a:ext cx="0" cy="0"/>
            <a:chOff x="-26" y="96"/>
            <a:chExt cx="0" cy="0"/>
          </a:xfrm>
        </cdr:grpSpPr>
        <cdr:grpSp>
          <cdr:nvGrpSpPr>
            <cdr:cNvPr id="110" name="Group 109">
              <a:extLst xmlns:a="http://schemas.openxmlformats.org/drawingml/2006/main">
                <a:ext uri="{FF2B5EF4-FFF2-40B4-BE49-F238E27FC236}">
                  <a16:creationId xmlns:a16="http://schemas.microsoft.com/office/drawing/2014/main" id="{DB90C276-D676-99E1-F0FD-CEF7B85B5298}"/>
                </a:ext>
              </a:extLst>
            </cdr:cNvPr>
            <cdr:cNvGrpSpPr/>
          </cdr:nvGrpSpPr>
          <cdr:grpSpPr>
            <a:xfrm xmlns:a="http://schemas.openxmlformats.org/drawingml/2006/main">
              <a:off x="-26" y="96"/>
              <a:ext cx="0" cy="0"/>
              <a:chOff x="16" y="0"/>
              <a:chExt cx="0" cy="0"/>
            </a:xfrm>
          </cdr:grpSpPr>
          <cdr:grpSp>
            <cdr:nvGrpSpPr>
              <cdr:cNvPr id="63" name="Group 62">
                <a:extLst xmlns:a="http://schemas.openxmlformats.org/drawingml/2006/main">
                  <a:ext uri="{FF2B5EF4-FFF2-40B4-BE49-F238E27FC236}">
                    <a16:creationId xmlns:a16="http://schemas.microsoft.com/office/drawing/2014/main" id="{7297EF43-30BE-E10C-DB8B-C758879F0E1F}"/>
                  </a:ext>
                </a:extLst>
              </cdr:cNvPr>
              <cdr:cNvGrpSpPr/>
            </cdr:nvGrpSpPr>
            <cdr:grpSpPr>
              <a:xfrm xmlns:a="http://schemas.openxmlformats.org/drawingml/2006/main">
                <a:off x="16" y="0"/>
                <a:ext cx="0" cy="0"/>
                <a:chOff x="16" y="0"/>
                <a:chExt cx="0" cy="0"/>
              </a:xfrm>
            </cdr:grpSpPr>
          </cdr:grpSp>
        </cdr:grpSp>
      </cdr:grpSp>
    </cdr:grpSp>
  </cdr:relSizeAnchor>
  <cdr:relSizeAnchor xmlns:cdr="http://schemas.openxmlformats.org/drawingml/2006/chartDrawing">
    <cdr:from>
      <cdr:x>0.12573</cdr:x>
      <cdr:y>0.69178</cdr:y>
    </cdr:from>
    <cdr:to>
      <cdr:x>0.15827</cdr:x>
      <cdr:y>0.74072</cdr:y>
    </cdr:to>
    <cdr:pic>
      <cdr:nvPicPr>
        <cdr:cNvPr id="9" name="Picture 8" descr="A fan with a black background&#10;&#10;AI-generated content may be incorrect.">
          <a:extLst xmlns:a="http://schemas.openxmlformats.org/drawingml/2006/main">
            <a:ext uri="{FF2B5EF4-FFF2-40B4-BE49-F238E27FC236}">
              <a16:creationId xmlns:a16="http://schemas.microsoft.com/office/drawing/2014/main" id="{85125C76-BD9F-F644-5215-0274C70F75E5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1167302" y="4195887"/>
          <a:ext cx="302106" cy="296838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0.19174</cdr:x>
      <cdr:y>0.7022</cdr:y>
    </cdr:from>
    <cdr:to>
      <cdr:x>0.22547</cdr:x>
      <cdr:y>0.75292</cdr:y>
    </cdr:to>
    <cdr:pic>
      <cdr:nvPicPr>
        <cdr:cNvPr id="11" name="Picture 10" descr="A green spray bottle with a bug in the middle&#10;&#10;AI-generated content may be incorrect.">
          <a:extLst xmlns:a="http://schemas.openxmlformats.org/drawingml/2006/main">
            <a:ext uri="{FF2B5EF4-FFF2-40B4-BE49-F238E27FC236}">
              <a16:creationId xmlns:a16="http://schemas.microsoft.com/office/drawing/2014/main" id="{05330598-14C0-F816-3922-A152050A9C5F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1780148" y="4259086"/>
          <a:ext cx="313154" cy="307635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0.14086</cdr:x>
      <cdr:y>0.79413</cdr:y>
    </cdr:from>
    <cdr:to>
      <cdr:x>0.30965</cdr:x>
      <cdr:y>0.8608</cdr:y>
    </cdr:to>
    <cdr:sp macro="" textlink="">
      <cdr:nvSpPr>
        <cdr:cNvPr id="18" name="TextBox 1">
          <a:extLst xmlns:a="http://schemas.openxmlformats.org/drawingml/2006/main">
            <a:ext uri="{FF2B5EF4-FFF2-40B4-BE49-F238E27FC236}">
              <a16:creationId xmlns:a16="http://schemas.microsoft.com/office/drawing/2014/main" id="{3AE895D2-32B7-C7ED-3975-AC458C8ACB23}"/>
            </a:ext>
          </a:extLst>
        </cdr:cNvPr>
        <cdr:cNvSpPr txBox="1"/>
      </cdr:nvSpPr>
      <cdr:spPr>
        <a:xfrm xmlns:a="http://schemas.openxmlformats.org/drawingml/2006/main">
          <a:off x="1309909" y="4823096"/>
          <a:ext cx="1569692" cy="40491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SE" sz="1800" b="1" baseline="0">
              <a:solidFill>
                <a:schemeClr val="tx1">
                  <a:lumMod val="95000"/>
                  <a:lumOff val="5000"/>
                </a:schemeClr>
              </a:solidFill>
            </a:rPr>
            <a:t>SHC</a:t>
          </a:r>
          <a:r>
            <a:rPr lang="en-SE" sz="1800" b="1" baseline="-25000">
              <a:solidFill>
                <a:schemeClr val="tx1">
                  <a:lumMod val="95000"/>
                  <a:lumOff val="5000"/>
                </a:schemeClr>
              </a:solidFill>
            </a:rPr>
            <a:t>chn-fan+slr</a:t>
          </a:r>
        </a:p>
      </cdr:txBody>
    </cdr:sp>
  </cdr:relSizeAnchor>
  <cdr:relSizeAnchor xmlns:cdr="http://schemas.openxmlformats.org/drawingml/2006/chartDrawing">
    <cdr:from>
      <cdr:x>0.39609</cdr:x>
      <cdr:y>0.79593</cdr:y>
    </cdr:from>
    <cdr:to>
      <cdr:x>0.56374</cdr:x>
      <cdr:y>0.86958</cdr:y>
    </cdr:to>
    <cdr:sp macro="" textlink="">
      <cdr:nvSpPr>
        <cdr:cNvPr id="29" name="TextBox 1">
          <a:extLst xmlns:a="http://schemas.openxmlformats.org/drawingml/2006/main">
            <a:ext uri="{FF2B5EF4-FFF2-40B4-BE49-F238E27FC236}">
              <a16:creationId xmlns:a16="http://schemas.microsoft.com/office/drawing/2014/main" id="{A41FF05C-CAD7-4EB7-8131-AE3B22E6B20A}"/>
            </a:ext>
          </a:extLst>
        </cdr:cNvPr>
        <cdr:cNvSpPr txBox="1"/>
      </cdr:nvSpPr>
      <cdr:spPr>
        <a:xfrm xmlns:a="http://schemas.openxmlformats.org/drawingml/2006/main">
          <a:off x="3683521" y="4834051"/>
          <a:ext cx="1559091" cy="44731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SE" sz="1800" b="1" baseline="0">
              <a:solidFill>
                <a:schemeClr val="tx1">
                  <a:lumMod val="95000"/>
                  <a:lumOff val="5000"/>
                </a:schemeClr>
              </a:solidFill>
            </a:rPr>
            <a:t>SHC</a:t>
          </a:r>
          <a:r>
            <a:rPr lang="en-SE" sz="1800" b="1" baseline="-25000">
              <a:solidFill>
                <a:schemeClr val="tx1">
                  <a:lumMod val="95000"/>
                  <a:lumOff val="5000"/>
                </a:schemeClr>
              </a:solidFill>
            </a:rPr>
            <a:t>chn-fan+mC</a:t>
          </a:r>
        </a:p>
      </cdr:txBody>
    </cdr:sp>
  </cdr:relSizeAnchor>
  <cdr:relSizeAnchor xmlns:cdr="http://schemas.openxmlformats.org/drawingml/2006/chartDrawing">
    <cdr:from>
      <cdr:x>0.38018</cdr:x>
      <cdr:y>0.68551</cdr:y>
    </cdr:from>
    <cdr:to>
      <cdr:x>0.41272</cdr:x>
      <cdr:y>0.73445</cdr:y>
    </cdr:to>
    <cdr:pic>
      <cdr:nvPicPr>
        <cdr:cNvPr id="30" name="Picture 29" descr="A fan with a black background&#10;&#10;AI-generated content may be incorrect.">
          <a:extLst xmlns:a="http://schemas.openxmlformats.org/drawingml/2006/main">
            <a:ext uri="{FF2B5EF4-FFF2-40B4-BE49-F238E27FC236}">
              <a16:creationId xmlns:a16="http://schemas.microsoft.com/office/drawing/2014/main" id="{3F3311E4-D244-64EF-4135-4B9DE04CC5DC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3532717" y="4157134"/>
          <a:ext cx="302361" cy="296751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0.44352</cdr:x>
      <cdr:y>0.48348</cdr:y>
    </cdr:from>
    <cdr:to>
      <cdr:x>0.48076</cdr:x>
      <cdr:y>0.53983</cdr:y>
    </cdr:to>
    <cdr:pic>
      <cdr:nvPicPr>
        <cdr:cNvPr id="31" name="Picture 30" descr="A green spiral with a smoke coming out of it&#10;&#10;AI-generated content may be incorrect.">
          <a:extLst xmlns:a="http://schemas.openxmlformats.org/drawingml/2006/main">
            <a:ext uri="{FF2B5EF4-FFF2-40B4-BE49-F238E27FC236}">
              <a16:creationId xmlns:a16="http://schemas.microsoft.com/office/drawing/2014/main" id="{9F372DAB-50F7-1FBA-11B6-31509BACAEBE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4117680" y="2932448"/>
          <a:ext cx="345741" cy="341783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0.5738</cdr:x>
      <cdr:y>0.80244</cdr:y>
    </cdr:from>
    <cdr:to>
      <cdr:x>0.73121</cdr:x>
      <cdr:y>0.86736</cdr:y>
    </cdr:to>
    <cdr:sp macro="" textlink="">
      <cdr:nvSpPr>
        <cdr:cNvPr id="32" name="TextBox 1">
          <a:extLst xmlns:a="http://schemas.openxmlformats.org/drawingml/2006/main">
            <a:ext uri="{FF2B5EF4-FFF2-40B4-BE49-F238E27FC236}">
              <a16:creationId xmlns:a16="http://schemas.microsoft.com/office/drawing/2014/main" id="{77DA4DFB-2AB6-B847-31B1-AC978A0E8F10}"/>
            </a:ext>
          </a:extLst>
        </cdr:cNvPr>
        <cdr:cNvSpPr txBox="1"/>
      </cdr:nvSpPr>
      <cdr:spPr>
        <a:xfrm xmlns:a="http://schemas.openxmlformats.org/drawingml/2006/main">
          <a:off x="5331883" y="4866218"/>
          <a:ext cx="1462617" cy="3937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SE" sz="1800" b="1" baseline="0">
              <a:solidFill>
                <a:schemeClr val="tx1">
                  <a:lumMod val="95000"/>
                  <a:lumOff val="5000"/>
                </a:schemeClr>
              </a:solidFill>
            </a:rPr>
            <a:t>SHC</a:t>
          </a:r>
          <a:r>
            <a:rPr lang="en-SE" sz="1800" b="1" baseline="-25000">
              <a:solidFill>
                <a:schemeClr val="tx1">
                  <a:lumMod val="95000"/>
                  <a:lumOff val="5000"/>
                </a:schemeClr>
              </a:solidFill>
            </a:rPr>
            <a:t>ldrz-chn-ugr</a:t>
          </a:r>
        </a:p>
      </cdr:txBody>
    </cdr:sp>
  </cdr:relSizeAnchor>
  <cdr:relSizeAnchor xmlns:cdr="http://schemas.openxmlformats.org/drawingml/2006/chartDrawing">
    <cdr:from>
      <cdr:x>0.70934</cdr:x>
      <cdr:y>0.80244</cdr:y>
    </cdr:from>
    <cdr:to>
      <cdr:x>0.86674</cdr:x>
      <cdr:y>0.86387</cdr:y>
    </cdr:to>
    <cdr:sp macro="" textlink="">
      <cdr:nvSpPr>
        <cdr:cNvPr id="33" name="TextBox 1">
          <a:extLst xmlns:a="http://schemas.openxmlformats.org/drawingml/2006/main">
            <a:ext uri="{FF2B5EF4-FFF2-40B4-BE49-F238E27FC236}">
              <a16:creationId xmlns:a16="http://schemas.microsoft.com/office/drawing/2014/main" id="{21DD3A7C-CD05-9703-E425-D9FF7E3D3471}"/>
            </a:ext>
          </a:extLst>
        </cdr:cNvPr>
        <cdr:cNvSpPr txBox="1"/>
      </cdr:nvSpPr>
      <cdr:spPr>
        <a:xfrm xmlns:a="http://schemas.openxmlformats.org/drawingml/2006/main">
          <a:off x="6591300" y="4866217"/>
          <a:ext cx="1462617" cy="37253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SE" sz="1800" b="1" baseline="0">
              <a:solidFill>
                <a:schemeClr val="tx1">
                  <a:lumMod val="95000"/>
                  <a:lumOff val="5000"/>
                </a:schemeClr>
              </a:solidFill>
            </a:rPr>
            <a:t>SHC</a:t>
          </a:r>
          <a:r>
            <a:rPr lang="en-SE" sz="1800" b="1" baseline="-25000">
              <a:solidFill>
                <a:schemeClr val="tx1">
                  <a:lumMod val="95000"/>
                  <a:lumOff val="5000"/>
                </a:schemeClr>
              </a:solidFill>
            </a:rPr>
            <a:t>ldrz-chn-igr</a:t>
          </a:r>
        </a:p>
      </cdr:txBody>
    </cdr:sp>
  </cdr:relSizeAnchor>
  <cdr:relSizeAnchor xmlns:cdr="http://schemas.openxmlformats.org/drawingml/2006/chartDrawing">
    <cdr:from>
      <cdr:x>0.8426</cdr:x>
      <cdr:y>0.80593</cdr:y>
    </cdr:from>
    <cdr:to>
      <cdr:x>1</cdr:x>
      <cdr:y>0.87609</cdr:y>
    </cdr:to>
    <cdr:sp macro="" textlink="">
      <cdr:nvSpPr>
        <cdr:cNvPr id="34" name="TextBox 1">
          <a:extLst xmlns:a="http://schemas.openxmlformats.org/drawingml/2006/main">
            <a:ext uri="{FF2B5EF4-FFF2-40B4-BE49-F238E27FC236}">
              <a16:creationId xmlns:a16="http://schemas.microsoft.com/office/drawing/2014/main" id="{21DD3A7C-CD05-9703-E425-D9FF7E3D3471}"/>
            </a:ext>
          </a:extLst>
        </cdr:cNvPr>
        <cdr:cNvSpPr txBox="1"/>
      </cdr:nvSpPr>
      <cdr:spPr>
        <a:xfrm xmlns:a="http://schemas.openxmlformats.org/drawingml/2006/main">
          <a:off x="7829550" y="4887385"/>
          <a:ext cx="1462617" cy="4254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SE" sz="1800" b="1" baseline="0">
              <a:solidFill>
                <a:schemeClr val="tx1">
                  <a:lumMod val="95000"/>
                  <a:lumOff val="5000"/>
                </a:schemeClr>
              </a:solidFill>
            </a:rPr>
            <a:t>SHC</a:t>
          </a:r>
          <a:r>
            <a:rPr lang="en-SE" sz="1800" b="1" baseline="-25000">
              <a:solidFill>
                <a:schemeClr val="tx1">
                  <a:lumMod val="95000"/>
                  <a:lumOff val="5000"/>
                </a:schemeClr>
              </a:solidFill>
            </a:rPr>
            <a:t>ldrz-chn-uso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596900</xdr:colOff>
      <xdr:row>0</xdr:row>
      <xdr:rowOff>127000</xdr:rowOff>
    </xdr:from>
    <xdr:to>
      <xdr:col>8</xdr:col>
      <xdr:colOff>214630</xdr:colOff>
      <xdr:row>15</xdr:row>
      <xdr:rowOff>114300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B292ED9-7657-4B6A-8BA6-489D47584B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222250</xdr:colOff>
      <xdr:row>0</xdr:row>
      <xdr:rowOff>146050</xdr:rowOff>
    </xdr:from>
    <xdr:to>
      <xdr:col>17</xdr:col>
      <xdr:colOff>279089</xdr:colOff>
      <xdr:row>15</xdr:row>
      <xdr:rowOff>133350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966F0506-85D2-4172-B265-44CE2AFEC5A9}"/>
            </a:ext>
          </a:extLst>
        </xdr:cNvPr>
        <xdr:cNvGrpSpPr/>
      </xdr:nvGrpSpPr>
      <xdr:grpSpPr>
        <a:xfrm>
          <a:off x="6318250" y="146050"/>
          <a:ext cx="4324039" cy="2368550"/>
          <a:chOff x="6096000" y="190500"/>
          <a:chExt cx="4324039" cy="2368550"/>
        </a:xfrm>
      </xdr:grpSpPr>
      <xdr:graphicFrame macro="">
        <xdr:nvGraphicFramePr>
          <xdr:cNvPr id="11" name="Chart 10">
            <a:extLst>
              <a:ext uri="{FF2B5EF4-FFF2-40B4-BE49-F238E27FC236}">
                <a16:creationId xmlns:a16="http://schemas.microsoft.com/office/drawing/2014/main" id="{3A120CF2-093D-1640-25A5-51FC3B9BE853}"/>
              </a:ext>
            </a:extLst>
          </xdr:cNvPr>
          <xdr:cNvGraphicFramePr>
            <a:graphicFrameLocks/>
          </xdr:cNvGraphicFramePr>
        </xdr:nvGraphicFramePr>
        <xdr:xfrm>
          <a:off x="6096000" y="190500"/>
          <a:ext cx="4297680" cy="236855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pSp>
        <xdr:nvGrpSpPr>
          <xdr:cNvPr id="12" name="Group 11">
            <a:extLst>
              <a:ext uri="{FF2B5EF4-FFF2-40B4-BE49-F238E27FC236}">
                <a16:creationId xmlns:a16="http://schemas.microsoft.com/office/drawing/2014/main" id="{02414E7A-9DB9-31A4-53FD-963E1CF5042C}"/>
              </a:ext>
            </a:extLst>
          </xdr:cNvPr>
          <xdr:cNvGrpSpPr/>
        </xdr:nvGrpSpPr>
        <xdr:grpSpPr>
          <a:xfrm>
            <a:off x="6756400" y="1891433"/>
            <a:ext cx="3663639" cy="296058"/>
            <a:chOff x="0" y="5483"/>
            <a:chExt cx="3503185" cy="296069"/>
          </a:xfrm>
        </xdr:grpSpPr>
        <xdr:sp macro="" textlink="">
          <xdr:nvSpPr>
            <xdr:cNvPr id="13" name="TextBox 1">
              <a:extLst>
                <a:ext uri="{FF2B5EF4-FFF2-40B4-BE49-F238E27FC236}">
                  <a16:creationId xmlns:a16="http://schemas.microsoft.com/office/drawing/2014/main" id="{4313D8B5-0DF1-8A98-E4FC-F4CD01143917}"/>
                </a:ext>
              </a:extLst>
            </xdr:cNvPr>
            <xdr:cNvSpPr txBox="1"/>
          </xdr:nvSpPr>
          <xdr:spPr>
            <a:xfrm>
              <a:off x="0" y="21932"/>
              <a:ext cx="895349" cy="279620"/>
            </a:xfrm>
            <a:prstGeom prst="rect">
              <a:avLst/>
            </a:prstGeom>
          </xdr:spPr>
          <xdr:txBody>
            <a:bodyPr wrap="square" rtlCol="0"/>
            <a:lstStyle>
              <a:lvl1pPr marL="0" indent="0">
                <a:defRPr sz="1100"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SE" sz="1200" b="1" baseline="0">
                  <a:solidFill>
                    <a:schemeClr val="tx1">
                      <a:lumMod val="95000"/>
                      <a:lumOff val="5000"/>
                    </a:schemeClr>
                  </a:solidFill>
                </a:rPr>
                <a:t>SHC</a:t>
              </a:r>
              <a:r>
                <a:rPr lang="en-SE" sz="1200" b="1" baseline="-25000">
                  <a:solidFill>
                    <a:schemeClr val="tx1">
                      <a:lumMod val="95000"/>
                      <a:lumOff val="5000"/>
                    </a:schemeClr>
                  </a:solidFill>
                </a:rPr>
                <a:t>ldrz-TH-ugr</a:t>
              </a:r>
              <a:r>
                <a:rPr lang="en-SE" sz="1200" b="1" baseline="0">
                  <a:solidFill>
                    <a:schemeClr val="tx1">
                      <a:lumMod val="95000"/>
                      <a:lumOff val="5000"/>
                    </a:schemeClr>
                  </a:solidFill>
                </a:rPr>
                <a:t> </a:t>
              </a:r>
              <a:endParaRPr lang="en-SE" sz="1200" b="1" baseline="-25000">
                <a:solidFill>
                  <a:schemeClr val="tx1">
                    <a:lumMod val="95000"/>
                    <a:lumOff val="5000"/>
                  </a:schemeClr>
                </a:solidFill>
              </a:endParaRPr>
            </a:p>
          </xdr:txBody>
        </xdr:sp>
        <xdr:sp macro="" textlink="">
          <xdr:nvSpPr>
            <xdr:cNvPr id="16" name="TextBox 1">
              <a:extLst>
                <a:ext uri="{FF2B5EF4-FFF2-40B4-BE49-F238E27FC236}">
                  <a16:creationId xmlns:a16="http://schemas.microsoft.com/office/drawing/2014/main" id="{E9CB4D04-03C5-8C04-9FE8-33E1F0750E7E}"/>
                </a:ext>
              </a:extLst>
            </xdr:cNvPr>
            <xdr:cNvSpPr txBox="1"/>
          </xdr:nvSpPr>
          <xdr:spPr>
            <a:xfrm>
              <a:off x="847596" y="5483"/>
              <a:ext cx="961828" cy="279620"/>
            </a:xfrm>
            <a:prstGeom prst="rect">
              <a:avLst/>
            </a:prstGeom>
          </xdr:spPr>
          <xdr:txBody>
            <a:bodyPr wrap="square" rtlCol="0"/>
            <a:lstStyle>
              <a:lvl1pPr marL="0" indent="0">
                <a:defRPr sz="1100"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SE" sz="1200" b="1" baseline="0">
                  <a:solidFill>
                    <a:schemeClr val="tx1">
                      <a:lumMod val="95000"/>
                      <a:lumOff val="5000"/>
                    </a:schemeClr>
                  </a:solidFill>
                </a:rPr>
                <a:t>SHC</a:t>
              </a:r>
              <a:r>
                <a:rPr lang="en-SE" sz="1200" b="1" baseline="-25000">
                  <a:solidFill>
                    <a:schemeClr val="tx1">
                      <a:lumMod val="95000"/>
                      <a:lumOff val="5000"/>
                    </a:schemeClr>
                  </a:solidFill>
                </a:rPr>
                <a:t>ldrz-TH-uso</a:t>
              </a:r>
              <a:r>
                <a:rPr lang="en-SE" sz="1200" b="1" baseline="0">
                  <a:solidFill>
                    <a:schemeClr val="tx1">
                      <a:lumMod val="95000"/>
                      <a:lumOff val="5000"/>
                    </a:schemeClr>
                  </a:solidFill>
                </a:rPr>
                <a:t> </a:t>
              </a:r>
              <a:endParaRPr lang="en-SE" sz="1200" b="1" baseline="-25000">
                <a:solidFill>
                  <a:schemeClr val="tx1">
                    <a:lumMod val="95000"/>
                    <a:lumOff val="5000"/>
                  </a:schemeClr>
                </a:solidFill>
              </a:endParaRPr>
            </a:p>
          </xdr:txBody>
        </xdr:sp>
        <xdr:sp macro="" textlink="">
          <xdr:nvSpPr>
            <xdr:cNvPr id="17" name="TextBox 1">
              <a:extLst>
                <a:ext uri="{FF2B5EF4-FFF2-40B4-BE49-F238E27FC236}">
                  <a16:creationId xmlns:a16="http://schemas.microsoft.com/office/drawing/2014/main" id="{71E2B59B-8730-922F-9861-9FBDFFF5E54C}"/>
                </a:ext>
              </a:extLst>
            </xdr:cNvPr>
            <xdr:cNvSpPr txBox="1"/>
          </xdr:nvSpPr>
          <xdr:spPr>
            <a:xfrm>
              <a:off x="1730490" y="5483"/>
              <a:ext cx="925919" cy="279620"/>
            </a:xfrm>
            <a:prstGeom prst="rect">
              <a:avLst/>
            </a:prstGeom>
          </xdr:spPr>
          <xdr:txBody>
            <a:bodyPr wrap="square" rtlCol="0"/>
            <a:lstStyle>
              <a:lvl1pPr marL="0" indent="0">
                <a:defRPr sz="1100"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SE" sz="1200" b="1" baseline="0">
                  <a:solidFill>
                    <a:schemeClr val="tx1">
                      <a:lumMod val="95000"/>
                      <a:lumOff val="5000"/>
                    </a:schemeClr>
                  </a:solidFill>
                </a:rPr>
                <a:t>SHC</a:t>
              </a:r>
              <a:r>
                <a:rPr lang="en-SE" sz="1200" b="1" baseline="-25000">
                  <a:solidFill>
                    <a:schemeClr val="tx1">
                      <a:lumMod val="95000"/>
                      <a:lumOff val="5000"/>
                    </a:schemeClr>
                  </a:solidFill>
                </a:rPr>
                <a:t>mdrz-TH-ugr</a:t>
              </a:r>
              <a:r>
                <a:rPr lang="en-SE" sz="1200" b="1" baseline="0">
                  <a:solidFill>
                    <a:schemeClr val="tx1">
                      <a:lumMod val="95000"/>
                      <a:lumOff val="5000"/>
                    </a:schemeClr>
                  </a:solidFill>
                </a:rPr>
                <a:t> </a:t>
              </a:r>
              <a:endParaRPr lang="en-SE" sz="1200" b="1" baseline="-25000">
                <a:solidFill>
                  <a:schemeClr val="tx1">
                    <a:lumMod val="95000"/>
                    <a:lumOff val="5000"/>
                  </a:schemeClr>
                </a:solidFill>
              </a:endParaRPr>
            </a:p>
          </xdr:txBody>
        </xdr:sp>
        <xdr:sp macro="" textlink="">
          <xdr:nvSpPr>
            <xdr:cNvPr id="18" name="TextBox 1">
              <a:extLst>
                <a:ext uri="{FF2B5EF4-FFF2-40B4-BE49-F238E27FC236}">
                  <a16:creationId xmlns:a16="http://schemas.microsoft.com/office/drawing/2014/main" id="{BC1C2778-AA99-3A4E-52DC-5CADD9FD3534}"/>
                </a:ext>
              </a:extLst>
            </xdr:cNvPr>
            <xdr:cNvSpPr txBox="1"/>
          </xdr:nvSpPr>
          <xdr:spPr>
            <a:xfrm>
              <a:off x="2607836" y="19051"/>
              <a:ext cx="895349" cy="279620"/>
            </a:xfrm>
            <a:prstGeom prst="rect">
              <a:avLst/>
            </a:prstGeom>
          </xdr:spPr>
          <xdr:txBody>
            <a:bodyPr wrap="square" rtlCol="0"/>
            <a:lstStyle>
              <a:lvl1pPr marL="0" indent="0">
                <a:defRPr sz="1100"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SE" sz="1200" b="1" baseline="0">
                  <a:solidFill>
                    <a:schemeClr val="tx1">
                      <a:lumMod val="95000"/>
                      <a:lumOff val="5000"/>
                    </a:schemeClr>
                  </a:solidFill>
                </a:rPr>
                <a:t>SHC</a:t>
              </a:r>
              <a:r>
                <a:rPr lang="en-SE" sz="1200" b="1" baseline="-25000">
                  <a:solidFill>
                    <a:schemeClr val="tx1">
                      <a:lumMod val="95000"/>
                      <a:lumOff val="5000"/>
                    </a:schemeClr>
                  </a:solidFill>
                </a:rPr>
                <a:t>hdrz-TH-ugr</a:t>
              </a:r>
              <a:r>
                <a:rPr lang="en-SE" sz="1200" b="1" baseline="0">
                  <a:solidFill>
                    <a:schemeClr val="tx1">
                      <a:lumMod val="95000"/>
                      <a:lumOff val="5000"/>
                    </a:schemeClr>
                  </a:solidFill>
                </a:rPr>
                <a:t> </a:t>
              </a:r>
              <a:endParaRPr lang="en-SE" sz="1200" b="1" baseline="-25000">
                <a:solidFill>
                  <a:schemeClr val="tx1">
                    <a:lumMod val="95000"/>
                    <a:lumOff val="5000"/>
                  </a:schemeClr>
                </a:solidFill>
              </a:endParaRPr>
            </a:p>
          </xdr:txBody>
        </xdr:sp>
      </xdr:grpSp>
    </xdr:grpSp>
    <xdr:clientData/>
  </xdr:twoCellAnchor>
  <xdr:twoCellAnchor>
    <xdr:from>
      <xdr:col>0</xdr:col>
      <xdr:colOff>584200</xdr:colOff>
      <xdr:row>18</xdr:row>
      <xdr:rowOff>19050</xdr:rowOff>
    </xdr:from>
    <xdr:to>
      <xdr:col>8</xdr:col>
      <xdr:colOff>222250</xdr:colOff>
      <xdr:row>33</xdr:row>
      <xdr:rowOff>6350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DB213623-ADE1-4B38-8700-7A46247FCE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0</xdr:colOff>
      <xdr:row>18</xdr:row>
      <xdr:rowOff>0</xdr:rowOff>
    </xdr:from>
    <xdr:to>
      <xdr:col>19</xdr:col>
      <xdr:colOff>69538</xdr:colOff>
      <xdr:row>32</xdr:row>
      <xdr:rowOff>146050</xdr:rowOff>
    </xdr:to>
    <xdr:grpSp>
      <xdr:nvGrpSpPr>
        <xdr:cNvPr id="27" name="Group 26">
          <a:extLst>
            <a:ext uri="{FF2B5EF4-FFF2-40B4-BE49-F238E27FC236}">
              <a16:creationId xmlns:a16="http://schemas.microsoft.com/office/drawing/2014/main" id="{4FEE1683-E544-4526-A9AA-A986DAB8781D}"/>
            </a:ext>
          </a:extLst>
        </xdr:cNvPr>
        <xdr:cNvGrpSpPr/>
      </xdr:nvGrpSpPr>
      <xdr:grpSpPr>
        <a:xfrm>
          <a:off x="7315200" y="2857500"/>
          <a:ext cx="4336738" cy="2368550"/>
          <a:chOff x="5143500" y="3054350"/>
          <a:chExt cx="4336738" cy="2368550"/>
        </a:xfrm>
      </xdr:grpSpPr>
      <xdr:graphicFrame macro="">
        <xdr:nvGraphicFramePr>
          <xdr:cNvPr id="28" name="Chart 27">
            <a:extLst>
              <a:ext uri="{FF2B5EF4-FFF2-40B4-BE49-F238E27FC236}">
                <a16:creationId xmlns:a16="http://schemas.microsoft.com/office/drawing/2014/main" id="{814D6BBE-1204-C427-671B-E063AC13110B}"/>
              </a:ext>
            </a:extLst>
          </xdr:cNvPr>
          <xdr:cNvGraphicFramePr>
            <a:graphicFrameLocks/>
          </xdr:cNvGraphicFramePr>
        </xdr:nvGraphicFramePr>
        <xdr:xfrm>
          <a:off x="5143500" y="3054350"/>
          <a:ext cx="4297680" cy="236855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grpSp>
        <xdr:nvGrpSpPr>
          <xdr:cNvPr id="29" name="Group 28">
            <a:extLst>
              <a:ext uri="{FF2B5EF4-FFF2-40B4-BE49-F238E27FC236}">
                <a16:creationId xmlns:a16="http://schemas.microsoft.com/office/drawing/2014/main" id="{CDA5A681-88A6-731C-A02A-4992C9A5C569}"/>
              </a:ext>
            </a:extLst>
          </xdr:cNvPr>
          <xdr:cNvGrpSpPr/>
        </xdr:nvGrpSpPr>
        <xdr:grpSpPr>
          <a:xfrm>
            <a:off x="5988050" y="4710833"/>
            <a:ext cx="3492188" cy="305877"/>
            <a:chOff x="-716483" y="-7217"/>
            <a:chExt cx="3339243" cy="305888"/>
          </a:xfrm>
        </xdr:grpSpPr>
        <xdr:sp macro="" textlink="">
          <xdr:nvSpPr>
            <xdr:cNvPr id="30" name="TextBox 1">
              <a:extLst>
                <a:ext uri="{FF2B5EF4-FFF2-40B4-BE49-F238E27FC236}">
                  <a16:creationId xmlns:a16="http://schemas.microsoft.com/office/drawing/2014/main" id="{FF5877E2-6A09-0780-1D25-B22F0594325A}"/>
                </a:ext>
              </a:extLst>
            </xdr:cNvPr>
            <xdr:cNvSpPr txBox="1"/>
          </xdr:nvSpPr>
          <xdr:spPr>
            <a:xfrm>
              <a:off x="-716483" y="9231"/>
              <a:ext cx="895349" cy="279620"/>
            </a:xfrm>
            <a:prstGeom prst="rect">
              <a:avLst/>
            </a:prstGeom>
          </xdr:spPr>
          <xdr:txBody>
            <a:bodyPr wrap="square" rtlCol="0"/>
            <a:lstStyle>
              <a:lvl1pPr marL="0" indent="0">
                <a:defRPr sz="1100"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SE" sz="1200" b="1" baseline="0">
                  <a:solidFill>
                    <a:schemeClr val="tx1">
                      <a:lumMod val="95000"/>
                      <a:lumOff val="5000"/>
                    </a:schemeClr>
                  </a:solidFill>
                </a:rPr>
                <a:t>SHC</a:t>
              </a:r>
              <a:r>
                <a:rPr lang="en-SE" sz="1200" b="1" baseline="-25000">
                  <a:solidFill>
                    <a:schemeClr val="tx1">
                      <a:lumMod val="95000"/>
                      <a:lumOff val="5000"/>
                    </a:schemeClr>
                  </a:solidFill>
                </a:rPr>
                <a:t>ldrz-BD-ugr</a:t>
              </a:r>
              <a:r>
                <a:rPr lang="en-SE" sz="1200" b="1" baseline="0">
                  <a:solidFill>
                    <a:schemeClr val="tx1">
                      <a:lumMod val="95000"/>
                      <a:lumOff val="5000"/>
                    </a:schemeClr>
                  </a:solidFill>
                </a:rPr>
                <a:t> </a:t>
              </a:r>
              <a:endParaRPr lang="en-SE" sz="1200" b="1" baseline="-25000">
                <a:solidFill>
                  <a:schemeClr val="tx1">
                    <a:lumMod val="95000"/>
                    <a:lumOff val="5000"/>
                  </a:schemeClr>
                </a:solidFill>
              </a:endParaRPr>
            </a:p>
          </xdr:txBody>
        </xdr:sp>
        <xdr:sp macro="" textlink="">
          <xdr:nvSpPr>
            <xdr:cNvPr id="31" name="TextBox 1">
              <a:extLst>
                <a:ext uri="{FF2B5EF4-FFF2-40B4-BE49-F238E27FC236}">
                  <a16:creationId xmlns:a16="http://schemas.microsoft.com/office/drawing/2014/main" id="{0F233CA7-8FE2-E7FF-89AE-D4A2D094FF02}"/>
                </a:ext>
              </a:extLst>
            </xdr:cNvPr>
            <xdr:cNvSpPr txBox="1"/>
          </xdr:nvSpPr>
          <xdr:spPr>
            <a:xfrm>
              <a:off x="88610" y="-7217"/>
              <a:ext cx="961828" cy="279620"/>
            </a:xfrm>
            <a:prstGeom prst="rect">
              <a:avLst/>
            </a:prstGeom>
          </xdr:spPr>
          <xdr:txBody>
            <a:bodyPr wrap="square" rtlCol="0"/>
            <a:lstStyle>
              <a:lvl1pPr marL="0" indent="0">
                <a:defRPr sz="1100"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SE" sz="1200" b="1" baseline="0">
                  <a:solidFill>
                    <a:schemeClr val="tx1">
                      <a:lumMod val="95000"/>
                      <a:lumOff val="5000"/>
                    </a:schemeClr>
                  </a:solidFill>
                </a:rPr>
                <a:t>SHC</a:t>
              </a:r>
              <a:r>
                <a:rPr lang="en-SE" sz="1200" b="1" baseline="-25000">
                  <a:solidFill>
                    <a:schemeClr val="tx1">
                      <a:lumMod val="95000"/>
                      <a:lumOff val="5000"/>
                    </a:schemeClr>
                  </a:solidFill>
                </a:rPr>
                <a:t>ldrz-BD-uso</a:t>
              </a:r>
              <a:r>
                <a:rPr lang="en-SE" sz="1200" b="1" baseline="0">
                  <a:solidFill>
                    <a:schemeClr val="tx1">
                      <a:lumMod val="95000"/>
                      <a:lumOff val="5000"/>
                    </a:schemeClr>
                  </a:solidFill>
                </a:rPr>
                <a:t> </a:t>
              </a:r>
              <a:endParaRPr lang="en-SE" sz="1200" b="1" baseline="-25000">
                <a:solidFill>
                  <a:schemeClr val="tx1">
                    <a:lumMod val="95000"/>
                    <a:lumOff val="5000"/>
                  </a:schemeClr>
                </a:solidFill>
              </a:endParaRPr>
            </a:p>
          </xdr:txBody>
        </xdr:sp>
        <xdr:sp macro="" textlink="">
          <xdr:nvSpPr>
            <xdr:cNvPr id="32" name="TextBox 1">
              <a:extLst>
                <a:ext uri="{FF2B5EF4-FFF2-40B4-BE49-F238E27FC236}">
                  <a16:creationId xmlns:a16="http://schemas.microsoft.com/office/drawing/2014/main" id="{F22D7053-6D37-43F7-9EEF-7F614DFFC72A}"/>
                </a:ext>
              </a:extLst>
            </xdr:cNvPr>
            <xdr:cNvSpPr txBox="1"/>
          </xdr:nvSpPr>
          <xdr:spPr>
            <a:xfrm>
              <a:off x="898640" y="11834"/>
              <a:ext cx="925920" cy="279620"/>
            </a:xfrm>
            <a:prstGeom prst="rect">
              <a:avLst/>
            </a:prstGeom>
          </xdr:spPr>
          <xdr:txBody>
            <a:bodyPr wrap="square" rtlCol="0"/>
            <a:lstStyle>
              <a:lvl1pPr marL="0" indent="0">
                <a:defRPr sz="1100"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SE" sz="1200" b="1" baseline="0">
                  <a:solidFill>
                    <a:schemeClr val="tx1">
                      <a:lumMod val="95000"/>
                      <a:lumOff val="5000"/>
                    </a:schemeClr>
                  </a:solidFill>
                </a:rPr>
                <a:t>SHC</a:t>
              </a:r>
              <a:r>
                <a:rPr lang="en-SE" sz="1200" b="1" baseline="-25000">
                  <a:solidFill>
                    <a:schemeClr val="tx1">
                      <a:lumMod val="95000"/>
                      <a:lumOff val="5000"/>
                    </a:schemeClr>
                  </a:solidFill>
                </a:rPr>
                <a:t>mdrz-BD-ugr</a:t>
              </a:r>
              <a:r>
                <a:rPr lang="en-SE" sz="1200" b="1" baseline="0">
                  <a:solidFill>
                    <a:schemeClr val="tx1">
                      <a:lumMod val="95000"/>
                      <a:lumOff val="5000"/>
                    </a:schemeClr>
                  </a:solidFill>
                </a:rPr>
                <a:t> </a:t>
              </a:r>
              <a:endParaRPr lang="en-SE" sz="1200" b="1" baseline="-25000">
                <a:solidFill>
                  <a:schemeClr val="tx1">
                    <a:lumMod val="95000"/>
                    <a:lumOff val="5000"/>
                  </a:schemeClr>
                </a:solidFill>
              </a:endParaRPr>
            </a:p>
          </xdr:txBody>
        </xdr:sp>
        <xdr:sp macro="" textlink="">
          <xdr:nvSpPr>
            <xdr:cNvPr id="33" name="TextBox 1">
              <a:extLst>
                <a:ext uri="{FF2B5EF4-FFF2-40B4-BE49-F238E27FC236}">
                  <a16:creationId xmlns:a16="http://schemas.microsoft.com/office/drawing/2014/main" id="{98AE850A-4B18-9BE0-47A3-4AC6E8890AC9}"/>
                </a:ext>
              </a:extLst>
            </xdr:cNvPr>
            <xdr:cNvSpPr txBox="1"/>
          </xdr:nvSpPr>
          <xdr:spPr>
            <a:xfrm>
              <a:off x="1694058" y="19051"/>
              <a:ext cx="928702" cy="279620"/>
            </a:xfrm>
            <a:prstGeom prst="rect">
              <a:avLst/>
            </a:prstGeom>
          </xdr:spPr>
          <xdr:txBody>
            <a:bodyPr wrap="square" rtlCol="0"/>
            <a:lstStyle>
              <a:lvl1pPr marL="0" indent="0">
                <a:defRPr sz="1100"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SE" sz="1200" b="1" baseline="0">
                  <a:solidFill>
                    <a:schemeClr val="tx1">
                      <a:lumMod val="95000"/>
                      <a:lumOff val="5000"/>
                    </a:schemeClr>
                  </a:solidFill>
                </a:rPr>
                <a:t>SHC</a:t>
              </a:r>
              <a:r>
                <a:rPr lang="en-SE" sz="1200" b="1" baseline="-25000">
                  <a:solidFill>
                    <a:schemeClr val="tx1">
                      <a:lumMod val="95000"/>
                      <a:lumOff val="5000"/>
                    </a:schemeClr>
                  </a:solidFill>
                </a:rPr>
                <a:t>mdrz-BD-ugr</a:t>
              </a:r>
              <a:r>
                <a:rPr lang="en-SE" sz="1200" b="1" baseline="0">
                  <a:solidFill>
                    <a:schemeClr val="tx1">
                      <a:lumMod val="95000"/>
                      <a:lumOff val="5000"/>
                    </a:schemeClr>
                  </a:solidFill>
                </a:rPr>
                <a:t> </a:t>
              </a:r>
              <a:endParaRPr lang="en-SE" sz="1200" b="1" baseline="-25000">
                <a:solidFill>
                  <a:schemeClr val="tx1">
                    <a:lumMod val="95000"/>
                    <a:lumOff val="5000"/>
                  </a:schemeClr>
                </a:solidFill>
              </a:endParaRPr>
            </a:p>
          </xdr:txBody>
        </xdr:sp>
      </xdr:grpSp>
    </xdr:grpSp>
    <xdr:clientData/>
  </xdr:twoCellAnchor>
  <xdr:twoCellAnchor>
    <xdr:from>
      <xdr:col>1</xdr:col>
      <xdr:colOff>114300</xdr:colOff>
      <xdr:row>36</xdr:row>
      <xdr:rowOff>12700</xdr:rowOff>
    </xdr:from>
    <xdr:to>
      <xdr:col>8</xdr:col>
      <xdr:colOff>171139</xdr:colOff>
      <xdr:row>51</xdr:row>
      <xdr:rowOff>0</xdr:rowOff>
    </xdr:to>
    <xdr:grpSp>
      <xdr:nvGrpSpPr>
        <xdr:cNvPr id="34" name="Group 33">
          <a:extLst>
            <a:ext uri="{FF2B5EF4-FFF2-40B4-BE49-F238E27FC236}">
              <a16:creationId xmlns:a16="http://schemas.microsoft.com/office/drawing/2014/main" id="{FC989BDC-C861-4253-AF33-DD36794C9CA2}"/>
            </a:ext>
          </a:extLst>
        </xdr:cNvPr>
        <xdr:cNvGrpSpPr/>
      </xdr:nvGrpSpPr>
      <xdr:grpSpPr>
        <a:xfrm>
          <a:off x="723900" y="5727700"/>
          <a:ext cx="4324039" cy="2368550"/>
          <a:chOff x="749300" y="5861050"/>
          <a:chExt cx="4324039" cy="2368550"/>
        </a:xfrm>
      </xdr:grpSpPr>
      <xdr:graphicFrame macro="">
        <xdr:nvGraphicFramePr>
          <xdr:cNvPr id="35" name="Chart 34">
            <a:extLst>
              <a:ext uri="{FF2B5EF4-FFF2-40B4-BE49-F238E27FC236}">
                <a16:creationId xmlns:a16="http://schemas.microsoft.com/office/drawing/2014/main" id="{04069251-0EF5-11BB-7302-D95A44FE9089}"/>
              </a:ext>
            </a:extLst>
          </xdr:cNvPr>
          <xdr:cNvGraphicFramePr>
            <a:graphicFrameLocks/>
          </xdr:cNvGraphicFramePr>
        </xdr:nvGraphicFramePr>
        <xdr:xfrm>
          <a:off x="749300" y="5861050"/>
          <a:ext cx="4297680" cy="236855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grpSp>
        <xdr:nvGrpSpPr>
          <xdr:cNvPr id="36" name="Group 35">
            <a:extLst>
              <a:ext uri="{FF2B5EF4-FFF2-40B4-BE49-F238E27FC236}">
                <a16:creationId xmlns:a16="http://schemas.microsoft.com/office/drawing/2014/main" id="{69ABE9CB-9DCA-8A14-6F91-BDCFEA227CD1}"/>
              </a:ext>
            </a:extLst>
          </xdr:cNvPr>
          <xdr:cNvGrpSpPr/>
        </xdr:nvGrpSpPr>
        <xdr:grpSpPr>
          <a:xfrm>
            <a:off x="1358900" y="7502231"/>
            <a:ext cx="3714439" cy="314829"/>
            <a:chOff x="0" y="21932"/>
            <a:chExt cx="3551760" cy="314840"/>
          </a:xfrm>
        </xdr:grpSpPr>
        <xdr:sp macro="" textlink="">
          <xdr:nvSpPr>
            <xdr:cNvPr id="37" name="TextBox 1">
              <a:extLst>
                <a:ext uri="{FF2B5EF4-FFF2-40B4-BE49-F238E27FC236}">
                  <a16:creationId xmlns:a16="http://schemas.microsoft.com/office/drawing/2014/main" id="{E9E717A4-7F29-EB80-A32C-61E9C48A869A}"/>
                </a:ext>
              </a:extLst>
            </xdr:cNvPr>
            <xdr:cNvSpPr txBox="1"/>
          </xdr:nvSpPr>
          <xdr:spPr>
            <a:xfrm>
              <a:off x="0" y="21932"/>
              <a:ext cx="895349" cy="279620"/>
            </a:xfrm>
            <a:prstGeom prst="rect">
              <a:avLst/>
            </a:prstGeom>
          </xdr:spPr>
          <xdr:txBody>
            <a:bodyPr wrap="square" rtlCol="0"/>
            <a:lstStyle>
              <a:lvl1pPr marL="0" indent="0">
                <a:defRPr sz="1100"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SE" sz="1200" b="1" baseline="0">
                  <a:solidFill>
                    <a:schemeClr val="tx1">
                      <a:lumMod val="95000"/>
                      <a:lumOff val="5000"/>
                    </a:schemeClr>
                  </a:solidFill>
                </a:rPr>
                <a:t>SHC</a:t>
              </a:r>
              <a:r>
                <a:rPr lang="en-SE" sz="1200" b="1" baseline="-25000">
                  <a:solidFill>
                    <a:schemeClr val="tx1">
                      <a:lumMod val="95000"/>
                      <a:lumOff val="5000"/>
                    </a:schemeClr>
                  </a:solidFill>
                </a:rPr>
                <a:t>ldrz-VN-ugr</a:t>
              </a:r>
              <a:r>
                <a:rPr lang="en-SE" sz="1200" b="1" baseline="0">
                  <a:solidFill>
                    <a:schemeClr val="tx1">
                      <a:lumMod val="95000"/>
                      <a:lumOff val="5000"/>
                    </a:schemeClr>
                  </a:solidFill>
                </a:rPr>
                <a:t> </a:t>
              </a:r>
              <a:endParaRPr lang="en-SE" sz="1200" b="1" baseline="-25000">
                <a:solidFill>
                  <a:schemeClr val="tx1">
                    <a:lumMod val="95000"/>
                    <a:lumOff val="5000"/>
                  </a:schemeClr>
                </a:solidFill>
              </a:endParaRPr>
            </a:p>
          </xdr:txBody>
        </xdr:sp>
        <xdr:sp macro="" textlink="">
          <xdr:nvSpPr>
            <xdr:cNvPr id="38" name="TextBox 1">
              <a:extLst>
                <a:ext uri="{FF2B5EF4-FFF2-40B4-BE49-F238E27FC236}">
                  <a16:creationId xmlns:a16="http://schemas.microsoft.com/office/drawing/2014/main" id="{AF2E82E6-ACE7-0A7E-0CB0-2DFAE4A6DC99}"/>
                </a:ext>
              </a:extLst>
            </xdr:cNvPr>
            <xdr:cNvSpPr txBox="1"/>
          </xdr:nvSpPr>
          <xdr:spPr>
            <a:xfrm>
              <a:off x="877956" y="49935"/>
              <a:ext cx="937540" cy="279620"/>
            </a:xfrm>
            <a:prstGeom prst="rect">
              <a:avLst/>
            </a:prstGeom>
          </xdr:spPr>
          <xdr:txBody>
            <a:bodyPr wrap="square" rtlCol="0"/>
            <a:lstStyle>
              <a:lvl1pPr marL="0" indent="0">
                <a:defRPr sz="1100"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SE" sz="1200" b="1" baseline="0">
                  <a:solidFill>
                    <a:schemeClr val="tx1">
                      <a:lumMod val="95000"/>
                      <a:lumOff val="5000"/>
                    </a:schemeClr>
                  </a:solidFill>
                </a:rPr>
                <a:t>SHC</a:t>
              </a:r>
              <a:r>
                <a:rPr lang="en-SE" sz="1200" b="1" baseline="-25000">
                  <a:solidFill>
                    <a:schemeClr val="tx1">
                      <a:lumMod val="95000"/>
                      <a:lumOff val="5000"/>
                    </a:schemeClr>
                  </a:solidFill>
                </a:rPr>
                <a:t>ldrz-VN-uso</a:t>
              </a:r>
              <a:r>
                <a:rPr lang="en-SE" sz="1200" b="1" baseline="0">
                  <a:solidFill>
                    <a:schemeClr val="tx1">
                      <a:lumMod val="95000"/>
                      <a:lumOff val="5000"/>
                    </a:schemeClr>
                  </a:solidFill>
                </a:rPr>
                <a:t> </a:t>
              </a:r>
              <a:endParaRPr lang="en-SE" sz="1200" b="1" baseline="-25000">
                <a:solidFill>
                  <a:schemeClr val="tx1">
                    <a:lumMod val="95000"/>
                    <a:lumOff val="5000"/>
                  </a:schemeClr>
                </a:solidFill>
              </a:endParaRPr>
            </a:p>
          </xdr:txBody>
        </xdr:sp>
        <xdr:sp macro="" textlink="">
          <xdr:nvSpPr>
            <xdr:cNvPr id="39" name="TextBox 1">
              <a:extLst>
                <a:ext uri="{FF2B5EF4-FFF2-40B4-BE49-F238E27FC236}">
                  <a16:creationId xmlns:a16="http://schemas.microsoft.com/office/drawing/2014/main" id="{0355583D-8EC6-9CF9-9830-557C0B7555D7}"/>
                </a:ext>
              </a:extLst>
            </xdr:cNvPr>
            <xdr:cNvSpPr txBox="1"/>
          </xdr:nvSpPr>
          <xdr:spPr>
            <a:xfrm>
              <a:off x="1730489" y="49935"/>
              <a:ext cx="950207" cy="279620"/>
            </a:xfrm>
            <a:prstGeom prst="rect">
              <a:avLst/>
            </a:prstGeom>
          </xdr:spPr>
          <xdr:txBody>
            <a:bodyPr wrap="square" rtlCol="0"/>
            <a:lstStyle>
              <a:lvl1pPr marL="0" indent="0">
                <a:defRPr sz="1100"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SE" sz="1200" b="1" baseline="0">
                  <a:solidFill>
                    <a:schemeClr val="tx1">
                      <a:lumMod val="95000"/>
                      <a:lumOff val="5000"/>
                    </a:schemeClr>
                  </a:solidFill>
                </a:rPr>
                <a:t>SHC</a:t>
              </a:r>
              <a:r>
                <a:rPr lang="en-SE" sz="1200" b="1" baseline="-25000">
                  <a:solidFill>
                    <a:schemeClr val="tx1">
                      <a:lumMod val="95000"/>
                      <a:lumOff val="5000"/>
                    </a:schemeClr>
                  </a:solidFill>
                </a:rPr>
                <a:t>mdrz-VN-ugr</a:t>
              </a:r>
              <a:r>
                <a:rPr lang="en-SE" sz="1200" b="1" baseline="0">
                  <a:solidFill>
                    <a:schemeClr val="tx1">
                      <a:lumMod val="95000"/>
                      <a:lumOff val="5000"/>
                    </a:schemeClr>
                  </a:solidFill>
                </a:rPr>
                <a:t> </a:t>
              </a:r>
              <a:endParaRPr lang="en-SE" sz="1200" b="1" baseline="-25000">
                <a:solidFill>
                  <a:schemeClr val="tx1">
                    <a:lumMod val="95000"/>
                    <a:lumOff val="5000"/>
                  </a:schemeClr>
                </a:solidFill>
              </a:endParaRPr>
            </a:p>
          </xdr:txBody>
        </xdr:sp>
        <xdr:sp macro="" textlink="">
          <xdr:nvSpPr>
            <xdr:cNvPr id="40" name="TextBox 1">
              <a:extLst>
                <a:ext uri="{FF2B5EF4-FFF2-40B4-BE49-F238E27FC236}">
                  <a16:creationId xmlns:a16="http://schemas.microsoft.com/office/drawing/2014/main" id="{C55E29E2-1CD4-FAEC-363F-1468CA1D542F}"/>
                </a:ext>
              </a:extLst>
            </xdr:cNvPr>
            <xdr:cNvSpPr txBox="1"/>
          </xdr:nvSpPr>
          <xdr:spPr>
            <a:xfrm>
              <a:off x="2616986" y="57152"/>
              <a:ext cx="934774" cy="279620"/>
            </a:xfrm>
            <a:prstGeom prst="rect">
              <a:avLst/>
            </a:prstGeom>
          </xdr:spPr>
          <xdr:txBody>
            <a:bodyPr wrap="square" rtlCol="0"/>
            <a:lstStyle>
              <a:lvl1pPr marL="0" indent="0">
                <a:defRPr sz="1100"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SE" sz="1200" b="1" baseline="0">
                  <a:solidFill>
                    <a:schemeClr val="tx1">
                      <a:lumMod val="95000"/>
                      <a:lumOff val="5000"/>
                    </a:schemeClr>
                  </a:solidFill>
                </a:rPr>
                <a:t>SHC</a:t>
              </a:r>
              <a:r>
                <a:rPr lang="en-SE" sz="1200" b="1" baseline="-25000">
                  <a:solidFill>
                    <a:schemeClr val="tx1">
                      <a:lumMod val="95000"/>
                      <a:lumOff val="5000"/>
                    </a:schemeClr>
                  </a:solidFill>
                </a:rPr>
                <a:t>hdrz-VN-ugr</a:t>
              </a:r>
              <a:r>
                <a:rPr lang="en-SE" sz="1200" b="1" baseline="0">
                  <a:solidFill>
                    <a:schemeClr val="tx1">
                      <a:lumMod val="95000"/>
                      <a:lumOff val="5000"/>
                    </a:schemeClr>
                  </a:solidFill>
                </a:rPr>
                <a:t> </a:t>
              </a:r>
              <a:endParaRPr lang="en-SE" sz="1200" b="1" baseline="-25000">
                <a:solidFill>
                  <a:schemeClr val="tx1">
                    <a:lumMod val="95000"/>
                    <a:lumOff val="5000"/>
                  </a:schemeClr>
                </a:solidFill>
              </a:endParaRPr>
            </a:p>
          </xdr:txBody>
        </xdr:sp>
      </xdr:grpSp>
    </xdr:grpSp>
    <xdr:clientData/>
  </xdr:twoCellAnchor>
  <xdr:twoCellAnchor>
    <xdr:from>
      <xdr:col>12</xdr:col>
      <xdr:colOff>0</xdr:colOff>
      <xdr:row>34</xdr:row>
      <xdr:rowOff>0</xdr:rowOff>
    </xdr:from>
    <xdr:to>
      <xdr:col>19</xdr:col>
      <xdr:colOff>101288</xdr:colOff>
      <xdr:row>48</xdr:row>
      <xdr:rowOff>146050</xdr:rowOff>
    </xdr:to>
    <xdr:grpSp>
      <xdr:nvGrpSpPr>
        <xdr:cNvPr id="41" name="Group 40">
          <a:extLst>
            <a:ext uri="{FF2B5EF4-FFF2-40B4-BE49-F238E27FC236}">
              <a16:creationId xmlns:a16="http://schemas.microsoft.com/office/drawing/2014/main" id="{3C0CCCF4-D959-4238-915A-2DF7755E5E16}"/>
            </a:ext>
          </a:extLst>
        </xdr:cNvPr>
        <xdr:cNvGrpSpPr/>
      </xdr:nvGrpSpPr>
      <xdr:grpSpPr>
        <a:xfrm>
          <a:off x="7315200" y="5397500"/>
          <a:ext cx="4368488" cy="2368550"/>
          <a:chOff x="6096000" y="5715000"/>
          <a:chExt cx="4368488" cy="2368550"/>
        </a:xfrm>
      </xdr:grpSpPr>
      <xdr:graphicFrame macro="">
        <xdr:nvGraphicFramePr>
          <xdr:cNvPr id="42" name="Chart 41">
            <a:extLst>
              <a:ext uri="{FF2B5EF4-FFF2-40B4-BE49-F238E27FC236}">
                <a16:creationId xmlns:a16="http://schemas.microsoft.com/office/drawing/2014/main" id="{9BADA92F-E745-F65F-D678-3E156AA3D2C0}"/>
              </a:ext>
            </a:extLst>
          </xdr:cNvPr>
          <xdr:cNvGraphicFramePr>
            <a:graphicFrameLocks/>
          </xdr:cNvGraphicFramePr>
        </xdr:nvGraphicFramePr>
        <xdr:xfrm>
          <a:off x="6096000" y="5715000"/>
          <a:ext cx="4297680" cy="236855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grpSp>
        <xdr:nvGrpSpPr>
          <xdr:cNvPr id="43" name="Group 42">
            <a:extLst>
              <a:ext uri="{FF2B5EF4-FFF2-40B4-BE49-F238E27FC236}">
                <a16:creationId xmlns:a16="http://schemas.microsoft.com/office/drawing/2014/main" id="{C3C7CC10-AE30-9E2F-9751-9B64B98C6D7F}"/>
              </a:ext>
            </a:extLst>
          </xdr:cNvPr>
          <xdr:cNvGrpSpPr/>
        </xdr:nvGrpSpPr>
        <xdr:grpSpPr>
          <a:xfrm>
            <a:off x="6737350" y="7384183"/>
            <a:ext cx="3727138" cy="302408"/>
            <a:chOff x="0" y="-867"/>
            <a:chExt cx="3563903" cy="302419"/>
          </a:xfrm>
        </xdr:grpSpPr>
        <xdr:sp macro="" textlink="">
          <xdr:nvSpPr>
            <xdr:cNvPr id="44" name="TextBox 1">
              <a:extLst>
                <a:ext uri="{FF2B5EF4-FFF2-40B4-BE49-F238E27FC236}">
                  <a16:creationId xmlns:a16="http://schemas.microsoft.com/office/drawing/2014/main" id="{72A3FF7B-7DE0-6756-E7DB-7300FD9BA0D9}"/>
                </a:ext>
              </a:extLst>
            </xdr:cNvPr>
            <xdr:cNvSpPr txBox="1"/>
          </xdr:nvSpPr>
          <xdr:spPr>
            <a:xfrm>
              <a:off x="0" y="21932"/>
              <a:ext cx="895349" cy="279620"/>
            </a:xfrm>
            <a:prstGeom prst="rect">
              <a:avLst/>
            </a:prstGeom>
          </xdr:spPr>
          <xdr:txBody>
            <a:bodyPr wrap="square" rtlCol="0"/>
            <a:lstStyle>
              <a:lvl1pPr marL="0" indent="0">
                <a:defRPr sz="1100"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SE" sz="1200" b="1" baseline="0">
                  <a:solidFill>
                    <a:schemeClr val="tx1">
                      <a:lumMod val="95000"/>
                      <a:lumOff val="5000"/>
                    </a:schemeClr>
                  </a:solidFill>
                </a:rPr>
                <a:t>SHC</a:t>
              </a:r>
              <a:r>
                <a:rPr lang="en-SE" sz="1200" b="1" baseline="-25000">
                  <a:solidFill>
                    <a:schemeClr val="tx1">
                      <a:lumMod val="95000"/>
                      <a:lumOff val="5000"/>
                    </a:schemeClr>
                  </a:solidFill>
                </a:rPr>
                <a:t>ldrz-PH-ugr</a:t>
              </a:r>
              <a:r>
                <a:rPr lang="en-SE" sz="1200" b="1" baseline="0">
                  <a:solidFill>
                    <a:schemeClr val="tx1">
                      <a:lumMod val="95000"/>
                      <a:lumOff val="5000"/>
                    </a:schemeClr>
                  </a:solidFill>
                </a:rPr>
                <a:t> </a:t>
              </a:r>
              <a:endParaRPr lang="en-SE" sz="1200" b="1" baseline="-25000">
                <a:solidFill>
                  <a:schemeClr val="tx1">
                    <a:lumMod val="95000"/>
                    <a:lumOff val="5000"/>
                  </a:schemeClr>
                </a:solidFill>
              </a:endParaRPr>
            </a:p>
          </xdr:txBody>
        </xdr:sp>
        <xdr:sp macro="" textlink="">
          <xdr:nvSpPr>
            <xdr:cNvPr id="45" name="TextBox 1">
              <a:extLst>
                <a:ext uri="{FF2B5EF4-FFF2-40B4-BE49-F238E27FC236}">
                  <a16:creationId xmlns:a16="http://schemas.microsoft.com/office/drawing/2014/main" id="{CCF4E3C8-CF2E-88C7-ECF8-D96CF18993B7}"/>
                </a:ext>
              </a:extLst>
            </xdr:cNvPr>
            <xdr:cNvSpPr txBox="1"/>
          </xdr:nvSpPr>
          <xdr:spPr>
            <a:xfrm>
              <a:off x="847596" y="5483"/>
              <a:ext cx="955756" cy="279620"/>
            </a:xfrm>
            <a:prstGeom prst="rect">
              <a:avLst/>
            </a:prstGeom>
          </xdr:spPr>
          <xdr:txBody>
            <a:bodyPr wrap="square" rtlCol="0"/>
            <a:lstStyle>
              <a:lvl1pPr marL="0" indent="0">
                <a:defRPr sz="1100"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SE" sz="1200" b="1" baseline="0">
                  <a:solidFill>
                    <a:schemeClr val="tx1">
                      <a:lumMod val="95000"/>
                      <a:lumOff val="5000"/>
                    </a:schemeClr>
                  </a:solidFill>
                </a:rPr>
                <a:t>SHC</a:t>
              </a:r>
              <a:r>
                <a:rPr lang="en-SE" sz="1200" b="1" baseline="-25000">
                  <a:solidFill>
                    <a:schemeClr val="tx1">
                      <a:lumMod val="95000"/>
                      <a:lumOff val="5000"/>
                    </a:schemeClr>
                  </a:solidFill>
                </a:rPr>
                <a:t>ldrz-PH-uso</a:t>
              </a:r>
              <a:r>
                <a:rPr lang="en-SE" sz="1200" b="1" baseline="0">
                  <a:solidFill>
                    <a:schemeClr val="tx1">
                      <a:lumMod val="95000"/>
                      <a:lumOff val="5000"/>
                    </a:schemeClr>
                  </a:solidFill>
                </a:rPr>
                <a:t> </a:t>
              </a:r>
              <a:endParaRPr lang="en-SE" sz="1200" b="1" baseline="-25000">
                <a:solidFill>
                  <a:schemeClr val="tx1">
                    <a:lumMod val="95000"/>
                    <a:lumOff val="5000"/>
                  </a:schemeClr>
                </a:solidFill>
              </a:endParaRPr>
            </a:p>
          </xdr:txBody>
        </xdr:sp>
        <xdr:sp macro="" textlink="">
          <xdr:nvSpPr>
            <xdr:cNvPr id="46" name="TextBox 1">
              <a:extLst>
                <a:ext uri="{FF2B5EF4-FFF2-40B4-BE49-F238E27FC236}">
                  <a16:creationId xmlns:a16="http://schemas.microsoft.com/office/drawing/2014/main" id="{834FBF00-D1BA-E634-65C6-5D3594A3984B}"/>
                </a:ext>
              </a:extLst>
            </xdr:cNvPr>
            <xdr:cNvSpPr txBox="1"/>
          </xdr:nvSpPr>
          <xdr:spPr>
            <a:xfrm>
              <a:off x="1724417" y="-867"/>
              <a:ext cx="968423" cy="279620"/>
            </a:xfrm>
            <a:prstGeom prst="rect">
              <a:avLst/>
            </a:prstGeom>
          </xdr:spPr>
          <xdr:txBody>
            <a:bodyPr wrap="square" rtlCol="0"/>
            <a:lstStyle>
              <a:lvl1pPr marL="0" indent="0">
                <a:defRPr sz="1100"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SE" sz="1200" b="1" baseline="0">
                  <a:solidFill>
                    <a:schemeClr val="tx1">
                      <a:lumMod val="95000"/>
                      <a:lumOff val="5000"/>
                    </a:schemeClr>
                  </a:solidFill>
                </a:rPr>
                <a:t>SHC</a:t>
              </a:r>
              <a:r>
                <a:rPr lang="en-SE" sz="1200" b="1" baseline="-25000">
                  <a:solidFill>
                    <a:schemeClr val="tx1">
                      <a:lumMod val="95000"/>
                      <a:lumOff val="5000"/>
                    </a:schemeClr>
                  </a:solidFill>
                </a:rPr>
                <a:t>mdrz-PH-ugr</a:t>
              </a:r>
              <a:r>
                <a:rPr lang="en-SE" sz="1200" b="1" baseline="0">
                  <a:solidFill>
                    <a:schemeClr val="tx1">
                      <a:lumMod val="95000"/>
                      <a:lumOff val="5000"/>
                    </a:schemeClr>
                  </a:solidFill>
                </a:rPr>
                <a:t> </a:t>
              </a:r>
              <a:endParaRPr lang="en-SE" sz="1200" b="1" baseline="-25000">
                <a:solidFill>
                  <a:schemeClr val="tx1">
                    <a:lumMod val="95000"/>
                    <a:lumOff val="5000"/>
                  </a:schemeClr>
                </a:solidFill>
              </a:endParaRPr>
            </a:p>
          </xdr:txBody>
        </xdr:sp>
        <xdr:sp macro="" textlink="">
          <xdr:nvSpPr>
            <xdr:cNvPr id="47" name="TextBox 1">
              <a:extLst>
                <a:ext uri="{FF2B5EF4-FFF2-40B4-BE49-F238E27FC236}">
                  <a16:creationId xmlns:a16="http://schemas.microsoft.com/office/drawing/2014/main" id="{3062CC75-898E-821A-1E76-A996C6DC1197}"/>
                </a:ext>
              </a:extLst>
            </xdr:cNvPr>
            <xdr:cNvSpPr txBox="1"/>
          </xdr:nvSpPr>
          <xdr:spPr>
            <a:xfrm>
              <a:off x="2641273" y="6350"/>
              <a:ext cx="922630" cy="279620"/>
            </a:xfrm>
            <a:prstGeom prst="rect">
              <a:avLst/>
            </a:prstGeom>
          </xdr:spPr>
          <xdr:txBody>
            <a:bodyPr wrap="square" rtlCol="0"/>
            <a:lstStyle>
              <a:lvl1pPr marL="0" indent="0">
                <a:defRPr sz="1100"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SE" sz="1200" b="1" baseline="0">
                  <a:solidFill>
                    <a:schemeClr val="tx1">
                      <a:lumMod val="95000"/>
                      <a:lumOff val="5000"/>
                    </a:schemeClr>
                  </a:solidFill>
                </a:rPr>
                <a:t>SHC</a:t>
              </a:r>
              <a:r>
                <a:rPr lang="en-SE" sz="1200" b="1" baseline="-25000">
                  <a:solidFill>
                    <a:schemeClr val="tx1">
                      <a:lumMod val="95000"/>
                      <a:lumOff val="5000"/>
                    </a:schemeClr>
                  </a:solidFill>
                </a:rPr>
                <a:t>hdrz-PH-ugr</a:t>
              </a:r>
              <a:r>
                <a:rPr lang="en-SE" sz="1200" b="1" baseline="0">
                  <a:solidFill>
                    <a:schemeClr val="tx1">
                      <a:lumMod val="95000"/>
                      <a:lumOff val="5000"/>
                    </a:schemeClr>
                  </a:solidFill>
                </a:rPr>
                <a:t> </a:t>
              </a:r>
              <a:endParaRPr lang="en-SE" sz="1200" b="1" baseline="-25000">
                <a:solidFill>
                  <a:schemeClr val="tx1">
                    <a:lumMod val="95000"/>
                    <a:lumOff val="5000"/>
                  </a:schemeClr>
                </a:solidFill>
              </a:endParaRPr>
            </a:p>
          </xdr:txBody>
        </xdr:sp>
      </xdr:grpSp>
    </xdr:grpSp>
    <xdr:clientData/>
  </xdr:twoCellAnchor>
  <xdr:twoCellAnchor>
    <xdr:from>
      <xdr:col>1</xdr:col>
      <xdr:colOff>76200</xdr:colOff>
      <xdr:row>52</xdr:row>
      <xdr:rowOff>114300</xdr:rowOff>
    </xdr:from>
    <xdr:to>
      <xdr:col>8</xdr:col>
      <xdr:colOff>196499</xdr:colOff>
      <xdr:row>69</xdr:row>
      <xdr:rowOff>6</xdr:rowOff>
    </xdr:to>
    <xdr:grpSp>
      <xdr:nvGrpSpPr>
        <xdr:cNvPr id="48" name="Group 47">
          <a:extLst>
            <a:ext uri="{FF2B5EF4-FFF2-40B4-BE49-F238E27FC236}">
              <a16:creationId xmlns:a16="http://schemas.microsoft.com/office/drawing/2014/main" id="{6F0A32C9-C04B-4A32-B55B-AA4D984B6C93}"/>
            </a:ext>
          </a:extLst>
        </xdr:cNvPr>
        <xdr:cNvGrpSpPr/>
      </xdr:nvGrpSpPr>
      <xdr:grpSpPr>
        <a:xfrm>
          <a:off x="685800" y="8369300"/>
          <a:ext cx="4387499" cy="2584456"/>
          <a:chOff x="819190" y="8485185"/>
          <a:chExt cx="4387499" cy="2260606"/>
        </a:xfrm>
      </xdr:grpSpPr>
      <xdr:graphicFrame macro="">
        <xdr:nvGraphicFramePr>
          <xdr:cNvPr id="49" name="Chart 48">
            <a:extLst>
              <a:ext uri="{FF2B5EF4-FFF2-40B4-BE49-F238E27FC236}">
                <a16:creationId xmlns:a16="http://schemas.microsoft.com/office/drawing/2014/main" id="{672FCDF4-0AFC-0089-D559-511273175C3A}"/>
              </a:ext>
            </a:extLst>
          </xdr:cNvPr>
          <xdr:cNvGraphicFramePr>
            <a:graphicFrameLocks/>
          </xdr:cNvGraphicFramePr>
        </xdr:nvGraphicFramePr>
        <xdr:xfrm>
          <a:off x="819190" y="8485185"/>
          <a:ext cx="4330660" cy="226060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  <xdr:grpSp>
        <xdr:nvGrpSpPr>
          <xdr:cNvPr id="50" name="Group 49">
            <a:extLst>
              <a:ext uri="{FF2B5EF4-FFF2-40B4-BE49-F238E27FC236}">
                <a16:creationId xmlns:a16="http://schemas.microsoft.com/office/drawing/2014/main" id="{E2441144-7480-5B2A-0B60-6242031558E9}"/>
              </a:ext>
            </a:extLst>
          </xdr:cNvPr>
          <xdr:cNvGrpSpPr/>
        </xdr:nvGrpSpPr>
        <xdr:grpSpPr>
          <a:xfrm>
            <a:off x="1549400" y="10091851"/>
            <a:ext cx="3657289" cy="301755"/>
            <a:chOff x="279307" y="-322161"/>
            <a:chExt cx="3497113" cy="301766"/>
          </a:xfrm>
        </xdr:grpSpPr>
        <xdr:sp macro="" textlink="">
          <xdr:nvSpPr>
            <xdr:cNvPr id="51" name="TextBox 1">
              <a:extLst>
                <a:ext uri="{FF2B5EF4-FFF2-40B4-BE49-F238E27FC236}">
                  <a16:creationId xmlns:a16="http://schemas.microsoft.com/office/drawing/2014/main" id="{3261407D-574D-42B7-B00F-C271E61A7A57}"/>
                </a:ext>
              </a:extLst>
            </xdr:cNvPr>
            <xdr:cNvSpPr txBox="1"/>
          </xdr:nvSpPr>
          <xdr:spPr>
            <a:xfrm>
              <a:off x="279307" y="-300229"/>
              <a:ext cx="895349" cy="279620"/>
            </a:xfrm>
            <a:prstGeom prst="rect">
              <a:avLst/>
            </a:prstGeom>
          </xdr:spPr>
          <xdr:txBody>
            <a:bodyPr wrap="square" rtlCol="0"/>
            <a:lstStyle>
              <a:lvl1pPr marL="0" indent="0">
                <a:defRPr sz="1100"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SE" sz="1200" b="1" baseline="0">
                  <a:solidFill>
                    <a:schemeClr val="tx1">
                      <a:lumMod val="95000"/>
                      <a:lumOff val="5000"/>
                    </a:schemeClr>
                  </a:solidFill>
                </a:rPr>
                <a:t>SHC</a:t>
              </a:r>
              <a:r>
                <a:rPr lang="en-SE" sz="1200" b="1" baseline="-25000">
                  <a:solidFill>
                    <a:schemeClr val="tx1">
                      <a:lumMod val="95000"/>
                      <a:lumOff val="5000"/>
                    </a:schemeClr>
                  </a:solidFill>
                </a:rPr>
                <a:t>ldrz-ID-ugr</a:t>
              </a:r>
              <a:r>
                <a:rPr lang="en-SE" sz="1200" b="1" baseline="0">
                  <a:solidFill>
                    <a:schemeClr val="tx1">
                      <a:lumMod val="95000"/>
                      <a:lumOff val="5000"/>
                    </a:schemeClr>
                  </a:solidFill>
                </a:rPr>
                <a:t> </a:t>
              </a:r>
              <a:endParaRPr lang="en-SE" sz="1200" b="1" baseline="-25000">
                <a:solidFill>
                  <a:schemeClr val="tx1">
                    <a:lumMod val="95000"/>
                    <a:lumOff val="5000"/>
                  </a:schemeClr>
                </a:solidFill>
              </a:endParaRPr>
            </a:p>
          </xdr:txBody>
        </xdr:sp>
        <xdr:sp macro="" textlink="">
          <xdr:nvSpPr>
            <xdr:cNvPr id="52" name="TextBox 1">
              <a:extLst>
                <a:ext uri="{FF2B5EF4-FFF2-40B4-BE49-F238E27FC236}">
                  <a16:creationId xmlns:a16="http://schemas.microsoft.com/office/drawing/2014/main" id="{3CB491C3-934B-226C-2791-861B1C235320}"/>
                </a:ext>
              </a:extLst>
            </xdr:cNvPr>
            <xdr:cNvSpPr txBox="1"/>
          </xdr:nvSpPr>
          <xdr:spPr>
            <a:xfrm>
              <a:off x="1120831" y="-300015"/>
              <a:ext cx="914170" cy="279620"/>
            </a:xfrm>
            <a:prstGeom prst="rect">
              <a:avLst/>
            </a:prstGeom>
          </xdr:spPr>
          <xdr:txBody>
            <a:bodyPr wrap="square" rtlCol="0"/>
            <a:lstStyle>
              <a:lvl1pPr marL="0" indent="0">
                <a:defRPr sz="1100"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SE" sz="1200" b="1" baseline="0">
                  <a:solidFill>
                    <a:schemeClr val="tx1">
                      <a:lumMod val="95000"/>
                      <a:lumOff val="5000"/>
                    </a:schemeClr>
                  </a:solidFill>
                </a:rPr>
                <a:t>SHC</a:t>
              </a:r>
              <a:r>
                <a:rPr lang="en-SE" sz="1200" b="1" baseline="-25000">
                  <a:solidFill>
                    <a:schemeClr val="tx1">
                      <a:lumMod val="95000"/>
                      <a:lumOff val="5000"/>
                    </a:schemeClr>
                  </a:solidFill>
                </a:rPr>
                <a:t>ldrz-ID-uso</a:t>
              </a:r>
              <a:r>
                <a:rPr lang="en-SE" sz="1200" b="1" baseline="0">
                  <a:solidFill>
                    <a:schemeClr val="tx1">
                      <a:lumMod val="95000"/>
                      <a:lumOff val="5000"/>
                    </a:schemeClr>
                  </a:solidFill>
                </a:rPr>
                <a:t> </a:t>
              </a:r>
              <a:endParaRPr lang="en-SE" sz="1200" b="1" baseline="-25000">
                <a:solidFill>
                  <a:schemeClr val="tx1">
                    <a:lumMod val="95000"/>
                    <a:lumOff val="5000"/>
                  </a:schemeClr>
                </a:solidFill>
              </a:endParaRPr>
            </a:p>
          </xdr:txBody>
        </xdr:sp>
        <xdr:sp macro="" textlink="">
          <xdr:nvSpPr>
            <xdr:cNvPr id="89" name="TextBox 1">
              <a:extLst>
                <a:ext uri="{FF2B5EF4-FFF2-40B4-BE49-F238E27FC236}">
                  <a16:creationId xmlns:a16="http://schemas.microsoft.com/office/drawing/2014/main" id="{0D72E5B1-8069-F6F6-D8B4-FA2DAF5F6DE7}"/>
                </a:ext>
              </a:extLst>
            </xdr:cNvPr>
            <xdr:cNvSpPr txBox="1"/>
          </xdr:nvSpPr>
          <xdr:spPr>
            <a:xfrm>
              <a:off x="1967332" y="-300015"/>
              <a:ext cx="944097" cy="279620"/>
            </a:xfrm>
            <a:prstGeom prst="rect">
              <a:avLst/>
            </a:prstGeom>
          </xdr:spPr>
          <xdr:txBody>
            <a:bodyPr wrap="square" rtlCol="0"/>
            <a:lstStyle>
              <a:lvl1pPr marL="0" indent="0">
                <a:defRPr sz="1100"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SE" sz="1200" b="1" baseline="0">
                  <a:solidFill>
                    <a:schemeClr val="tx1">
                      <a:lumMod val="95000"/>
                      <a:lumOff val="5000"/>
                    </a:schemeClr>
                  </a:solidFill>
                </a:rPr>
                <a:t>SHC</a:t>
              </a:r>
              <a:r>
                <a:rPr lang="en-SE" sz="1200" b="1" baseline="-25000">
                  <a:solidFill>
                    <a:schemeClr val="tx1">
                      <a:lumMod val="95000"/>
                      <a:lumOff val="5000"/>
                    </a:schemeClr>
                  </a:solidFill>
                </a:rPr>
                <a:t>mdrz-ID-ugr</a:t>
              </a:r>
              <a:r>
                <a:rPr lang="en-SE" sz="1200" b="1" baseline="0">
                  <a:solidFill>
                    <a:schemeClr val="tx1">
                      <a:lumMod val="95000"/>
                      <a:lumOff val="5000"/>
                    </a:schemeClr>
                  </a:solidFill>
                </a:rPr>
                <a:t> </a:t>
              </a:r>
              <a:endParaRPr lang="en-SE" sz="1200" b="1" baseline="-25000">
                <a:solidFill>
                  <a:schemeClr val="tx1">
                    <a:lumMod val="95000"/>
                    <a:lumOff val="5000"/>
                  </a:schemeClr>
                </a:solidFill>
              </a:endParaRPr>
            </a:p>
          </xdr:txBody>
        </xdr:sp>
        <xdr:sp macro="" textlink="">
          <xdr:nvSpPr>
            <xdr:cNvPr id="90" name="TextBox 1">
              <a:extLst>
                <a:ext uri="{FF2B5EF4-FFF2-40B4-BE49-F238E27FC236}">
                  <a16:creationId xmlns:a16="http://schemas.microsoft.com/office/drawing/2014/main" id="{E2B20A05-E4EA-2F40-A087-FBAA04E3ABD1}"/>
                </a:ext>
              </a:extLst>
            </xdr:cNvPr>
            <xdr:cNvSpPr txBox="1"/>
          </xdr:nvSpPr>
          <xdr:spPr>
            <a:xfrm>
              <a:off x="2881071" y="-322161"/>
              <a:ext cx="895349" cy="279620"/>
            </a:xfrm>
            <a:prstGeom prst="rect">
              <a:avLst/>
            </a:prstGeom>
          </xdr:spPr>
          <xdr:txBody>
            <a:bodyPr wrap="square" rtlCol="0"/>
            <a:lstStyle>
              <a:lvl1pPr marL="0" indent="0">
                <a:defRPr sz="1100"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SE" sz="1200" b="1" baseline="0">
                  <a:solidFill>
                    <a:schemeClr val="tx1">
                      <a:lumMod val="95000"/>
                      <a:lumOff val="5000"/>
                    </a:schemeClr>
                  </a:solidFill>
                </a:rPr>
                <a:t>SHC</a:t>
              </a:r>
              <a:r>
                <a:rPr lang="en-SE" sz="1200" b="1" baseline="-25000">
                  <a:solidFill>
                    <a:schemeClr val="tx1">
                      <a:lumMod val="95000"/>
                      <a:lumOff val="5000"/>
                    </a:schemeClr>
                  </a:solidFill>
                </a:rPr>
                <a:t>hdrz-ID-ugr</a:t>
              </a:r>
              <a:r>
                <a:rPr lang="en-SE" sz="1200" b="1" baseline="0">
                  <a:solidFill>
                    <a:schemeClr val="tx1">
                      <a:lumMod val="95000"/>
                      <a:lumOff val="5000"/>
                    </a:schemeClr>
                  </a:solidFill>
                </a:rPr>
                <a:t> </a:t>
              </a:r>
              <a:endParaRPr lang="en-SE" sz="1200" b="1" baseline="-25000">
                <a:solidFill>
                  <a:schemeClr val="tx1">
                    <a:lumMod val="95000"/>
                    <a:lumOff val="5000"/>
                  </a:schemeClr>
                </a:solidFill>
              </a:endParaRPr>
            </a:p>
          </xdr:txBody>
        </xdr:sp>
      </xdr:grpSp>
    </xdr:grpSp>
    <xdr:clientData/>
  </xdr:twoCellAnchor>
  <xdr:twoCellAnchor>
    <xdr:from>
      <xdr:col>12</xdr:col>
      <xdr:colOff>241300</xdr:colOff>
      <xdr:row>53</xdr:row>
      <xdr:rowOff>82550</xdr:rowOff>
    </xdr:from>
    <xdr:to>
      <xdr:col>19</xdr:col>
      <xdr:colOff>271780</xdr:colOff>
      <xdr:row>68</xdr:row>
      <xdr:rowOff>69850</xdr:rowOff>
    </xdr:to>
    <xdr:grpSp>
      <xdr:nvGrpSpPr>
        <xdr:cNvPr id="91" name="Group 90">
          <a:extLst>
            <a:ext uri="{FF2B5EF4-FFF2-40B4-BE49-F238E27FC236}">
              <a16:creationId xmlns:a16="http://schemas.microsoft.com/office/drawing/2014/main" id="{31FB0CC7-57ED-49C8-AB16-655C5303F619}"/>
            </a:ext>
          </a:extLst>
        </xdr:cNvPr>
        <xdr:cNvGrpSpPr/>
      </xdr:nvGrpSpPr>
      <xdr:grpSpPr>
        <a:xfrm>
          <a:off x="7556500" y="8496300"/>
          <a:ext cx="4297680" cy="2368550"/>
          <a:chOff x="7315200" y="8502650"/>
          <a:chExt cx="4297680" cy="2368550"/>
        </a:xfrm>
      </xdr:grpSpPr>
      <xdr:graphicFrame macro="">
        <xdr:nvGraphicFramePr>
          <xdr:cNvPr id="92" name="Chart 91">
            <a:extLst>
              <a:ext uri="{FF2B5EF4-FFF2-40B4-BE49-F238E27FC236}">
                <a16:creationId xmlns:a16="http://schemas.microsoft.com/office/drawing/2014/main" id="{CB358016-35E4-9F3A-B626-E8C78313CC04}"/>
              </a:ext>
            </a:extLst>
          </xdr:cNvPr>
          <xdr:cNvGraphicFramePr>
            <a:graphicFrameLocks/>
          </xdr:cNvGraphicFramePr>
        </xdr:nvGraphicFramePr>
        <xdr:xfrm>
          <a:off x="7315200" y="8502650"/>
          <a:ext cx="4297680" cy="236855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8"/>
          </a:graphicData>
        </a:graphic>
      </xdr:graphicFrame>
      <xdr:grpSp>
        <xdr:nvGrpSpPr>
          <xdr:cNvPr id="93" name="Group 92">
            <a:extLst>
              <a:ext uri="{FF2B5EF4-FFF2-40B4-BE49-F238E27FC236}">
                <a16:creationId xmlns:a16="http://schemas.microsoft.com/office/drawing/2014/main" id="{19891058-3882-CF09-21D5-7D730A014A31}"/>
              </a:ext>
            </a:extLst>
          </xdr:cNvPr>
          <xdr:cNvGrpSpPr/>
        </xdr:nvGrpSpPr>
        <xdr:grpSpPr>
          <a:xfrm>
            <a:off x="7359650" y="10232731"/>
            <a:ext cx="3746189" cy="321178"/>
            <a:chOff x="-42503" y="21932"/>
            <a:chExt cx="3582119" cy="321190"/>
          </a:xfrm>
        </xdr:grpSpPr>
        <xdr:sp macro="" textlink="">
          <xdr:nvSpPr>
            <xdr:cNvPr id="94" name="TextBox 1">
              <a:extLst>
                <a:ext uri="{FF2B5EF4-FFF2-40B4-BE49-F238E27FC236}">
                  <a16:creationId xmlns:a16="http://schemas.microsoft.com/office/drawing/2014/main" id="{5FBF4CF3-1612-74BC-A978-C17E572C2032}"/>
                </a:ext>
              </a:extLst>
            </xdr:cNvPr>
            <xdr:cNvSpPr txBox="1"/>
          </xdr:nvSpPr>
          <xdr:spPr>
            <a:xfrm>
              <a:off x="-42503" y="21932"/>
              <a:ext cx="941143" cy="279620"/>
            </a:xfrm>
            <a:prstGeom prst="rect">
              <a:avLst/>
            </a:prstGeom>
          </xdr:spPr>
          <xdr:txBody>
            <a:bodyPr wrap="square" rtlCol="0"/>
            <a:lstStyle>
              <a:lvl1pPr marL="0" indent="0">
                <a:defRPr sz="1100"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SE" sz="1200" b="1" baseline="0">
                  <a:solidFill>
                    <a:schemeClr val="tx1">
                      <a:lumMod val="95000"/>
                      <a:lumOff val="5000"/>
                    </a:schemeClr>
                  </a:solidFill>
                </a:rPr>
                <a:t>SHC</a:t>
              </a:r>
              <a:r>
                <a:rPr lang="en-SE" sz="1200" b="1" baseline="-25000">
                  <a:solidFill>
                    <a:schemeClr val="tx1">
                      <a:lumMod val="95000"/>
                      <a:lumOff val="5000"/>
                    </a:schemeClr>
                  </a:solidFill>
                </a:rPr>
                <a:t>ldrz-MM-ugr</a:t>
              </a:r>
              <a:r>
                <a:rPr lang="en-SE" sz="1200" b="1" baseline="0">
                  <a:solidFill>
                    <a:schemeClr val="tx1">
                      <a:lumMod val="95000"/>
                      <a:lumOff val="5000"/>
                    </a:schemeClr>
                  </a:solidFill>
                </a:rPr>
                <a:t> </a:t>
              </a:r>
              <a:endParaRPr lang="en-SE" sz="1200" b="1" baseline="-25000">
                <a:solidFill>
                  <a:schemeClr val="tx1">
                    <a:lumMod val="95000"/>
                    <a:lumOff val="5000"/>
                  </a:schemeClr>
                </a:solidFill>
              </a:endParaRPr>
            </a:p>
          </xdr:txBody>
        </xdr:sp>
        <xdr:sp macro="" textlink="">
          <xdr:nvSpPr>
            <xdr:cNvPr id="95" name="TextBox 1">
              <a:extLst>
                <a:ext uri="{FF2B5EF4-FFF2-40B4-BE49-F238E27FC236}">
                  <a16:creationId xmlns:a16="http://schemas.microsoft.com/office/drawing/2014/main" id="{99E8865F-3167-09FD-2B7C-155780D4B87E}"/>
                </a:ext>
              </a:extLst>
            </xdr:cNvPr>
            <xdr:cNvSpPr txBox="1"/>
          </xdr:nvSpPr>
          <xdr:spPr>
            <a:xfrm>
              <a:off x="823309" y="43585"/>
              <a:ext cx="980044" cy="279620"/>
            </a:xfrm>
            <a:prstGeom prst="rect">
              <a:avLst/>
            </a:prstGeom>
          </xdr:spPr>
          <xdr:txBody>
            <a:bodyPr wrap="square" rtlCol="0"/>
            <a:lstStyle>
              <a:lvl1pPr marL="0" indent="0">
                <a:defRPr sz="1100"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SE" sz="1200" b="1" baseline="0">
                  <a:solidFill>
                    <a:schemeClr val="tx1">
                      <a:lumMod val="95000"/>
                      <a:lumOff val="5000"/>
                    </a:schemeClr>
                  </a:solidFill>
                </a:rPr>
                <a:t>SHC</a:t>
              </a:r>
              <a:r>
                <a:rPr lang="en-SE" sz="1200" b="1" baseline="-25000">
                  <a:solidFill>
                    <a:schemeClr val="tx1">
                      <a:lumMod val="95000"/>
                      <a:lumOff val="5000"/>
                    </a:schemeClr>
                  </a:solidFill>
                </a:rPr>
                <a:t>ldrz-MM-uso</a:t>
              </a:r>
              <a:r>
                <a:rPr lang="en-SE" sz="1200" b="1" baseline="0">
                  <a:solidFill>
                    <a:schemeClr val="tx1">
                      <a:lumMod val="95000"/>
                      <a:lumOff val="5000"/>
                    </a:schemeClr>
                  </a:solidFill>
                </a:rPr>
                <a:t> </a:t>
              </a:r>
              <a:endParaRPr lang="en-SE" sz="1200" b="1" baseline="-25000">
                <a:solidFill>
                  <a:schemeClr val="tx1">
                    <a:lumMod val="95000"/>
                    <a:lumOff val="5000"/>
                  </a:schemeClr>
                </a:solidFill>
              </a:endParaRPr>
            </a:p>
          </xdr:txBody>
        </xdr:sp>
        <xdr:sp macro="" textlink="">
          <xdr:nvSpPr>
            <xdr:cNvPr id="96" name="TextBox 1">
              <a:extLst>
                <a:ext uri="{FF2B5EF4-FFF2-40B4-BE49-F238E27FC236}">
                  <a16:creationId xmlns:a16="http://schemas.microsoft.com/office/drawing/2014/main" id="{0AEDAA59-D2F7-3EE6-75DD-9D7FDD57F216}"/>
                </a:ext>
              </a:extLst>
            </xdr:cNvPr>
            <xdr:cNvSpPr txBox="1"/>
          </xdr:nvSpPr>
          <xdr:spPr>
            <a:xfrm>
              <a:off x="1694058" y="62635"/>
              <a:ext cx="983647" cy="279620"/>
            </a:xfrm>
            <a:prstGeom prst="rect">
              <a:avLst/>
            </a:prstGeom>
          </xdr:spPr>
          <xdr:txBody>
            <a:bodyPr wrap="square" rtlCol="0"/>
            <a:lstStyle>
              <a:lvl1pPr marL="0" indent="0">
                <a:defRPr sz="1100"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SE" sz="1200" b="1" baseline="0">
                  <a:solidFill>
                    <a:schemeClr val="tx1">
                      <a:lumMod val="95000"/>
                      <a:lumOff val="5000"/>
                    </a:schemeClr>
                  </a:solidFill>
                </a:rPr>
                <a:t>SHC</a:t>
              </a:r>
              <a:r>
                <a:rPr lang="en-SE" sz="1200" b="1" baseline="-25000">
                  <a:solidFill>
                    <a:schemeClr val="tx1">
                      <a:lumMod val="95000"/>
                      <a:lumOff val="5000"/>
                    </a:schemeClr>
                  </a:solidFill>
                </a:rPr>
                <a:t>mdrz-MM-ugr</a:t>
              </a:r>
              <a:r>
                <a:rPr lang="en-SE" sz="1200" b="1" baseline="0">
                  <a:solidFill>
                    <a:schemeClr val="tx1">
                      <a:lumMod val="95000"/>
                      <a:lumOff val="5000"/>
                    </a:schemeClr>
                  </a:solidFill>
                </a:rPr>
                <a:t> </a:t>
              </a:r>
              <a:endParaRPr lang="en-SE" sz="1200" b="1" baseline="-25000">
                <a:solidFill>
                  <a:schemeClr val="tx1">
                    <a:lumMod val="95000"/>
                    <a:lumOff val="5000"/>
                  </a:schemeClr>
                </a:solidFill>
              </a:endParaRPr>
            </a:p>
          </xdr:txBody>
        </xdr:sp>
        <xdr:sp macro="" textlink="">
          <xdr:nvSpPr>
            <xdr:cNvPr id="97" name="TextBox 1">
              <a:extLst>
                <a:ext uri="{FF2B5EF4-FFF2-40B4-BE49-F238E27FC236}">
                  <a16:creationId xmlns:a16="http://schemas.microsoft.com/office/drawing/2014/main" id="{935618D9-6E84-1A8A-770E-905E10850205}"/>
                </a:ext>
              </a:extLst>
            </xdr:cNvPr>
            <xdr:cNvSpPr txBox="1"/>
          </xdr:nvSpPr>
          <xdr:spPr>
            <a:xfrm>
              <a:off x="2556267" y="63502"/>
              <a:ext cx="983349" cy="279620"/>
            </a:xfrm>
            <a:prstGeom prst="rect">
              <a:avLst/>
            </a:prstGeom>
          </xdr:spPr>
          <xdr:txBody>
            <a:bodyPr wrap="square" rtlCol="0"/>
            <a:lstStyle>
              <a:lvl1pPr marL="0" indent="0">
                <a:defRPr sz="1100"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SE" sz="1200" b="1" baseline="0">
                  <a:solidFill>
                    <a:schemeClr val="tx1">
                      <a:lumMod val="95000"/>
                      <a:lumOff val="5000"/>
                    </a:schemeClr>
                  </a:solidFill>
                </a:rPr>
                <a:t>SHC</a:t>
              </a:r>
              <a:r>
                <a:rPr lang="en-SE" sz="1200" b="1" baseline="-25000">
                  <a:solidFill>
                    <a:schemeClr val="tx1">
                      <a:lumMod val="95000"/>
                      <a:lumOff val="5000"/>
                    </a:schemeClr>
                  </a:solidFill>
                </a:rPr>
                <a:t>hdrz-MM-ugr</a:t>
              </a:r>
              <a:r>
                <a:rPr lang="en-SE" sz="1200" b="1" baseline="0">
                  <a:solidFill>
                    <a:schemeClr val="tx1">
                      <a:lumMod val="95000"/>
                      <a:lumOff val="5000"/>
                    </a:schemeClr>
                  </a:solidFill>
                </a:rPr>
                <a:t> </a:t>
              </a:r>
              <a:endParaRPr lang="en-SE" sz="1200" b="1" baseline="-25000">
                <a:solidFill>
                  <a:schemeClr val="tx1">
                    <a:lumMod val="95000"/>
                    <a:lumOff val="5000"/>
                  </a:schemeClr>
                </a:solidFill>
              </a:endParaRPr>
            </a:p>
          </xdr:txBody>
        </xdr:sp>
      </xdr:grpSp>
    </xdr:grp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0.17639</cdr:x>
      <cdr:y>0.71528</cdr:y>
    </cdr:from>
    <cdr:to>
      <cdr:x>1</cdr:x>
      <cdr:y>0.84259</cdr:y>
    </cdr:to>
    <cdr:grpSp>
      <cdr:nvGrpSpPr>
        <cdr:cNvPr id="11" name="Group 10">
          <a:extLst xmlns:a="http://schemas.openxmlformats.org/drawingml/2006/main">
            <a:ext uri="{FF2B5EF4-FFF2-40B4-BE49-F238E27FC236}">
              <a16:creationId xmlns:a16="http://schemas.microsoft.com/office/drawing/2014/main" id="{956C3245-1ECF-88D1-DBC5-22C47208F01A}"/>
            </a:ext>
          </a:extLst>
        </cdr:cNvPr>
        <cdr:cNvGrpSpPr/>
      </cdr:nvGrpSpPr>
      <cdr:grpSpPr>
        <a:xfrm xmlns:a="http://schemas.openxmlformats.org/drawingml/2006/main">
          <a:off x="792790" y="1694176"/>
          <a:ext cx="3701740" cy="301541"/>
          <a:chOff x="758064" y="1694171"/>
          <a:chExt cx="3539616" cy="301552"/>
        </a:xfrm>
      </cdr:grpSpPr>
      <cdr:sp macro="" textlink="">
        <cdr:nvSpPr>
          <cdr:cNvPr id="3" name="TextBox 1">
            <a:extLst xmlns:a="http://schemas.openxmlformats.org/drawingml/2006/main">
              <a:ext uri="{FF2B5EF4-FFF2-40B4-BE49-F238E27FC236}">
                <a16:creationId xmlns:a16="http://schemas.microsoft.com/office/drawing/2014/main" id="{790713E2-EE09-AA5D-4E52-E1E4A4C0C652}"/>
              </a:ext>
            </a:extLst>
          </cdr:cNvPr>
          <cdr:cNvSpPr txBox="1"/>
        </cdr:nvSpPr>
        <cdr:spPr>
          <a:xfrm xmlns:a="http://schemas.openxmlformats.org/drawingml/2006/main">
            <a:off x="758064" y="1716103"/>
            <a:ext cx="895349" cy="279620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wrap="square" rtlCol="0"/>
          <a:lstStyle xmlns:a="http://schemas.openxmlformats.org/drawingml/2006/main"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ctr"/>
            <a:r>
              <a:rPr lang="en-SE" sz="1200" b="1" baseline="0">
                <a:solidFill>
                  <a:schemeClr val="tx1">
                    <a:lumMod val="95000"/>
                    <a:lumOff val="5000"/>
                  </a:schemeClr>
                </a:solidFill>
              </a:rPr>
              <a:t>SHC</a:t>
            </a:r>
            <a:r>
              <a:rPr lang="en-SE" sz="1200" b="1" baseline="-25000">
                <a:solidFill>
                  <a:schemeClr val="tx1">
                    <a:lumMod val="95000"/>
                    <a:lumOff val="5000"/>
                  </a:schemeClr>
                </a:solidFill>
              </a:rPr>
              <a:t>ldrz-IN-ugr</a:t>
            </a:r>
            <a:r>
              <a:rPr lang="en-SE" sz="1200" b="1" baseline="0">
                <a:solidFill>
                  <a:schemeClr val="tx1">
                    <a:lumMod val="95000"/>
                    <a:lumOff val="5000"/>
                  </a:schemeClr>
                </a:solidFill>
              </a:rPr>
              <a:t> </a:t>
            </a:r>
            <a:endParaRPr lang="en-SE" sz="1200" b="1" baseline="-25000">
              <a:solidFill>
                <a:schemeClr val="tx1">
                  <a:lumMod val="95000"/>
                  <a:lumOff val="5000"/>
                </a:schemeClr>
              </a:solidFill>
            </a:endParaRPr>
          </a:p>
        </cdr:txBody>
      </cdr:sp>
      <cdr:sp macro="" textlink="">
        <cdr:nvSpPr>
          <cdr:cNvPr id="4" name="TextBox 1">
            <a:extLst xmlns:a="http://schemas.openxmlformats.org/drawingml/2006/main">
              <a:ext uri="{FF2B5EF4-FFF2-40B4-BE49-F238E27FC236}">
                <a16:creationId xmlns:a16="http://schemas.microsoft.com/office/drawing/2014/main" id="{4DEC21ED-4BBB-6AFA-D71F-6DADBBA9296A}"/>
              </a:ext>
            </a:extLst>
          </cdr:cNvPr>
          <cdr:cNvSpPr txBox="1"/>
        </cdr:nvSpPr>
        <cdr:spPr>
          <a:xfrm xmlns:a="http://schemas.openxmlformats.org/drawingml/2006/main">
            <a:off x="1605660" y="1699654"/>
            <a:ext cx="914170" cy="279620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wrap="square" rtlCol="0"/>
          <a:lstStyle xmlns:a="http://schemas.openxmlformats.org/drawingml/2006/main"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ctr"/>
            <a:r>
              <a:rPr lang="en-SE" sz="1200" b="1" baseline="0">
                <a:solidFill>
                  <a:schemeClr val="tx1">
                    <a:lumMod val="95000"/>
                    <a:lumOff val="5000"/>
                  </a:schemeClr>
                </a:solidFill>
              </a:rPr>
              <a:t>SHC</a:t>
            </a:r>
            <a:r>
              <a:rPr lang="en-SE" sz="1200" b="1" baseline="-25000">
                <a:solidFill>
                  <a:schemeClr val="tx1">
                    <a:lumMod val="95000"/>
                    <a:lumOff val="5000"/>
                  </a:schemeClr>
                </a:solidFill>
              </a:rPr>
              <a:t>ldrz-IN-uso</a:t>
            </a:r>
            <a:r>
              <a:rPr lang="en-SE" sz="1200" b="1" baseline="0">
                <a:solidFill>
                  <a:schemeClr val="tx1">
                    <a:lumMod val="95000"/>
                    <a:lumOff val="5000"/>
                  </a:schemeClr>
                </a:solidFill>
              </a:rPr>
              <a:t> </a:t>
            </a:r>
            <a:endParaRPr lang="en-SE" sz="1200" b="1" baseline="-25000">
              <a:solidFill>
                <a:schemeClr val="tx1">
                  <a:lumMod val="95000"/>
                  <a:lumOff val="5000"/>
                </a:schemeClr>
              </a:solidFill>
            </a:endParaRPr>
          </a:p>
        </cdr:txBody>
      </cdr:sp>
      <cdr:sp macro="" textlink="">
        <cdr:nvSpPr>
          <cdr:cNvPr id="5" name="TextBox 1">
            <a:extLst xmlns:a="http://schemas.openxmlformats.org/drawingml/2006/main">
              <a:ext uri="{FF2B5EF4-FFF2-40B4-BE49-F238E27FC236}">
                <a16:creationId xmlns:a16="http://schemas.microsoft.com/office/drawing/2014/main" id="{D9F0469D-2D27-1D93-DB9A-E6E0D376A50E}"/>
              </a:ext>
            </a:extLst>
          </cdr:cNvPr>
          <cdr:cNvSpPr txBox="1"/>
        </cdr:nvSpPr>
        <cdr:spPr>
          <a:xfrm xmlns:a="http://schemas.openxmlformats.org/drawingml/2006/main">
            <a:off x="2495543" y="1699654"/>
            <a:ext cx="906786" cy="279620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wrap="square" rtlCol="0"/>
          <a:lstStyle xmlns:a="http://schemas.openxmlformats.org/drawingml/2006/main"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ctr"/>
            <a:r>
              <a:rPr lang="en-SE" sz="1200" b="1" baseline="0">
                <a:solidFill>
                  <a:schemeClr val="tx1">
                    <a:lumMod val="95000"/>
                    <a:lumOff val="5000"/>
                  </a:schemeClr>
                </a:solidFill>
              </a:rPr>
              <a:t>SHC</a:t>
            </a:r>
            <a:r>
              <a:rPr lang="en-SE" sz="1200" b="1" baseline="-25000">
                <a:solidFill>
                  <a:schemeClr val="tx1">
                    <a:lumMod val="95000"/>
                    <a:lumOff val="5000"/>
                  </a:schemeClr>
                </a:solidFill>
              </a:rPr>
              <a:t>mdrz-IN-ugr</a:t>
            </a:r>
            <a:r>
              <a:rPr lang="en-SE" sz="1200" b="1" baseline="0">
                <a:solidFill>
                  <a:schemeClr val="tx1">
                    <a:lumMod val="95000"/>
                    <a:lumOff val="5000"/>
                  </a:schemeClr>
                </a:solidFill>
              </a:rPr>
              <a:t> </a:t>
            </a:r>
            <a:endParaRPr lang="en-SE" sz="1200" b="1" baseline="-25000">
              <a:solidFill>
                <a:schemeClr val="tx1">
                  <a:lumMod val="95000"/>
                  <a:lumOff val="5000"/>
                </a:schemeClr>
              </a:solidFill>
            </a:endParaRPr>
          </a:p>
        </cdr:txBody>
      </cdr:sp>
      <cdr:sp macro="" textlink="">
        <cdr:nvSpPr>
          <cdr:cNvPr id="6" name="TextBox 1">
            <a:extLst xmlns:a="http://schemas.openxmlformats.org/drawingml/2006/main">
              <a:ext uri="{FF2B5EF4-FFF2-40B4-BE49-F238E27FC236}">
                <a16:creationId xmlns:a16="http://schemas.microsoft.com/office/drawing/2014/main" id="{D9F0469D-2D27-1D93-DB9A-E6E0D376A50E}"/>
              </a:ext>
            </a:extLst>
          </cdr:cNvPr>
          <cdr:cNvSpPr txBox="1"/>
        </cdr:nvSpPr>
        <cdr:spPr>
          <a:xfrm xmlns:a="http://schemas.openxmlformats.org/drawingml/2006/main">
            <a:off x="3406326" y="1694171"/>
            <a:ext cx="891354" cy="279620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wrap="square" rtlCol="0"/>
          <a:lstStyle xmlns:a="http://schemas.openxmlformats.org/drawingml/2006/main"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ctr"/>
            <a:r>
              <a:rPr lang="en-SE" sz="1200" b="1" baseline="0">
                <a:solidFill>
                  <a:schemeClr val="tx1">
                    <a:lumMod val="95000"/>
                    <a:lumOff val="5000"/>
                  </a:schemeClr>
                </a:solidFill>
              </a:rPr>
              <a:t>SHC</a:t>
            </a:r>
            <a:r>
              <a:rPr lang="en-SE" sz="1200" b="1" baseline="-25000">
                <a:solidFill>
                  <a:schemeClr val="tx1">
                    <a:lumMod val="95000"/>
                    <a:lumOff val="5000"/>
                  </a:schemeClr>
                </a:solidFill>
              </a:rPr>
              <a:t>hdrz-IN-ugr</a:t>
            </a:r>
            <a:r>
              <a:rPr lang="en-SE" sz="1200" b="1" baseline="0">
                <a:solidFill>
                  <a:schemeClr val="tx1">
                    <a:lumMod val="95000"/>
                    <a:lumOff val="5000"/>
                  </a:schemeClr>
                </a:solidFill>
              </a:rPr>
              <a:t> </a:t>
            </a:r>
            <a:endParaRPr lang="en-SE" sz="1200" b="1" baseline="-25000">
              <a:solidFill>
                <a:schemeClr val="tx1">
                  <a:lumMod val="95000"/>
                  <a:lumOff val="5000"/>
                </a:schemeClr>
              </a:solidFill>
            </a:endParaRPr>
          </a:p>
        </cdr:txBody>
      </cdr:sp>
    </cdr:grpSp>
  </cdr:relSizeAnchor>
  <cdr:relSizeAnchor xmlns:cdr="http://schemas.openxmlformats.org/drawingml/2006/chartDrawing">
    <cdr:from>
      <cdr:x>0.22394</cdr:x>
      <cdr:y>0.08579</cdr:y>
    </cdr:from>
    <cdr:to>
      <cdr:x>0.88222</cdr:x>
      <cdr:y>0.61939</cdr:y>
    </cdr:to>
    <cdr:grpSp>
      <cdr:nvGrpSpPr>
        <cdr:cNvPr id="12" name="Group 11">
          <a:extLst xmlns:a="http://schemas.openxmlformats.org/drawingml/2006/main">
            <a:ext uri="{FF2B5EF4-FFF2-40B4-BE49-F238E27FC236}">
              <a16:creationId xmlns:a16="http://schemas.microsoft.com/office/drawing/2014/main" id="{CB937D03-3258-10BA-5A58-44C06D47C485}"/>
            </a:ext>
          </a:extLst>
        </cdr:cNvPr>
        <cdr:cNvGrpSpPr/>
      </cdr:nvGrpSpPr>
      <cdr:grpSpPr>
        <a:xfrm xmlns:a="http://schemas.openxmlformats.org/drawingml/2006/main">
          <a:off x="1006505" y="203198"/>
          <a:ext cx="2958659" cy="1263858"/>
          <a:chOff x="962419" y="203199"/>
          <a:chExt cx="2829086" cy="1263870"/>
        </a:xfrm>
      </cdr:grpSpPr>
      <cdr:sp macro="" textlink="">
        <cdr:nvSpPr>
          <cdr:cNvPr id="7" name="TextBox 1">
            <a:extLst xmlns:a="http://schemas.openxmlformats.org/drawingml/2006/main">
              <a:ext uri="{FF2B5EF4-FFF2-40B4-BE49-F238E27FC236}">
                <a16:creationId xmlns:a16="http://schemas.microsoft.com/office/drawing/2014/main" id="{53555A50-9016-3F7B-88F1-7401BDBEB2A0}"/>
              </a:ext>
            </a:extLst>
          </cdr:cNvPr>
          <cdr:cNvSpPr txBox="1"/>
        </cdr:nvSpPr>
        <cdr:spPr>
          <a:xfrm xmlns:a="http://schemas.openxmlformats.org/drawingml/2006/main">
            <a:off x="962419" y="393699"/>
            <a:ext cx="482600" cy="279620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wrap="square" rtlCol="0"/>
          <a:lstStyle xmlns:a="http://schemas.openxmlformats.org/drawingml/2006/main"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ctr"/>
            <a:r>
              <a:rPr lang="en-SE" sz="1200" b="1" baseline="0">
                <a:solidFill>
                  <a:schemeClr val="tx1">
                    <a:lumMod val="95000"/>
                    <a:lumOff val="5000"/>
                  </a:schemeClr>
                </a:solidFill>
              </a:rPr>
              <a:t>1154 </a:t>
            </a:r>
            <a:endParaRPr lang="en-SE" sz="1200" b="1" baseline="-25000">
              <a:solidFill>
                <a:schemeClr val="tx1">
                  <a:lumMod val="95000"/>
                  <a:lumOff val="5000"/>
                </a:schemeClr>
              </a:solidFill>
            </a:endParaRPr>
          </a:p>
        </cdr:txBody>
      </cdr:sp>
      <cdr:sp macro="" textlink="">
        <cdr:nvSpPr>
          <cdr:cNvPr id="8" name="TextBox 1">
            <a:extLst xmlns:a="http://schemas.openxmlformats.org/drawingml/2006/main">
              <a:ext uri="{FF2B5EF4-FFF2-40B4-BE49-F238E27FC236}">
                <a16:creationId xmlns:a16="http://schemas.microsoft.com/office/drawing/2014/main" id="{6BDAB5F5-57FC-4734-1E68-60D85AA6E80C}"/>
              </a:ext>
            </a:extLst>
          </cdr:cNvPr>
          <cdr:cNvSpPr txBox="1"/>
        </cdr:nvSpPr>
        <cdr:spPr>
          <a:xfrm xmlns:a="http://schemas.openxmlformats.org/drawingml/2006/main">
            <a:off x="1789309" y="1187449"/>
            <a:ext cx="482600" cy="279620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wrap="square" rtlCol="0"/>
          <a:lstStyle xmlns:a="http://schemas.openxmlformats.org/drawingml/2006/main"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ctr"/>
            <a:r>
              <a:rPr lang="en-SE" sz="1200" b="1" baseline="0">
                <a:solidFill>
                  <a:schemeClr val="tx1">
                    <a:lumMod val="95000"/>
                    <a:lumOff val="5000"/>
                  </a:schemeClr>
                </a:solidFill>
              </a:rPr>
              <a:t>277 </a:t>
            </a:r>
            <a:endParaRPr lang="en-SE" sz="1200" b="1" baseline="-25000">
              <a:solidFill>
                <a:schemeClr val="tx1">
                  <a:lumMod val="95000"/>
                  <a:lumOff val="5000"/>
                </a:schemeClr>
              </a:solidFill>
            </a:endParaRPr>
          </a:p>
        </cdr:txBody>
      </cdr:sp>
      <cdr:sp macro="" textlink="">
        <cdr:nvSpPr>
          <cdr:cNvPr id="9" name="TextBox 1">
            <a:extLst xmlns:a="http://schemas.openxmlformats.org/drawingml/2006/main">
              <a:ext uri="{FF2B5EF4-FFF2-40B4-BE49-F238E27FC236}">
                <a16:creationId xmlns:a16="http://schemas.microsoft.com/office/drawing/2014/main" id="{6BDAB5F5-57FC-4734-1E68-60D85AA6E80C}"/>
              </a:ext>
            </a:extLst>
          </cdr:cNvPr>
          <cdr:cNvSpPr txBox="1"/>
        </cdr:nvSpPr>
        <cdr:spPr>
          <a:xfrm xmlns:a="http://schemas.openxmlformats.org/drawingml/2006/main">
            <a:off x="2475388" y="292100"/>
            <a:ext cx="482600" cy="279620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wrap="square" rtlCol="0"/>
          <a:lstStyle xmlns:a="http://schemas.openxmlformats.org/drawingml/2006/main"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ctr"/>
            <a:r>
              <a:rPr lang="en-SE" sz="1200" b="1" baseline="0">
                <a:solidFill>
                  <a:schemeClr val="tx1">
                    <a:lumMod val="95000"/>
                    <a:lumOff val="5000"/>
                  </a:schemeClr>
                </a:solidFill>
              </a:rPr>
              <a:t>1257 </a:t>
            </a:r>
            <a:endParaRPr lang="en-SE" sz="1200" b="1" baseline="-25000">
              <a:solidFill>
                <a:schemeClr val="tx1">
                  <a:lumMod val="95000"/>
                  <a:lumOff val="5000"/>
                </a:schemeClr>
              </a:solidFill>
            </a:endParaRPr>
          </a:p>
        </cdr:txBody>
      </cdr:sp>
      <cdr:sp macro="" textlink="">
        <cdr:nvSpPr>
          <cdr:cNvPr id="10" name="TextBox 1">
            <a:extLst xmlns:a="http://schemas.openxmlformats.org/drawingml/2006/main">
              <a:ext uri="{FF2B5EF4-FFF2-40B4-BE49-F238E27FC236}">
                <a16:creationId xmlns:a16="http://schemas.microsoft.com/office/drawing/2014/main" id="{6BDAB5F5-57FC-4734-1E68-60D85AA6E80C}"/>
              </a:ext>
            </a:extLst>
          </cdr:cNvPr>
          <cdr:cNvSpPr txBox="1"/>
        </cdr:nvSpPr>
        <cdr:spPr>
          <a:xfrm xmlns:a="http://schemas.openxmlformats.org/drawingml/2006/main">
            <a:off x="3308906" y="203199"/>
            <a:ext cx="482599" cy="279620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wrap="square" rtlCol="0"/>
          <a:lstStyle xmlns:a="http://schemas.openxmlformats.org/drawingml/2006/main"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ctr"/>
            <a:r>
              <a:rPr lang="en-SE" sz="1200" b="1" baseline="0">
                <a:solidFill>
                  <a:schemeClr val="tx1">
                    <a:lumMod val="95000"/>
                    <a:lumOff val="5000"/>
                  </a:schemeClr>
                </a:solidFill>
              </a:rPr>
              <a:t>1339 </a:t>
            </a:r>
            <a:endParaRPr lang="en-SE" sz="1200" b="1" baseline="-25000">
              <a:solidFill>
                <a:schemeClr val="tx1">
                  <a:lumMod val="95000"/>
                  <a:lumOff val="5000"/>
                </a:schemeClr>
              </a:solidFill>
            </a:endParaRPr>
          </a:p>
        </cdr:txBody>
      </cdr:sp>
    </cdr:grp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0.21129</cdr:x>
      <cdr:y>0.13404</cdr:y>
    </cdr:from>
    <cdr:to>
      <cdr:x>0.88505</cdr:x>
      <cdr:y>0.5604</cdr:y>
    </cdr:to>
    <cdr:grpSp>
      <cdr:nvGrpSpPr>
        <cdr:cNvPr id="12" name="Group 11">
          <a:extLst xmlns:a="http://schemas.openxmlformats.org/drawingml/2006/main">
            <a:ext uri="{FF2B5EF4-FFF2-40B4-BE49-F238E27FC236}">
              <a16:creationId xmlns:a16="http://schemas.microsoft.com/office/drawing/2014/main" id="{CB937D03-3258-10BA-5A58-44C06D47C485}"/>
            </a:ext>
          </a:extLst>
        </cdr:cNvPr>
        <cdr:cNvGrpSpPr/>
      </cdr:nvGrpSpPr>
      <cdr:grpSpPr>
        <a:xfrm xmlns:a="http://schemas.openxmlformats.org/drawingml/2006/main">
          <a:off x="908057" y="317480"/>
          <a:ext cx="2895605" cy="1009855"/>
          <a:chOff x="908051" y="330202"/>
          <a:chExt cx="2895597" cy="1009870"/>
        </a:xfrm>
      </cdr:grpSpPr>
      <cdr:sp macro="" textlink="">
        <cdr:nvSpPr>
          <cdr:cNvPr id="7" name="TextBox 1">
            <a:extLst xmlns:a="http://schemas.openxmlformats.org/drawingml/2006/main">
              <a:ext uri="{FF2B5EF4-FFF2-40B4-BE49-F238E27FC236}">
                <a16:creationId xmlns:a16="http://schemas.microsoft.com/office/drawing/2014/main" id="{53555A50-9016-3F7B-88F1-7401BDBEB2A0}"/>
              </a:ext>
            </a:extLst>
          </cdr:cNvPr>
          <cdr:cNvSpPr txBox="1"/>
        </cdr:nvSpPr>
        <cdr:spPr>
          <a:xfrm xmlns:a="http://schemas.openxmlformats.org/drawingml/2006/main">
            <a:off x="908051" y="368304"/>
            <a:ext cx="520695" cy="279620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wrap="square" rtlCol="0"/>
          <a:lstStyle xmlns:a="http://schemas.openxmlformats.org/drawingml/2006/main"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ctr"/>
            <a:r>
              <a:rPr lang="en-SE" sz="1200" b="1" baseline="0">
                <a:solidFill>
                  <a:schemeClr val="tx1">
                    <a:lumMod val="95000"/>
                    <a:lumOff val="5000"/>
                  </a:schemeClr>
                </a:solidFill>
              </a:rPr>
              <a:t>1226 </a:t>
            </a:r>
            <a:endParaRPr lang="en-SE" sz="1200" b="1" baseline="-25000">
              <a:solidFill>
                <a:schemeClr val="tx1">
                  <a:lumMod val="95000"/>
                  <a:lumOff val="5000"/>
                </a:schemeClr>
              </a:solidFill>
            </a:endParaRPr>
          </a:p>
        </cdr:txBody>
      </cdr:sp>
      <cdr:sp macro="" textlink="">
        <cdr:nvSpPr>
          <cdr:cNvPr id="8" name="TextBox 1">
            <a:extLst xmlns:a="http://schemas.openxmlformats.org/drawingml/2006/main">
              <a:ext uri="{FF2B5EF4-FFF2-40B4-BE49-F238E27FC236}">
                <a16:creationId xmlns:a16="http://schemas.microsoft.com/office/drawing/2014/main" id="{6BDAB5F5-57FC-4734-1E68-60D85AA6E80C}"/>
              </a:ext>
            </a:extLst>
          </cdr:cNvPr>
          <cdr:cNvSpPr txBox="1"/>
        </cdr:nvSpPr>
        <cdr:spPr>
          <a:xfrm xmlns:a="http://schemas.openxmlformats.org/drawingml/2006/main">
            <a:off x="1784350" y="1060452"/>
            <a:ext cx="482600" cy="279620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wrap="square" rtlCol="0"/>
          <a:lstStyle xmlns:a="http://schemas.openxmlformats.org/drawingml/2006/main"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ctr"/>
            <a:r>
              <a:rPr lang="en-SE" sz="1200" b="1" baseline="0">
                <a:solidFill>
                  <a:schemeClr val="tx1">
                    <a:lumMod val="95000"/>
                    <a:lumOff val="5000"/>
                  </a:schemeClr>
                </a:solidFill>
              </a:rPr>
              <a:t>476 </a:t>
            </a:r>
            <a:endParaRPr lang="en-SE" sz="1200" b="1" baseline="-25000">
              <a:solidFill>
                <a:schemeClr val="tx1">
                  <a:lumMod val="95000"/>
                  <a:lumOff val="5000"/>
                </a:schemeClr>
              </a:solidFill>
            </a:endParaRPr>
          </a:p>
        </cdr:txBody>
      </cdr:sp>
      <cdr:sp macro="" textlink="">
        <cdr:nvSpPr>
          <cdr:cNvPr id="9" name="TextBox 1">
            <a:extLst xmlns:a="http://schemas.openxmlformats.org/drawingml/2006/main">
              <a:ext uri="{FF2B5EF4-FFF2-40B4-BE49-F238E27FC236}">
                <a16:creationId xmlns:a16="http://schemas.microsoft.com/office/drawing/2014/main" id="{6BDAB5F5-57FC-4734-1E68-60D85AA6E80C}"/>
              </a:ext>
            </a:extLst>
          </cdr:cNvPr>
          <cdr:cNvSpPr txBox="1"/>
        </cdr:nvSpPr>
        <cdr:spPr>
          <a:xfrm xmlns:a="http://schemas.openxmlformats.org/drawingml/2006/main">
            <a:off x="2406650" y="387353"/>
            <a:ext cx="507998" cy="279620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wrap="square" rtlCol="0"/>
          <a:lstStyle xmlns:a="http://schemas.openxmlformats.org/drawingml/2006/main"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ctr"/>
            <a:r>
              <a:rPr lang="en-SE" sz="1200" b="1" baseline="0">
                <a:solidFill>
                  <a:schemeClr val="tx1">
                    <a:lumMod val="95000"/>
                    <a:lumOff val="5000"/>
                  </a:schemeClr>
                </a:solidFill>
              </a:rPr>
              <a:t>1248 </a:t>
            </a:r>
            <a:endParaRPr lang="en-SE" sz="1200" b="1" baseline="-25000">
              <a:solidFill>
                <a:schemeClr val="tx1">
                  <a:lumMod val="95000"/>
                  <a:lumOff val="5000"/>
                </a:schemeClr>
              </a:solidFill>
            </a:endParaRPr>
          </a:p>
        </cdr:txBody>
      </cdr:sp>
      <cdr:sp macro="" textlink="">
        <cdr:nvSpPr>
          <cdr:cNvPr id="10" name="TextBox 1">
            <a:extLst xmlns:a="http://schemas.openxmlformats.org/drawingml/2006/main">
              <a:ext uri="{FF2B5EF4-FFF2-40B4-BE49-F238E27FC236}">
                <a16:creationId xmlns:a16="http://schemas.microsoft.com/office/drawing/2014/main" id="{6BDAB5F5-57FC-4734-1E68-60D85AA6E80C}"/>
              </a:ext>
            </a:extLst>
          </cdr:cNvPr>
          <cdr:cNvSpPr txBox="1"/>
        </cdr:nvSpPr>
        <cdr:spPr>
          <a:xfrm xmlns:a="http://schemas.openxmlformats.org/drawingml/2006/main">
            <a:off x="3289304" y="330202"/>
            <a:ext cx="514344" cy="279620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wrap="square" rtlCol="0"/>
          <a:lstStyle xmlns:a="http://schemas.openxmlformats.org/drawingml/2006/main"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ctr"/>
            <a:r>
              <a:rPr lang="en-SE" sz="1200" b="1" baseline="0">
                <a:solidFill>
                  <a:schemeClr val="tx1">
                    <a:lumMod val="95000"/>
                    <a:lumOff val="5000"/>
                  </a:schemeClr>
                </a:solidFill>
              </a:rPr>
              <a:t>1302 </a:t>
            </a:r>
            <a:endParaRPr lang="en-SE" sz="1200" b="1" baseline="-25000">
              <a:solidFill>
                <a:schemeClr val="tx1">
                  <a:lumMod val="95000"/>
                  <a:lumOff val="5000"/>
                </a:schemeClr>
              </a:solidFill>
            </a:endParaRPr>
          </a:p>
        </cdr:txBody>
      </cdr:sp>
    </cdr:grpSp>
  </cdr:relSizeAnchor>
</c:userShapes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0.21277</cdr:x>
      <cdr:y>0.03754</cdr:y>
    </cdr:from>
    <cdr:to>
      <cdr:x>0.89095</cdr:x>
      <cdr:y>0.58454</cdr:y>
    </cdr:to>
    <cdr:grpSp>
      <cdr:nvGrpSpPr>
        <cdr:cNvPr id="12" name="Group 11">
          <a:extLst xmlns:a="http://schemas.openxmlformats.org/drawingml/2006/main">
            <a:ext uri="{FF2B5EF4-FFF2-40B4-BE49-F238E27FC236}">
              <a16:creationId xmlns:a16="http://schemas.microsoft.com/office/drawing/2014/main" id="{CB937D03-3258-10BA-5A58-44C06D47C485}"/>
            </a:ext>
          </a:extLst>
        </cdr:cNvPr>
        <cdr:cNvGrpSpPr/>
      </cdr:nvGrpSpPr>
      <cdr:grpSpPr>
        <a:xfrm xmlns:a="http://schemas.openxmlformats.org/drawingml/2006/main">
          <a:off x="960625" y="88915"/>
          <a:ext cx="3061881" cy="1295597"/>
          <a:chOff x="914401" y="88901"/>
          <a:chExt cx="2914646" cy="1295621"/>
        </a:xfrm>
      </cdr:grpSpPr>
      <cdr:sp macro="" textlink="">
        <cdr:nvSpPr>
          <cdr:cNvPr id="7" name="TextBox 1">
            <a:extLst xmlns:a="http://schemas.openxmlformats.org/drawingml/2006/main">
              <a:ext uri="{FF2B5EF4-FFF2-40B4-BE49-F238E27FC236}">
                <a16:creationId xmlns:a16="http://schemas.microsoft.com/office/drawing/2014/main" id="{53555A50-9016-3F7B-88F1-7401BDBEB2A0}"/>
              </a:ext>
            </a:extLst>
          </cdr:cNvPr>
          <cdr:cNvSpPr txBox="1"/>
        </cdr:nvSpPr>
        <cdr:spPr>
          <a:xfrm xmlns:a="http://schemas.openxmlformats.org/drawingml/2006/main">
            <a:off x="914401" y="88901"/>
            <a:ext cx="507986" cy="279620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wrap="square" rtlCol="0"/>
          <a:lstStyle xmlns:a="http://schemas.openxmlformats.org/drawingml/2006/main"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ctr"/>
            <a:r>
              <a:rPr lang="en-SE" sz="1200" b="1" baseline="0">
                <a:solidFill>
                  <a:schemeClr val="tx1">
                    <a:lumMod val="95000"/>
                    <a:lumOff val="5000"/>
                  </a:schemeClr>
                </a:solidFill>
              </a:rPr>
              <a:t>1017 </a:t>
            </a:r>
            <a:endParaRPr lang="en-SE" sz="1200" b="1" baseline="-25000">
              <a:solidFill>
                <a:schemeClr val="tx1">
                  <a:lumMod val="95000"/>
                  <a:lumOff val="5000"/>
                </a:schemeClr>
              </a:solidFill>
            </a:endParaRPr>
          </a:p>
        </cdr:txBody>
      </cdr:sp>
      <cdr:sp macro="" textlink="">
        <cdr:nvSpPr>
          <cdr:cNvPr id="8" name="TextBox 1">
            <a:extLst xmlns:a="http://schemas.openxmlformats.org/drawingml/2006/main">
              <a:ext uri="{FF2B5EF4-FFF2-40B4-BE49-F238E27FC236}">
                <a16:creationId xmlns:a16="http://schemas.microsoft.com/office/drawing/2014/main" id="{6BDAB5F5-57FC-4734-1E68-60D85AA6E80C}"/>
              </a:ext>
            </a:extLst>
          </cdr:cNvPr>
          <cdr:cNvSpPr txBox="1"/>
        </cdr:nvSpPr>
        <cdr:spPr>
          <a:xfrm xmlns:a="http://schemas.openxmlformats.org/drawingml/2006/main">
            <a:off x="1752600" y="1104902"/>
            <a:ext cx="482600" cy="279620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wrap="square" rtlCol="0"/>
          <a:lstStyle xmlns:a="http://schemas.openxmlformats.org/drawingml/2006/main"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ctr"/>
            <a:r>
              <a:rPr lang="en-SE" sz="1200" b="1" baseline="0">
                <a:solidFill>
                  <a:schemeClr val="tx1">
                    <a:lumMod val="95000"/>
                    <a:lumOff val="5000"/>
                  </a:schemeClr>
                </a:solidFill>
              </a:rPr>
              <a:t>283 </a:t>
            </a:r>
            <a:endParaRPr lang="en-SE" sz="1200" b="1" baseline="-25000">
              <a:solidFill>
                <a:schemeClr val="tx1">
                  <a:lumMod val="95000"/>
                  <a:lumOff val="5000"/>
                </a:schemeClr>
              </a:solidFill>
            </a:endParaRPr>
          </a:p>
        </cdr:txBody>
      </cdr:sp>
      <cdr:sp macro="" textlink="">
        <cdr:nvSpPr>
          <cdr:cNvPr id="9" name="TextBox 1">
            <a:extLst xmlns:a="http://schemas.openxmlformats.org/drawingml/2006/main">
              <a:ext uri="{FF2B5EF4-FFF2-40B4-BE49-F238E27FC236}">
                <a16:creationId xmlns:a16="http://schemas.microsoft.com/office/drawing/2014/main" id="{6BDAB5F5-57FC-4734-1E68-60D85AA6E80C}"/>
              </a:ext>
            </a:extLst>
          </cdr:cNvPr>
          <cdr:cNvSpPr txBox="1"/>
        </cdr:nvSpPr>
        <cdr:spPr>
          <a:xfrm xmlns:a="http://schemas.openxmlformats.org/drawingml/2006/main">
            <a:off x="2400295" y="177799"/>
            <a:ext cx="565154" cy="279620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wrap="square" rtlCol="0"/>
          <a:lstStyle xmlns:a="http://schemas.openxmlformats.org/drawingml/2006/main"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ctr"/>
            <a:r>
              <a:rPr lang="en-SE" sz="1200" b="1" baseline="0">
                <a:solidFill>
                  <a:schemeClr val="tx1">
                    <a:lumMod val="95000"/>
                    <a:lumOff val="5000"/>
                  </a:schemeClr>
                </a:solidFill>
              </a:rPr>
              <a:t>956 </a:t>
            </a:r>
            <a:endParaRPr lang="en-SE" sz="1200" b="1" baseline="-25000">
              <a:solidFill>
                <a:schemeClr val="tx1">
                  <a:lumMod val="95000"/>
                  <a:lumOff val="5000"/>
                </a:schemeClr>
              </a:solidFill>
            </a:endParaRPr>
          </a:p>
        </cdr:txBody>
      </cdr:sp>
      <cdr:sp macro="" textlink="">
        <cdr:nvSpPr>
          <cdr:cNvPr id="10" name="TextBox 1">
            <a:extLst xmlns:a="http://schemas.openxmlformats.org/drawingml/2006/main">
              <a:ext uri="{FF2B5EF4-FFF2-40B4-BE49-F238E27FC236}">
                <a16:creationId xmlns:a16="http://schemas.microsoft.com/office/drawing/2014/main" id="{6BDAB5F5-57FC-4734-1E68-60D85AA6E80C}"/>
              </a:ext>
            </a:extLst>
          </cdr:cNvPr>
          <cdr:cNvSpPr txBox="1"/>
        </cdr:nvSpPr>
        <cdr:spPr>
          <a:xfrm xmlns:a="http://schemas.openxmlformats.org/drawingml/2006/main">
            <a:off x="3295652" y="196851"/>
            <a:ext cx="533395" cy="279620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wrap="square" rtlCol="0"/>
          <a:lstStyle xmlns:a="http://schemas.openxmlformats.org/drawingml/2006/main"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ctr"/>
            <a:r>
              <a:rPr lang="en-SE" sz="1200" b="1" baseline="0">
                <a:solidFill>
                  <a:schemeClr val="tx1">
                    <a:lumMod val="95000"/>
                    <a:lumOff val="5000"/>
                  </a:schemeClr>
                </a:solidFill>
              </a:rPr>
              <a:t>927 </a:t>
            </a:r>
            <a:endParaRPr lang="en-SE" sz="1200" b="1" baseline="-25000">
              <a:solidFill>
                <a:schemeClr val="tx1">
                  <a:lumMod val="95000"/>
                  <a:lumOff val="5000"/>
                </a:schemeClr>
              </a:solidFill>
            </a:endParaRPr>
          </a:p>
        </cdr:txBody>
      </cdr:sp>
    </cdr:grpSp>
  </cdr:relSizeAnchor>
  <cdr:relSizeAnchor xmlns:cdr="http://schemas.openxmlformats.org/drawingml/2006/chartDrawing">
    <cdr:from>
      <cdr:x>0.15219</cdr:x>
      <cdr:y>0.70241</cdr:y>
    </cdr:from>
    <cdr:to>
      <cdr:x>0.99439</cdr:x>
      <cdr:y>0.82973</cdr:y>
    </cdr:to>
    <cdr:grpSp>
      <cdr:nvGrpSpPr>
        <cdr:cNvPr id="2" name="Group 1">
          <a:extLst xmlns:a="http://schemas.openxmlformats.org/drawingml/2006/main">
            <a:ext uri="{FF2B5EF4-FFF2-40B4-BE49-F238E27FC236}">
              <a16:creationId xmlns:a16="http://schemas.microsoft.com/office/drawing/2014/main" id="{51D595C1-B6E4-8014-C09D-B8A22A96BE4D}"/>
            </a:ext>
          </a:extLst>
        </cdr:cNvPr>
        <cdr:cNvGrpSpPr/>
      </cdr:nvGrpSpPr>
      <cdr:grpSpPr>
        <a:xfrm xmlns:a="http://schemas.openxmlformats.org/drawingml/2006/main">
          <a:off x="687115" y="1663693"/>
          <a:ext cx="3802407" cy="301564"/>
          <a:chOff x="0" y="0"/>
          <a:chExt cx="3384594" cy="301563"/>
        </a:xfrm>
      </cdr:grpSpPr>
      <cdr:sp macro="" textlink="">
        <cdr:nvSpPr>
          <cdr:cNvPr id="13" name="TextBox 1">
            <a:extLst xmlns:a="http://schemas.openxmlformats.org/drawingml/2006/main">
              <a:ext uri="{FF2B5EF4-FFF2-40B4-BE49-F238E27FC236}">
                <a16:creationId xmlns:a16="http://schemas.microsoft.com/office/drawing/2014/main" id="{C27DDE0A-6CCC-6D53-705E-ABFA04E2711B}"/>
              </a:ext>
            </a:extLst>
          </cdr:cNvPr>
          <cdr:cNvSpPr txBox="1"/>
        </cdr:nvSpPr>
        <cdr:spPr>
          <a:xfrm xmlns:a="http://schemas.openxmlformats.org/drawingml/2006/main">
            <a:off x="0" y="21933"/>
            <a:ext cx="856136" cy="279630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wrap="square" rtlCol="0"/>
          <a:lstStyle xmlns:a="http://schemas.openxmlformats.org/drawingml/2006/main"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ctr"/>
            <a:r>
              <a:rPr lang="en-SE" sz="1200" b="1" baseline="0">
                <a:solidFill>
                  <a:schemeClr val="tx1">
                    <a:lumMod val="95000"/>
                    <a:lumOff val="5000"/>
                  </a:schemeClr>
                </a:solidFill>
              </a:rPr>
              <a:t>SHC</a:t>
            </a:r>
            <a:r>
              <a:rPr lang="en-SE" sz="1200" b="1" baseline="-25000">
                <a:solidFill>
                  <a:schemeClr val="tx1">
                    <a:lumMod val="95000"/>
                    <a:lumOff val="5000"/>
                  </a:schemeClr>
                </a:solidFill>
              </a:rPr>
              <a:t>ldrz-IK-ugr</a:t>
            </a:r>
            <a:r>
              <a:rPr lang="en-SE" sz="1200" b="1" baseline="0">
                <a:solidFill>
                  <a:schemeClr val="tx1">
                    <a:lumMod val="95000"/>
                    <a:lumOff val="5000"/>
                  </a:schemeClr>
                </a:solidFill>
              </a:rPr>
              <a:t> </a:t>
            </a:r>
            <a:endParaRPr lang="en-SE" sz="1200" b="1" baseline="-25000">
              <a:solidFill>
                <a:schemeClr val="tx1">
                  <a:lumMod val="95000"/>
                  <a:lumOff val="5000"/>
                </a:schemeClr>
              </a:solidFill>
            </a:endParaRPr>
          </a:p>
        </cdr:txBody>
      </cdr:sp>
      <cdr:sp macro="" textlink="">
        <cdr:nvSpPr>
          <cdr:cNvPr id="14" name="TextBox 1">
            <a:extLst xmlns:a="http://schemas.openxmlformats.org/drawingml/2006/main">
              <a:ext uri="{FF2B5EF4-FFF2-40B4-BE49-F238E27FC236}">
                <a16:creationId xmlns:a16="http://schemas.microsoft.com/office/drawing/2014/main" id="{4F1712F9-00FA-8718-BBE6-766B9F9A0DE7}"/>
              </a:ext>
            </a:extLst>
          </cdr:cNvPr>
          <cdr:cNvSpPr txBox="1"/>
        </cdr:nvSpPr>
        <cdr:spPr>
          <a:xfrm xmlns:a="http://schemas.openxmlformats.org/drawingml/2006/main">
            <a:off x="810474" y="5483"/>
            <a:ext cx="887760" cy="279630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wrap="square" rtlCol="0"/>
          <a:lstStyle xmlns:a="http://schemas.openxmlformats.org/drawingml/2006/main"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ctr"/>
            <a:r>
              <a:rPr lang="en-SE" sz="1200" b="1" baseline="0">
                <a:solidFill>
                  <a:schemeClr val="tx1">
                    <a:lumMod val="95000"/>
                    <a:lumOff val="5000"/>
                  </a:schemeClr>
                </a:solidFill>
              </a:rPr>
              <a:t>SHC</a:t>
            </a:r>
            <a:r>
              <a:rPr lang="en-SE" sz="1200" b="1" baseline="-25000">
                <a:solidFill>
                  <a:schemeClr val="tx1">
                    <a:lumMod val="95000"/>
                    <a:lumOff val="5000"/>
                  </a:schemeClr>
                </a:solidFill>
              </a:rPr>
              <a:t>LDRZ-IK-uso</a:t>
            </a:r>
            <a:r>
              <a:rPr lang="en-SE" sz="1200" b="1" baseline="0">
                <a:solidFill>
                  <a:schemeClr val="tx1">
                    <a:lumMod val="95000"/>
                    <a:lumOff val="5000"/>
                  </a:schemeClr>
                </a:solidFill>
              </a:rPr>
              <a:t> </a:t>
            </a:r>
            <a:endParaRPr lang="en-SE" sz="1200" b="1" baseline="-25000">
              <a:solidFill>
                <a:schemeClr val="tx1">
                  <a:lumMod val="95000"/>
                  <a:lumOff val="5000"/>
                </a:schemeClr>
              </a:solidFill>
            </a:endParaRPr>
          </a:p>
        </cdr:txBody>
      </cdr:sp>
      <cdr:sp macro="" textlink="">
        <cdr:nvSpPr>
          <cdr:cNvPr id="15" name="TextBox 1">
            <a:extLst xmlns:a="http://schemas.openxmlformats.org/drawingml/2006/main">
              <a:ext uri="{FF2B5EF4-FFF2-40B4-BE49-F238E27FC236}">
                <a16:creationId xmlns:a16="http://schemas.microsoft.com/office/drawing/2014/main" id="{F04CEAB2-FAED-5190-3E32-5A4B0A594707}"/>
              </a:ext>
            </a:extLst>
          </cdr:cNvPr>
          <cdr:cNvSpPr txBox="1"/>
        </cdr:nvSpPr>
        <cdr:spPr>
          <a:xfrm xmlns:a="http://schemas.openxmlformats.org/drawingml/2006/main">
            <a:off x="1672320" y="5483"/>
            <a:ext cx="856136" cy="279630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wrap="square" rtlCol="0"/>
          <a:lstStyle xmlns:a="http://schemas.openxmlformats.org/drawingml/2006/main"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ctr"/>
            <a:r>
              <a:rPr lang="en-SE" sz="1200" b="1" baseline="0">
                <a:solidFill>
                  <a:schemeClr val="tx1">
                    <a:lumMod val="95000"/>
                    <a:lumOff val="5000"/>
                  </a:schemeClr>
                </a:solidFill>
              </a:rPr>
              <a:t>SHC</a:t>
            </a:r>
            <a:r>
              <a:rPr lang="en-SE" sz="1200" b="1" baseline="-25000">
                <a:solidFill>
                  <a:schemeClr val="tx1">
                    <a:lumMod val="95000"/>
                    <a:lumOff val="5000"/>
                  </a:schemeClr>
                </a:solidFill>
              </a:rPr>
              <a:t>mdrz-IK-ugr</a:t>
            </a:r>
            <a:r>
              <a:rPr lang="en-SE" sz="1200" b="1" baseline="0">
                <a:solidFill>
                  <a:schemeClr val="tx1">
                    <a:lumMod val="95000"/>
                    <a:lumOff val="5000"/>
                  </a:schemeClr>
                </a:solidFill>
              </a:rPr>
              <a:t> </a:t>
            </a:r>
            <a:endParaRPr lang="en-SE" sz="1200" b="1" baseline="-25000">
              <a:solidFill>
                <a:schemeClr val="tx1">
                  <a:lumMod val="95000"/>
                  <a:lumOff val="5000"/>
                </a:schemeClr>
              </a:solidFill>
            </a:endParaRPr>
          </a:p>
        </cdr:txBody>
      </cdr:sp>
      <cdr:sp macro="" textlink="">
        <cdr:nvSpPr>
          <cdr:cNvPr id="16" name="TextBox 1">
            <a:extLst xmlns:a="http://schemas.openxmlformats.org/drawingml/2006/main">
              <a:ext uri="{FF2B5EF4-FFF2-40B4-BE49-F238E27FC236}">
                <a16:creationId xmlns:a16="http://schemas.microsoft.com/office/drawing/2014/main" id="{BD297F8A-EB79-E24D-6F91-755526A224EB}"/>
              </a:ext>
            </a:extLst>
          </cdr:cNvPr>
          <cdr:cNvSpPr txBox="1"/>
        </cdr:nvSpPr>
        <cdr:spPr>
          <a:xfrm xmlns:a="http://schemas.openxmlformats.org/drawingml/2006/main">
            <a:off x="2528458" y="0"/>
            <a:ext cx="856136" cy="279630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wrap="square" rtlCol="0"/>
          <a:lstStyle xmlns:a="http://schemas.openxmlformats.org/drawingml/2006/main"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ctr"/>
            <a:r>
              <a:rPr lang="en-SE" sz="1200" b="1" baseline="0">
                <a:solidFill>
                  <a:schemeClr val="tx1">
                    <a:lumMod val="95000"/>
                    <a:lumOff val="5000"/>
                  </a:schemeClr>
                </a:solidFill>
              </a:rPr>
              <a:t>SHC</a:t>
            </a:r>
            <a:r>
              <a:rPr lang="en-SE" sz="1200" b="1" baseline="-25000">
                <a:solidFill>
                  <a:schemeClr val="tx1">
                    <a:lumMod val="95000"/>
                    <a:lumOff val="5000"/>
                  </a:schemeClr>
                </a:solidFill>
              </a:rPr>
              <a:t>hdrz-IK-ugr</a:t>
            </a:r>
            <a:r>
              <a:rPr lang="en-SE" sz="1200" b="1" baseline="0">
                <a:solidFill>
                  <a:schemeClr val="tx1">
                    <a:lumMod val="95000"/>
                    <a:lumOff val="5000"/>
                  </a:schemeClr>
                </a:solidFill>
              </a:rPr>
              <a:t> </a:t>
            </a:r>
            <a:endParaRPr lang="en-SE" sz="1200" b="1" baseline="-25000">
              <a:solidFill>
                <a:schemeClr val="tx1">
                  <a:lumMod val="95000"/>
                  <a:lumOff val="5000"/>
                </a:schemeClr>
              </a:solidFill>
            </a:endParaRPr>
          </a:p>
        </cdr:txBody>
      </cdr:sp>
    </cdr:grp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0.21721</cdr:x>
      <cdr:y>0.10187</cdr:y>
    </cdr:from>
    <cdr:to>
      <cdr:x>0.88062</cdr:x>
      <cdr:y>0.61671</cdr:y>
    </cdr:to>
    <cdr:grpSp>
      <cdr:nvGrpSpPr>
        <cdr:cNvPr id="12" name="Group 11">
          <a:extLst xmlns:a="http://schemas.openxmlformats.org/drawingml/2006/main">
            <a:ext uri="{FF2B5EF4-FFF2-40B4-BE49-F238E27FC236}">
              <a16:creationId xmlns:a16="http://schemas.microsoft.com/office/drawing/2014/main" id="{CB937D03-3258-10BA-5A58-44C06D47C485}"/>
            </a:ext>
          </a:extLst>
        </cdr:cNvPr>
        <cdr:cNvGrpSpPr/>
      </cdr:nvGrpSpPr>
      <cdr:grpSpPr>
        <a:xfrm xmlns:a="http://schemas.openxmlformats.org/drawingml/2006/main">
          <a:off x="933499" y="241284"/>
          <a:ext cx="2851124" cy="1219424"/>
          <a:chOff x="927101" y="285753"/>
          <a:chExt cx="2851148" cy="1219423"/>
        </a:xfrm>
      </cdr:grpSpPr>
      <cdr:sp macro="" textlink="">
        <cdr:nvSpPr>
          <cdr:cNvPr id="7" name="TextBox 1">
            <a:extLst xmlns:a="http://schemas.openxmlformats.org/drawingml/2006/main">
              <a:ext uri="{FF2B5EF4-FFF2-40B4-BE49-F238E27FC236}">
                <a16:creationId xmlns:a16="http://schemas.microsoft.com/office/drawing/2014/main" id="{53555A50-9016-3F7B-88F1-7401BDBEB2A0}"/>
              </a:ext>
            </a:extLst>
          </cdr:cNvPr>
          <cdr:cNvSpPr txBox="1"/>
        </cdr:nvSpPr>
        <cdr:spPr>
          <a:xfrm xmlns:a="http://schemas.openxmlformats.org/drawingml/2006/main">
            <a:off x="927101" y="762012"/>
            <a:ext cx="482600" cy="279620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wrap="square" rtlCol="0"/>
          <a:lstStyle xmlns:a="http://schemas.openxmlformats.org/drawingml/2006/main"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ctr"/>
            <a:r>
              <a:rPr lang="en-SE" sz="1200" b="1" baseline="0">
                <a:solidFill>
                  <a:schemeClr val="tx1">
                    <a:lumMod val="95000"/>
                    <a:lumOff val="5000"/>
                  </a:schemeClr>
                </a:solidFill>
              </a:rPr>
              <a:t>834 </a:t>
            </a:r>
            <a:endParaRPr lang="en-SE" sz="1200" b="1" baseline="-25000">
              <a:solidFill>
                <a:schemeClr val="tx1">
                  <a:lumMod val="95000"/>
                  <a:lumOff val="5000"/>
                </a:schemeClr>
              </a:solidFill>
            </a:endParaRPr>
          </a:p>
        </cdr:txBody>
      </cdr:sp>
      <cdr:sp macro="" textlink="">
        <cdr:nvSpPr>
          <cdr:cNvPr id="8" name="TextBox 1">
            <a:extLst xmlns:a="http://schemas.openxmlformats.org/drawingml/2006/main">
              <a:ext uri="{FF2B5EF4-FFF2-40B4-BE49-F238E27FC236}">
                <a16:creationId xmlns:a16="http://schemas.microsoft.com/office/drawing/2014/main" id="{6BDAB5F5-57FC-4734-1E68-60D85AA6E80C}"/>
              </a:ext>
            </a:extLst>
          </cdr:cNvPr>
          <cdr:cNvSpPr txBox="1"/>
        </cdr:nvSpPr>
        <cdr:spPr>
          <a:xfrm xmlns:a="http://schemas.openxmlformats.org/drawingml/2006/main">
            <a:off x="1746249" y="1225556"/>
            <a:ext cx="482600" cy="279620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wrap="square" rtlCol="0"/>
          <a:lstStyle xmlns:a="http://schemas.openxmlformats.org/drawingml/2006/main"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ctr"/>
            <a:r>
              <a:rPr lang="en-SE" sz="1200" b="1" baseline="0">
                <a:solidFill>
                  <a:schemeClr val="tx1">
                    <a:lumMod val="95000"/>
                    <a:lumOff val="5000"/>
                  </a:schemeClr>
                </a:solidFill>
              </a:rPr>
              <a:t>289 </a:t>
            </a:r>
            <a:endParaRPr lang="en-SE" sz="1200" b="1" baseline="-25000">
              <a:solidFill>
                <a:schemeClr val="tx1">
                  <a:lumMod val="95000"/>
                  <a:lumOff val="5000"/>
                </a:schemeClr>
              </a:solidFill>
            </a:endParaRPr>
          </a:p>
        </cdr:txBody>
      </cdr:sp>
      <cdr:sp macro="" textlink="">
        <cdr:nvSpPr>
          <cdr:cNvPr id="9" name="TextBox 1">
            <a:extLst xmlns:a="http://schemas.openxmlformats.org/drawingml/2006/main">
              <a:ext uri="{FF2B5EF4-FFF2-40B4-BE49-F238E27FC236}">
                <a16:creationId xmlns:a16="http://schemas.microsoft.com/office/drawing/2014/main" id="{6BDAB5F5-57FC-4734-1E68-60D85AA6E80C}"/>
              </a:ext>
            </a:extLst>
          </cdr:cNvPr>
          <cdr:cNvSpPr txBox="1"/>
        </cdr:nvSpPr>
        <cdr:spPr>
          <a:xfrm xmlns:a="http://schemas.openxmlformats.org/drawingml/2006/main">
            <a:off x="2425663" y="539756"/>
            <a:ext cx="514386" cy="279620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wrap="square" rtlCol="0"/>
          <a:lstStyle xmlns:a="http://schemas.openxmlformats.org/drawingml/2006/main"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ctr"/>
            <a:r>
              <a:rPr lang="en-SE" sz="1200" b="1" baseline="0">
                <a:solidFill>
                  <a:schemeClr val="tx1">
                    <a:lumMod val="95000"/>
                    <a:lumOff val="5000"/>
                  </a:schemeClr>
                </a:solidFill>
              </a:rPr>
              <a:t>1082 </a:t>
            </a:r>
            <a:endParaRPr lang="en-SE" sz="1200" b="1" baseline="-25000">
              <a:solidFill>
                <a:schemeClr val="tx1">
                  <a:lumMod val="95000"/>
                  <a:lumOff val="5000"/>
                </a:schemeClr>
              </a:solidFill>
            </a:endParaRPr>
          </a:p>
        </cdr:txBody>
      </cdr:sp>
      <cdr:sp macro="" textlink="">
        <cdr:nvSpPr>
          <cdr:cNvPr id="10" name="TextBox 1">
            <a:extLst xmlns:a="http://schemas.openxmlformats.org/drawingml/2006/main">
              <a:ext uri="{FF2B5EF4-FFF2-40B4-BE49-F238E27FC236}">
                <a16:creationId xmlns:a16="http://schemas.microsoft.com/office/drawing/2014/main" id="{6BDAB5F5-57FC-4734-1E68-60D85AA6E80C}"/>
              </a:ext>
            </a:extLst>
          </cdr:cNvPr>
          <cdr:cNvSpPr txBox="1"/>
        </cdr:nvSpPr>
        <cdr:spPr>
          <a:xfrm xmlns:a="http://schemas.openxmlformats.org/drawingml/2006/main">
            <a:off x="3244814" y="285753"/>
            <a:ext cx="533435" cy="279620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wrap="square" rtlCol="0"/>
          <a:lstStyle xmlns:a="http://schemas.openxmlformats.org/drawingml/2006/main"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ctr"/>
            <a:r>
              <a:rPr lang="en-SE" sz="1200" b="1" baseline="0">
                <a:solidFill>
                  <a:schemeClr val="tx1">
                    <a:lumMod val="95000"/>
                    <a:lumOff val="5000"/>
                  </a:schemeClr>
                </a:solidFill>
              </a:rPr>
              <a:t>1360 </a:t>
            </a:r>
            <a:endParaRPr lang="en-SE" sz="1200" b="1" baseline="-25000">
              <a:solidFill>
                <a:schemeClr val="tx1">
                  <a:lumMod val="95000"/>
                  <a:lumOff val="5000"/>
                </a:schemeClr>
              </a:solidFill>
            </a:endParaRPr>
          </a:p>
        </cdr:txBody>
      </cdr:sp>
    </cdr:grpSp>
  </cdr:relSizeAnchor>
</c:userShapes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0.20834</cdr:x>
      <cdr:y>0.126</cdr:y>
    </cdr:from>
    <cdr:to>
      <cdr:x>0.9013</cdr:x>
      <cdr:y>0.56309</cdr:y>
    </cdr:to>
    <cdr:grpSp>
      <cdr:nvGrpSpPr>
        <cdr:cNvPr id="12" name="Group 11">
          <a:extLst xmlns:a="http://schemas.openxmlformats.org/drawingml/2006/main">
            <a:ext uri="{FF2B5EF4-FFF2-40B4-BE49-F238E27FC236}">
              <a16:creationId xmlns:a16="http://schemas.microsoft.com/office/drawing/2014/main" id="{CB937D03-3258-10BA-5A58-44C06D47C485}"/>
            </a:ext>
          </a:extLst>
        </cdr:cNvPr>
        <cdr:cNvGrpSpPr/>
      </cdr:nvGrpSpPr>
      <cdr:grpSpPr>
        <a:xfrm xmlns:a="http://schemas.openxmlformats.org/drawingml/2006/main">
          <a:off x="895379" y="298437"/>
          <a:ext cx="2978120" cy="1035270"/>
          <a:chOff x="895350" y="298451"/>
          <a:chExt cx="2978148" cy="1035268"/>
        </a:xfrm>
      </cdr:grpSpPr>
      <cdr:sp macro="" textlink="">
        <cdr:nvSpPr>
          <cdr:cNvPr id="7" name="TextBox 1">
            <a:extLst xmlns:a="http://schemas.openxmlformats.org/drawingml/2006/main">
              <a:ext uri="{FF2B5EF4-FFF2-40B4-BE49-F238E27FC236}">
                <a16:creationId xmlns:a16="http://schemas.microsoft.com/office/drawing/2014/main" id="{53555A50-9016-3F7B-88F1-7401BDBEB2A0}"/>
              </a:ext>
            </a:extLst>
          </cdr:cNvPr>
          <cdr:cNvSpPr txBox="1"/>
        </cdr:nvSpPr>
        <cdr:spPr>
          <a:xfrm xmlns:a="http://schemas.openxmlformats.org/drawingml/2006/main">
            <a:off x="895350" y="501650"/>
            <a:ext cx="482600" cy="279620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wrap="square" rtlCol="0"/>
          <a:lstStyle xmlns:a="http://schemas.openxmlformats.org/drawingml/2006/main"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ctr"/>
            <a:r>
              <a:rPr lang="en-SE" sz="1200" b="1" baseline="0">
                <a:solidFill>
                  <a:schemeClr val="tx1">
                    <a:lumMod val="95000"/>
                    <a:lumOff val="5000"/>
                  </a:schemeClr>
                </a:solidFill>
              </a:rPr>
              <a:t>885 </a:t>
            </a:r>
            <a:endParaRPr lang="en-SE" sz="1200" b="1" baseline="-25000">
              <a:solidFill>
                <a:schemeClr val="tx1">
                  <a:lumMod val="95000"/>
                  <a:lumOff val="5000"/>
                </a:schemeClr>
              </a:solidFill>
            </a:endParaRPr>
          </a:p>
        </cdr:txBody>
      </cdr:sp>
      <cdr:sp macro="" textlink="">
        <cdr:nvSpPr>
          <cdr:cNvPr id="8" name="TextBox 1">
            <a:extLst xmlns:a="http://schemas.openxmlformats.org/drawingml/2006/main">
              <a:ext uri="{FF2B5EF4-FFF2-40B4-BE49-F238E27FC236}">
                <a16:creationId xmlns:a16="http://schemas.microsoft.com/office/drawing/2014/main" id="{6BDAB5F5-57FC-4734-1E68-60D85AA6E80C}"/>
              </a:ext>
            </a:extLst>
          </cdr:cNvPr>
          <cdr:cNvSpPr txBox="1"/>
        </cdr:nvSpPr>
        <cdr:spPr>
          <a:xfrm xmlns:a="http://schemas.openxmlformats.org/drawingml/2006/main">
            <a:off x="1765298" y="1054099"/>
            <a:ext cx="507983" cy="279620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wrap="square" rtlCol="0"/>
          <a:lstStyle xmlns:a="http://schemas.openxmlformats.org/drawingml/2006/main"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ctr"/>
            <a:r>
              <a:rPr lang="en-SE" sz="1200" b="1" baseline="0">
                <a:solidFill>
                  <a:schemeClr val="tx1">
                    <a:lumMod val="95000"/>
                    <a:lumOff val="5000"/>
                  </a:schemeClr>
                </a:solidFill>
              </a:rPr>
              <a:t>356 </a:t>
            </a:r>
            <a:endParaRPr lang="en-SE" sz="1200" b="1" baseline="-25000">
              <a:solidFill>
                <a:schemeClr val="tx1">
                  <a:lumMod val="95000"/>
                  <a:lumOff val="5000"/>
                </a:schemeClr>
              </a:solidFill>
            </a:endParaRPr>
          </a:p>
        </cdr:txBody>
      </cdr:sp>
      <cdr:sp macro="" textlink="">
        <cdr:nvSpPr>
          <cdr:cNvPr id="9" name="TextBox 1">
            <a:extLst xmlns:a="http://schemas.openxmlformats.org/drawingml/2006/main">
              <a:ext uri="{FF2B5EF4-FFF2-40B4-BE49-F238E27FC236}">
                <a16:creationId xmlns:a16="http://schemas.microsoft.com/office/drawing/2014/main" id="{6BDAB5F5-57FC-4734-1E68-60D85AA6E80C}"/>
              </a:ext>
            </a:extLst>
          </cdr:cNvPr>
          <cdr:cNvSpPr txBox="1"/>
        </cdr:nvSpPr>
        <cdr:spPr>
          <a:xfrm xmlns:a="http://schemas.openxmlformats.org/drawingml/2006/main">
            <a:off x="2520948" y="406401"/>
            <a:ext cx="482600" cy="209556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wrap="square" rtlCol="0"/>
          <a:lstStyle xmlns:a="http://schemas.openxmlformats.org/drawingml/2006/main"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ctr"/>
            <a:r>
              <a:rPr lang="en-SE" sz="1200" b="1" baseline="0">
                <a:solidFill>
                  <a:schemeClr val="tx1">
                    <a:lumMod val="95000"/>
                    <a:lumOff val="5000"/>
                  </a:schemeClr>
                </a:solidFill>
              </a:rPr>
              <a:t>954 </a:t>
            </a:r>
            <a:endParaRPr lang="en-SE" sz="1200" b="1" baseline="-25000">
              <a:solidFill>
                <a:schemeClr val="tx1">
                  <a:lumMod val="95000"/>
                  <a:lumOff val="5000"/>
                </a:schemeClr>
              </a:solidFill>
            </a:endParaRPr>
          </a:p>
        </cdr:txBody>
      </cdr:sp>
      <cdr:sp macro="" textlink="">
        <cdr:nvSpPr>
          <cdr:cNvPr id="10" name="TextBox 1">
            <a:extLst xmlns:a="http://schemas.openxmlformats.org/drawingml/2006/main">
              <a:ext uri="{FF2B5EF4-FFF2-40B4-BE49-F238E27FC236}">
                <a16:creationId xmlns:a16="http://schemas.microsoft.com/office/drawing/2014/main" id="{6BDAB5F5-57FC-4734-1E68-60D85AA6E80C}"/>
              </a:ext>
            </a:extLst>
          </cdr:cNvPr>
          <cdr:cNvSpPr txBox="1"/>
        </cdr:nvSpPr>
        <cdr:spPr>
          <a:xfrm xmlns:a="http://schemas.openxmlformats.org/drawingml/2006/main">
            <a:off x="3359133" y="298451"/>
            <a:ext cx="514365" cy="234955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wrap="square" rtlCol="0"/>
          <a:lstStyle xmlns:a="http://schemas.openxmlformats.org/drawingml/2006/main"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ctr"/>
            <a:r>
              <a:rPr lang="en-SE" sz="1200" b="1" baseline="0">
                <a:solidFill>
                  <a:schemeClr val="tx1">
                    <a:lumMod val="95000"/>
                    <a:lumOff val="5000"/>
                  </a:schemeClr>
                </a:solidFill>
              </a:rPr>
              <a:t>1048 </a:t>
            </a:r>
            <a:endParaRPr lang="en-SE" sz="1200" b="1" baseline="-25000">
              <a:solidFill>
                <a:schemeClr val="tx1">
                  <a:lumMod val="95000"/>
                  <a:lumOff val="5000"/>
                </a:schemeClr>
              </a:solidFill>
            </a:endParaRPr>
          </a:p>
        </cdr:txBody>
      </cdr:sp>
    </cdr:grpSp>
  </cdr:relSizeAnchor>
</c:userShapes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0.22607</cdr:x>
      <cdr:y>0.11528</cdr:y>
    </cdr:from>
    <cdr:to>
      <cdr:x>0.91312</cdr:x>
      <cdr:y>0.63012</cdr:y>
    </cdr:to>
    <cdr:grpSp>
      <cdr:nvGrpSpPr>
        <cdr:cNvPr id="12" name="Group 11">
          <a:extLst xmlns:a="http://schemas.openxmlformats.org/drawingml/2006/main">
            <a:ext uri="{FF2B5EF4-FFF2-40B4-BE49-F238E27FC236}">
              <a16:creationId xmlns:a16="http://schemas.microsoft.com/office/drawing/2014/main" id="{CB937D03-3258-10BA-5A58-44C06D47C485}"/>
            </a:ext>
          </a:extLst>
        </cdr:cNvPr>
        <cdr:cNvGrpSpPr/>
      </cdr:nvGrpSpPr>
      <cdr:grpSpPr>
        <a:xfrm xmlns:a="http://schemas.openxmlformats.org/drawingml/2006/main">
          <a:off x="971577" y="273046"/>
          <a:ext cx="2952721" cy="1219425"/>
          <a:chOff x="971551" y="273050"/>
          <a:chExt cx="2952748" cy="1219422"/>
        </a:xfrm>
      </cdr:grpSpPr>
      <cdr:sp macro="" textlink="">
        <cdr:nvSpPr>
          <cdr:cNvPr id="7" name="TextBox 1">
            <a:extLst xmlns:a="http://schemas.openxmlformats.org/drawingml/2006/main">
              <a:ext uri="{FF2B5EF4-FFF2-40B4-BE49-F238E27FC236}">
                <a16:creationId xmlns:a16="http://schemas.microsoft.com/office/drawing/2014/main" id="{53555A50-9016-3F7B-88F1-7401BDBEB2A0}"/>
              </a:ext>
            </a:extLst>
          </cdr:cNvPr>
          <cdr:cNvSpPr txBox="1"/>
        </cdr:nvSpPr>
        <cdr:spPr>
          <a:xfrm xmlns:a="http://schemas.openxmlformats.org/drawingml/2006/main">
            <a:off x="971551" y="723905"/>
            <a:ext cx="558786" cy="279620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wrap="square" rtlCol="0"/>
          <a:lstStyle xmlns:a="http://schemas.openxmlformats.org/drawingml/2006/main"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ctr"/>
            <a:r>
              <a:rPr lang="en-SE" sz="1200" b="1" baseline="0">
                <a:solidFill>
                  <a:schemeClr val="tx1">
                    <a:lumMod val="95000"/>
                    <a:lumOff val="5000"/>
                  </a:schemeClr>
                </a:solidFill>
              </a:rPr>
              <a:t>1582 </a:t>
            </a:r>
            <a:endParaRPr lang="en-SE" sz="1200" b="1" baseline="-25000">
              <a:solidFill>
                <a:schemeClr val="tx1">
                  <a:lumMod val="95000"/>
                  <a:lumOff val="5000"/>
                </a:schemeClr>
              </a:solidFill>
            </a:endParaRPr>
          </a:p>
        </cdr:txBody>
      </cdr:sp>
      <cdr:sp macro="" textlink="">
        <cdr:nvSpPr>
          <cdr:cNvPr id="8" name="TextBox 1">
            <a:extLst xmlns:a="http://schemas.openxmlformats.org/drawingml/2006/main">
              <a:ext uri="{FF2B5EF4-FFF2-40B4-BE49-F238E27FC236}">
                <a16:creationId xmlns:a16="http://schemas.microsoft.com/office/drawing/2014/main" id="{6BDAB5F5-57FC-4734-1E68-60D85AA6E80C}"/>
              </a:ext>
            </a:extLst>
          </cdr:cNvPr>
          <cdr:cNvSpPr txBox="1"/>
        </cdr:nvSpPr>
        <cdr:spPr>
          <a:xfrm xmlns:a="http://schemas.openxmlformats.org/drawingml/2006/main">
            <a:off x="1841501" y="1212852"/>
            <a:ext cx="482600" cy="279620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wrap="square" rtlCol="0"/>
          <a:lstStyle xmlns:a="http://schemas.openxmlformats.org/drawingml/2006/main"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ctr"/>
            <a:r>
              <a:rPr lang="en-SE" sz="1200" b="1" baseline="0">
                <a:solidFill>
                  <a:schemeClr val="tx1">
                    <a:lumMod val="95000"/>
                    <a:lumOff val="5000"/>
                  </a:schemeClr>
                </a:solidFill>
              </a:rPr>
              <a:t>535 </a:t>
            </a:r>
            <a:endParaRPr lang="en-SE" sz="1200" b="1" baseline="-25000">
              <a:solidFill>
                <a:schemeClr val="tx1">
                  <a:lumMod val="95000"/>
                  <a:lumOff val="5000"/>
                </a:schemeClr>
              </a:solidFill>
            </a:endParaRPr>
          </a:p>
        </cdr:txBody>
      </cdr:sp>
      <cdr:sp macro="" textlink="">
        <cdr:nvSpPr>
          <cdr:cNvPr id="9" name="TextBox 1">
            <a:extLst xmlns:a="http://schemas.openxmlformats.org/drawingml/2006/main">
              <a:ext uri="{FF2B5EF4-FFF2-40B4-BE49-F238E27FC236}">
                <a16:creationId xmlns:a16="http://schemas.microsoft.com/office/drawing/2014/main" id="{6BDAB5F5-57FC-4734-1E68-60D85AA6E80C}"/>
              </a:ext>
            </a:extLst>
          </cdr:cNvPr>
          <cdr:cNvSpPr txBox="1"/>
        </cdr:nvSpPr>
        <cdr:spPr>
          <a:xfrm xmlns:a="http://schemas.openxmlformats.org/drawingml/2006/main">
            <a:off x="2495539" y="527052"/>
            <a:ext cx="520711" cy="203195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wrap="square" rtlCol="0"/>
          <a:lstStyle xmlns:a="http://schemas.openxmlformats.org/drawingml/2006/main"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ctr"/>
            <a:r>
              <a:rPr lang="en-SE" sz="1200" b="1" baseline="0">
                <a:solidFill>
                  <a:schemeClr val="tx1">
                    <a:lumMod val="95000"/>
                    <a:lumOff val="5000"/>
                  </a:schemeClr>
                </a:solidFill>
              </a:rPr>
              <a:t>2070 </a:t>
            </a:r>
            <a:endParaRPr lang="en-SE" sz="1200" b="1" baseline="-25000">
              <a:solidFill>
                <a:schemeClr val="tx1">
                  <a:lumMod val="95000"/>
                  <a:lumOff val="5000"/>
                </a:schemeClr>
              </a:solidFill>
            </a:endParaRPr>
          </a:p>
        </cdr:txBody>
      </cdr:sp>
      <cdr:sp macro="" textlink="">
        <cdr:nvSpPr>
          <cdr:cNvPr id="10" name="TextBox 1">
            <a:extLst xmlns:a="http://schemas.openxmlformats.org/drawingml/2006/main">
              <a:ext uri="{FF2B5EF4-FFF2-40B4-BE49-F238E27FC236}">
                <a16:creationId xmlns:a16="http://schemas.microsoft.com/office/drawing/2014/main" id="{6BDAB5F5-57FC-4734-1E68-60D85AA6E80C}"/>
              </a:ext>
            </a:extLst>
          </cdr:cNvPr>
          <cdr:cNvSpPr txBox="1"/>
        </cdr:nvSpPr>
        <cdr:spPr>
          <a:xfrm xmlns:a="http://schemas.openxmlformats.org/drawingml/2006/main">
            <a:off x="3422639" y="273050"/>
            <a:ext cx="501660" cy="184146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wrap="square" rtlCol="0"/>
          <a:lstStyle xmlns:a="http://schemas.openxmlformats.org/drawingml/2006/main"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ctr"/>
            <a:r>
              <a:rPr lang="en-SE" sz="1200" b="1" baseline="0">
                <a:solidFill>
                  <a:schemeClr val="tx1">
                    <a:lumMod val="95000"/>
                    <a:lumOff val="5000"/>
                  </a:schemeClr>
                </a:solidFill>
              </a:rPr>
              <a:t>2607 </a:t>
            </a:r>
            <a:endParaRPr lang="en-SE" sz="1200" b="1" baseline="-25000">
              <a:solidFill>
                <a:schemeClr val="tx1">
                  <a:lumMod val="95000"/>
                  <a:lumOff val="5000"/>
                </a:schemeClr>
              </a:solidFill>
            </a:endParaRPr>
          </a:p>
        </cdr:txBody>
      </cdr:sp>
    </cdr:grpSp>
  </cdr:relSizeAnchor>
</c:userShapes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0.24085</cdr:x>
      <cdr:y>0.12577</cdr:y>
    </cdr:from>
    <cdr:to>
      <cdr:x>0.91456</cdr:x>
      <cdr:y>0.6194</cdr:y>
    </cdr:to>
    <cdr:grpSp>
      <cdr:nvGrpSpPr>
        <cdr:cNvPr id="12" name="Group 11">
          <a:extLst xmlns:a="http://schemas.openxmlformats.org/drawingml/2006/main">
            <a:ext uri="{FF2B5EF4-FFF2-40B4-BE49-F238E27FC236}">
              <a16:creationId xmlns:a16="http://schemas.microsoft.com/office/drawing/2014/main" id="{CB937D03-3258-10BA-5A58-44C06D47C485}"/>
            </a:ext>
          </a:extLst>
        </cdr:cNvPr>
        <cdr:cNvGrpSpPr/>
      </cdr:nvGrpSpPr>
      <cdr:grpSpPr>
        <a:xfrm xmlns:a="http://schemas.openxmlformats.org/drawingml/2006/main">
          <a:off x="1043039" y="325047"/>
          <a:ext cx="2917609" cy="1275765"/>
          <a:chOff x="1035050" y="297906"/>
          <a:chExt cx="2895455" cy="1169167"/>
        </a:xfrm>
      </cdr:grpSpPr>
      <cdr:sp macro="" textlink="">
        <cdr:nvSpPr>
          <cdr:cNvPr id="7" name="TextBox 1">
            <a:extLst xmlns:a="http://schemas.openxmlformats.org/drawingml/2006/main">
              <a:ext uri="{FF2B5EF4-FFF2-40B4-BE49-F238E27FC236}">
                <a16:creationId xmlns:a16="http://schemas.microsoft.com/office/drawing/2014/main" id="{53555A50-9016-3F7B-88F1-7401BDBEB2A0}"/>
              </a:ext>
            </a:extLst>
          </cdr:cNvPr>
          <cdr:cNvSpPr txBox="1"/>
        </cdr:nvSpPr>
        <cdr:spPr>
          <a:xfrm xmlns:a="http://schemas.openxmlformats.org/drawingml/2006/main">
            <a:off x="1035050" y="463555"/>
            <a:ext cx="501618" cy="279620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wrap="square" rtlCol="0"/>
          <a:lstStyle xmlns:a="http://schemas.openxmlformats.org/drawingml/2006/main"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ctr"/>
            <a:r>
              <a:rPr lang="en-SE" sz="1200" b="1" baseline="0">
                <a:solidFill>
                  <a:schemeClr val="tx1">
                    <a:lumMod val="95000"/>
                    <a:lumOff val="5000"/>
                  </a:schemeClr>
                </a:solidFill>
              </a:rPr>
              <a:t>1566 </a:t>
            </a:r>
            <a:endParaRPr lang="en-SE" sz="1200" b="1" baseline="-25000">
              <a:solidFill>
                <a:schemeClr val="tx1">
                  <a:lumMod val="95000"/>
                  <a:lumOff val="5000"/>
                </a:schemeClr>
              </a:solidFill>
            </a:endParaRPr>
          </a:p>
        </cdr:txBody>
      </cdr:sp>
      <cdr:sp macro="" textlink="">
        <cdr:nvSpPr>
          <cdr:cNvPr id="8" name="TextBox 1">
            <a:extLst xmlns:a="http://schemas.openxmlformats.org/drawingml/2006/main">
              <a:ext uri="{FF2B5EF4-FFF2-40B4-BE49-F238E27FC236}">
                <a16:creationId xmlns:a16="http://schemas.microsoft.com/office/drawing/2014/main" id="{6BDAB5F5-57FC-4734-1E68-60D85AA6E80C}"/>
              </a:ext>
            </a:extLst>
          </cdr:cNvPr>
          <cdr:cNvSpPr txBox="1"/>
        </cdr:nvSpPr>
        <cdr:spPr>
          <a:xfrm xmlns:a="http://schemas.openxmlformats.org/drawingml/2006/main">
            <a:off x="1905003" y="1187453"/>
            <a:ext cx="482600" cy="279620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wrap="square" rtlCol="0"/>
          <a:lstStyle xmlns:a="http://schemas.openxmlformats.org/drawingml/2006/main"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ctr"/>
            <a:r>
              <a:rPr lang="en-SE" sz="1200" b="1" baseline="0">
                <a:solidFill>
                  <a:schemeClr val="tx1">
                    <a:lumMod val="95000"/>
                    <a:lumOff val="5000"/>
                  </a:schemeClr>
                </a:solidFill>
              </a:rPr>
              <a:t>396 </a:t>
            </a:r>
            <a:endParaRPr lang="en-SE" sz="1200" b="1" baseline="-25000">
              <a:solidFill>
                <a:schemeClr val="tx1">
                  <a:lumMod val="95000"/>
                  <a:lumOff val="5000"/>
                </a:schemeClr>
              </a:solidFill>
            </a:endParaRPr>
          </a:p>
        </cdr:txBody>
      </cdr:sp>
      <cdr:sp macro="" textlink="">
        <cdr:nvSpPr>
          <cdr:cNvPr id="9" name="TextBox 1">
            <a:extLst xmlns:a="http://schemas.openxmlformats.org/drawingml/2006/main">
              <a:ext uri="{FF2B5EF4-FFF2-40B4-BE49-F238E27FC236}">
                <a16:creationId xmlns:a16="http://schemas.microsoft.com/office/drawing/2014/main" id="{6BDAB5F5-57FC-4734-1E68-60D85AA6E80C}"/>
              </a:ext>
            </a:extLst>
          </cdr:cNvPr>
          <cdr:cNvSpPr txBox="1"/>
        </cdr:nvSpPr>
        <cdr:spPr>
          <a:xfrm xmlns:a="http://schemas.openxmlformats.org/drawingml/2006/main">
            <a:off x="2539995" y="400570"/>
            <a:ext cx="539756" cy="222255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wrap="square" rtlCol="0"/>
          <a:lstStyle xmlns:a="http://schemas.openxmlformats.org/drawingml/2006/main"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ctr"/>
            <a:r>
              <a:rPr lang="en-SE" sz="1200" b="1" baseline="0">
                <a:solidFill>
                  <a:schemeClr val="tx1">
                    <a:lumMod val="95000"/>
                    <a:lumOff val="5000"/>
                  </a:schemeClr>
                </a:solidFill>
              </a:rPr>
              <a:t>1681 </a:t>
            </a:r>
            <a:endParaRPr lang="en-SE" sz="1200" b="1" baseline="-25000">
              <a:solidFill>
                <a:schemeClr val="tx1">
                  <a:lumMod val="95000"/>
                  <a:lumOff val="5000"/>
                </a:schemeClr>
              </a:solidFill>
            </a:endParaRPr>
          </a:p>
        </cdr:txBody>
      </cdr:sp>
      <cdr:sp macro="" textlink="">
        <cdr:nvSpPr>
          <cdr:cNvPr id="10" name="TextBox 1">
            <a:extLst xmlns:a="http://schemas.openxmlformats.org/drawingml/2006/main">
              <a:ext uri="{FF2B5EF4-FFF2-40B4-BE49-F238E27FC236}">
                <a16:creationId xmlns:a16="http://schemas.microsoft.com/office/drawing/2014/main" id="{6BDAB5F5-57FC-4734-1E68-60D85AA6E80C}"/>
              </a:ext>
            </a:extLst>
          </cdr:cNvPr>
          <cdr:cNvSpPr txBox="1"/>
        </cdr:nvSpPr>
        <cdr:spPr>
          <a:xfrm xmlns:a="http://schemas.openxmlformats.org/drawingml/2006/main">
            <a:off x="3409824" y="297906"/>
            <a:ext cx="520681" cy="203210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wrap="square" rtlCol="0"/>
          <a:lstStyle xmlns:a="http://schemas.openxmlformats.org/drawingml/2006/main"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ctr"/>
            <a:r>
              <a:rPr lang="en-SE" sz="1200" b="1" baseline="0">
                <a:solidFill>
                  <a:schemeClr val="tx1">
                    <a:lumMod val="95000"/>
                    <a:lumOff val="5000"/>
                  </a:schemeClr>
                </a:solidFill>
              </a:rPr>
              <a:t>1839 </a:t>
            </a:r>
            <a:endParaRPr lang="en-SE" sz="1200" b="1" baseline="-25000">
              <a:solidFill>
                <a:schemeClr val="tx1">
                  <a:lumMod val="95000"/>
                  <a:lumOff val="5000"/>
                </a:schemeClr>
              </a:solidFill>
            </a:endParaRPr>
          </a:p>
        </cdr:txBody>
      </cdr:sp>
    </cdr:grpSp>
  </cdr:relSizeAnchor>
</c:userShapes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0.20834</cdr:x>
      <cdr:y>0.12869</cdr:y>
    </cdr:from>
    <cdr:to>
      <cdr:x>0.88653</cdr:x>
      <cdr:y>0.52288</cdr:y>
    </cdr:to>
    <cdr:grpSp>
      <cdr:nvGrpSpPr>
        <cdr:cNvPr id="12" name="Group 11">
          <a:extLst xmlns:a="http://schemas.openxmlformats.org/drawingml/2006/main">
            <a:ext uri="{FF2B5EF4-FFF2-40B4-BE49-F238E27FC236}">
              <a16:creationId xmlns:a16="http://schemas.microsoft.com/office/drawing/2014/main" id="{CB937D03-3258-10BA-5A58-44C06D47C485}"/>
            </a:ext>
          </a:extLst>
        </cdr:cNvPr>
        <cdr:cNvGrpSpPr/>
      </cdr:nvGrpSpPr>
      <cdr:grpSpPr>
        <a:xfrm xmlns:a="http://schemas.openxmlformats.org/drawingml/2006/main">
          <a:off x="895379" y="304809"/>
          <a:ext cx="2914643" cy="933658"/>
          <a:chOff x="895352" y="304801"/>
          <a:chExt cx="2914648" cy="933669"/>
        </a:xfrm>
      </cdr:grpSpPr>
      <cdr:sp macro="" textlink="">
        <cdr:nvSpPr>
          <cdr:cNvPr id="7" name="TextBox 1">
            <a:extLst xmlns:a="http://schemas.openxmlformats.org/drawingml/2006/main">
              <a:ext uri="{FF2B5EF4-FFF2-40B4-BE49-F238E27FC236}">
                <a16:creationId xmlns:a16="http://schemas.microsoft.com/office/drawing/2014/main" id="{53555A50-9016-3F7B-88F1-7401BDBEB2A0}"/>
              </a:ext>
            </a:extLst>
          </cdr:cNvPr>
          <cdr:cNvSpPr txBox="1"/>
        </cdr:nvSpPr>
        <cdr:spPr>
          <a:xfrm xmlns:a="http://schemas.openxmlformats.org/drawingml/2006/main">
            <a:off x="895352" y="438154"/>
            <a:ext cx="482600" cy="279620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wrap="square" rtlCol="0"/>
          <a:lstStyle xmlns:a="http://schemas.openxmlformats.org/drawingml/2006/main"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ctr"/>
            <a:r>
              <a:rPr lang="en-SE" sz="1200" b="1" baseline="0">
                <a:solidFill>
                  <a:schemeClr val="tx1">
                    <a:lumMod val="95000"/>
                    <a:lumOff val="5000"/>
                  </a:schemeClr>
                </a:solidFill>
              </a:rPr>
              <a:t>563 </a:t>
            </a:r>
            <a:endParaRPr lang="en-SE" sz="1200" b="1" baseline="-25000">
              <a:solidFill>
                <a:schemeClr val="tx1">
                  <a:lumMod val="95000"/>
                  <a:lumOff val="5000"/>
                </a:schemeClr>
              </a:solidFill>
            </a:endParaRPr>
          </a:p>
        </cdr:txBody>
      </cdr:sp>
      <cdr:sp macro="" textlink="">
        <cdr:nvSpPr>
          <cdr:cNvPr id="8" name="TextBox 1">
            <a:extLst xmlns:a="http://schemas.openxmlformats.org/drawingml/2006/main">
              <a:ext uri="{FF2B5EF4-FFF2-40B4-BE49-F238E27FC236}">
                <a16:creationId xmlns:a16="http://schemas.microsoft.com/office/drawing/2014/main" id="{6BDAB5F5-57FC-4734-1E68-60D85AA6E80C}"/>
              </a:ext>
            </a:extLst>
          </cdr:cNvPr>
          <cdr:cNvSpPr txBox="1"/>
        </cdr:nvSpPr>
        <cdr:spPr>
          <a:xfrm xmlns:a="http://schemas.openxmlformats.org/drawingml/2006/main">
            <a:off x="1752602" y="958850"/>
            <a:ext cx="482600" cy="279620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wrap="square" rtlCol="0"/>
          <a:lstStyle xmlns:a="http://schemas.openxmlformats.org/drawingml/2006/main"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ctr"/>
            <a:r>
              <a:rPr lang="en-SE" sz="1200" b="1" baseline="0">
                <a:solidFill>
                  <a:schemeClr val="tx1">
                    <a:lumMod val="95000"/>
                    <a:lumOff val="5000"/>
                  </a:schemeClr>
                </a:solidFill>
              </a:rPr>
              <a:t>282 </a:t>
            </a:r>
            <a:endParaRPr lang="en-SE" sz="1200" b="1" baseline="-25000">
              <a:solidFill>
                <a:schemeClr val="tx1">
                  <a:lumMod val="95000"/>
                  <a:lumOff val="5000"/>
                </a:schemeClr>
              </a:solidFill>
            </a:endParaRPr>
          </a:p>
        </cdr:txBody>
      </cdr:sp>
      <cdr:sp macro="" textlink="">
        <cdr:nvSpPr>
          <cdr:cNvPr id="9" name="TextBox 1">
            <a:extLst xmlns:a="http://schemas.openxmlformats.org/drawingml/2006/main">
              <a:ext uri="{FF2B5EF4-FFF2-40B4-BE49-F238E27FC236}">
                <a16:creationId xmlns:a16="http://schemas.microsoft.com/office/drawing/2014/main" id="{6BDAB5F5-57FC-4734-1E68-60D85AA6E80C}"/>
              </a:ext>
            </a:extLst>
          </cdr:cNvPr>
          <cdr:cNvSpPr txBox="1"/>
        </cdr:nvSpPr>
        <cdr:spPr>
          <a:xfrm xmlns:a="http://schemas.openxmlformats.org/drawingml/2006/main">
            <a:off x="2463800" y="412753"/>
            <a:ext cx="482600" cy="209556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wrap="square" rtlCol="0"/>
          <a:lstStyle xmlns:a="http://schemas.openxmlformats.org/drawingml/2006/main"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ctr"/>
            <a:r>
              <a:rPr lang="en-SE" sz="1200" b="1" baseline="0">
                <a:solidFill>
                  <a:schemeClr val="tx1">
                    <a:lumMod val="95000"/>
                    <a:lumOff val="5000"/>
                  </a:schemeClr>
                </a:solidFill>
              </a:rPr>
              <a:t>590 </a:t>
            </a:r>
            <a:endParaRPr lang="en-SE" sz="1200" b="1" baseline="-25000">
              <a:solidFill>
                <a:schemeClr val="tx1">
                  <a:lumMod val="95000"/>
                  <a:lumOff val="5000"/>
                </a:schemeClr>
              </a:solidFill>
            </a:endParaRPr>
          </a:p>
        </cdr:txBody>
      </cdr:sp>
      <cdr:sp macro="" textlink="">
        <cdr:nvSpPr>
          <cdr:cNvPr id="10" name="TextBox 1">
            <a:extLst xmlns:a="http://schemas.openxmlformats.org/drawingml/2006/main">
              <a:ext uri="{FF2B5EF4-FFF2-40B4-BE49-F238E27FC236}">
                <a16:creationId xmlns:a16="http://schemas.microsoft.com/office/drawing/2014/main" id="{6BDAB5F5-57FC-4734-1E68-60D85AA6E80C}"/>
              </a:ext>
            </a:extLst>
          </cdr:cNvPr>
          <cdr:cNvSpPr txBox="1"/>
        </cdr:nvSpPr>
        <cdr:spPr>
          <a:xfrm xmlns:a="http://schemas.openxmlformats.org/drawingml/2006/main">
            <a:off x="3359148" y="304801"/>
            <a:ext cx="450852" cy="190504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wrap="square" rtlCol="0"/>
          <a:lstStyle xmlns:a="http://schemas.openxmlformats.org/drawingml/2006/main"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ctr"/>
            <a:r>
              <a:rPr lang="en-SE" sz="1200" b="1" baseline="0">
                <a:solidFill>
                  <a:schemeClr val="tx1">
                    <a:lumMod val="95000"/>
                    <a:lumOff val="5000"/>
                  </a:schemeClr>
                </a:solidFill>
              </a:rPr>
              <a:t>636 </a:t>
            </a:r>
            <a:endParaRPr lang="en-SE" sz="1200" b="1" baseline="-25000">
              <a:solidFill>
                <a:schemeClr val="tx1">
                  <a:lumMod val="95000"/>
                  <a:lumOff val="5000"/>
                </a:schemeClr>
              </a:solidFill>
            </a:endParaRPr>
          </a:p>
        </cdr:txBody>
      </cdr:sp>
    </cdr:grpSp>
  </cdr:relSizeAnchor>
</c:userShape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housing.com/news/electricity-rates-in-delhi/" TargetMode="External"/><Relationship Id="rId2" Type="http://schemas.openxmlformats.org/officeDocument/2006/relationships/hyperlink" Target="https://www.bajajfinserv.in/what-is-electricity-charges-in-ahmedabad" TargetMode="External"/><Relationship Id="rId1" Type="http://schemas.openxmlformats.org/officeDocument/2006/relationships/hyperlink" Target="https://www.bajajfinserv.in/what-is-electricity-charges-in-chennai" TargetMode="External"/><Relationship Id="rId4" Type="http://schemas.openxmlformats.org/officeDocument/2006/relationships/hyperlink" Target="https://www.solarsquare.in/blog/solar-panel-installation-cost/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ieefa.org/articles/ieefa-report-philippines-can-lower-electricity-costs-improve-energy-security-developing" TargetMode="External"/><Relationship Id="rId13" Type="http://schemas.openxmlformats.org/officeDocument/2006/relationships/hyperlink" Target="https://www.sunstar.com.ph/cebu/power-rates-further-drop-in-metro-cebu" TargetMode="External"/><Relationship Id="rId18" Type="http://schemas.openxmlformats.org/officeDocument/2006/relationships/hyperlink" Target="https://www.eai.in/ref/ae/sol/rooftop/solar-vs-diesel" TargetMode="External"/><Relationship Id="rId3" Type="http://schemas.openxmlformats.org/officeDocument/2006/relationships/hyperlink" Target="https://housing.com/news/electricity-rates-in-delhi/" TargetMode="External"/><Relationship Id="rId7" Type="http://schemas.openxmlformats.org/officeDocument/2006/relationships/hyperlink" Target="https://vietnamnews.vn/economy/1695806/moit-sets-2025-solar-power-price-cap-at-up-to-0-07-kwh.html" TargetMode="External"/><Relationship Id="rId12" Type="http://schemas.openxmlformats.org/officeDocument/2006/relationships/hyperlink" Target="https://news.tuoitre.vn/vietnams-electricity-prices-rise-48-marking-4th-hike-since-2023-103250510145117726.htm" TargetMode="External"/><Relationship Id="rId17" Type="http://schemas.openxmlformats.org/officeDocument/2006/relationships/hyperlink" Target="https://www.pucsl.gov.lk/rooftop-solar-pv-connection-schemes/" TargetMode="External"/><Relationship Id="rId2" Type="http://schemas.openxmlformats.org/officeDocument/2006/relationships/hyperlink" Target="https://www.bajajfinserv.in/what-is-electricity-charges-in-ahmedabad" TargetMode="External"/><Relationship Id="rId16" Type="http://schemas.openxmlformats.org/officeDocument/2006/relationships/hyperlink" Target="https://solarquarter.com/2025/03/21/thailand-targets-lower-electricity-prices-renewable-energy-expansion-to-attract-data-center-investments/" TargetMode="External"/><Relationship Id="rId1" Type="http://schemas.openxmlformats.org/officeDocument/2006/relationships/hyperlink" Target="https://www.bajajfinserv.in/what-is-electricity-charges-in-chennai" TargetMode="External"/><Relationship Id="rId6" Type="http://schemas.openxmlformats.org/officeDocument/2006/relationships/hyperlink" Target="https://brightsolarsolution.online/electricity-bill-calculator/" TargetMode="External"/><Relationship Id="rId11" Type="http://schemas.openxmlformats.org/officeDocument/2006/relationships/hyperlink" Target="https://ieefa.org/resources/time-make-rooftop-solar-shine-bangladesh" TargetMode="External"/><Relationship Id="rId5" Type="http://schemas.openxmlformats.org/officeDocument/2006/relationships/hyperlink" Target="https://web.pucsl.gov.lk/english/wp-content/uploads/2017/11/brief-anlysis-cost-of-generation-2017.pdf" TargetMode="External"/><Relationship Id="rId15" Type="http://schemas.openxmlformats.org/officeDocument/2006/relationships/hyperlink" Target="https://moep.gov.mm/en/ignite/page/593" TargetMode="External"/><Relationship Id="rId10" Type="http://schemas.openxmlformats.org/officeDocument/2006/relationships/hyperlink" Target="https://elevenmyanmar.com/news/electricity-excess-from-solar-panels-installed-by-the-public-will-be-purchased-at-85-kyats-per" TargetMode="External"/><Relationship Id="rId4" Type="http://schemas.openxmlformats.org/officeDocument/2006/relationships/hyperlink" Target="https://www.boi.go.th/index.php?page=utility_costs" TargetMode="External"/><Relationship Id="rId9" Type="http://schemas.openxmlformats.org/officeDocument/2006/relationships/hyperlink" Target="https://solarion.id/finance/" TargetMode="External"/><Relationship Id="rId14" Type="http://schemas.openxmlformats.org/officeDocument/2006/relationships/hyperlink" Target="https://www.ceicdata.com/en/indonesia/average-price-electricity/electricity-average-price-industrial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pmc.ncbi.nlm.nih.gov/articles/PMC5545619/pdf/08mjms24032017_oa6.pdf" TargetMode="External"/><Relationship Id="rId13" Type="http://schemas.openxmlformats.org/officeDocument/2006/relationships/hyperlink" Target="https://iris.who.int/bitstream/handle/10665/170981/db2010v34p32.pdf?sequence=1&amp;isAllowed=y" TargetMode="External"/><Relationship Id="rId18" Type="http://schemas.openxmlformats.org/officeDocument/2006/relationships/hyperlink" Target="https://pubmed.ncbi.nlm.nih.gov/32901596/" TargetMode="External"/><Relationship Id="rId3" Type="http://schemas.openxmlformats.org/officeDocument/2006/relationships/hyperlink" Target="https://www.sciencedirect.com/science/article/pii/S1201971219300979" TargetMode="External"/><Relationship Id="rId21" Type="http://schemas.openxmlformats.org/officeDocument/2006/relationships/drawing" Target="../drawings/drawing1.xml"/><Relationship Id="rId7" Type="http://schemas.openxmlformats.org/officeDocument/2006/relationships/hyperlink" Target="https://journals.plos.org/plosntds/article?id=10.1371/journal.pntd.0011820" TargetMode="External"/><Relationship Id="rId12" Type="http://schemas.openxmlformats.org/officeDocument/2006/relationships/hyperlink" Target="https://www.jmedsciences.com/doi/pdf/10.5005/jp-journals-10045-0040" TargetMode="External"/><Relationship Id="rId17" Type="http://schemas.openxmlformats.org/officeDocument/2006/relationships/hyperlink" Target="https://europepmc.org/backend/ptpmcrender.fcgi?accid=PMC5179203&amp;blobtype=pdf" TargetMode="External"/><Relationship Id="rId2" Type="http://schemas.openxmlformats.org/officeDocument/2006/relationships/hyperlink" Target="https://pmc.ncbi.nlm.nih.gov/articles/PMC9731033/" TargetMode="External"/><Relationship Id="rId16" Type="http://schemas.openxmlformats.org/officeDocument/2006/relationships/hyperlink" Target="https://www.bids.org.bd/page/researches?rid=222" TargetMode="External"/><Relationship Id="rId20" Type="http://schemas.openxmlformats.org/officeDocument/2006/relationships/hyperlink" Target="https://pmc.ncbi.nlm.nih.gov/articles/PMC3578748/" TargetMode="External"/><Relationship Id="rId1" Type="http://schemas.openxmlformats.org/officeDocument/2006/relationships/hyperlink" Target="https://pubmed.ncbi.nlm.nih.gov/33707391/" TargetMode="External"/><Relationship Id="rId6" Type="http://schemas.openxmlformats.org/officeDocument/2006/relationships/hyperlink" Target="https://pmc.ncbi.nlm.nih.gov/articles/PMC8274749/pdf/tpmd201179.pdf" TargetMode="External"/><Relationship Id="rId11" Type="http://schemas.openxmlformats.org/officeDocument/2006/relationships/hyperlink" Target="https://www.herdin.ph/index.php?view=research&amp;cid=51836" TargetMode="External"/><Relationship Id="rId5" Type="http://schemas.openxmlformats.org/officeDocument/2006/relationships/hyperlink" Target="https://www.niid.health.gov.lk/wp-content/uploads/2024/07/dengue-cost-article.pdf" TargetMode="External"/><Relationship Id="rId15" Type="http://schemas.openxmlformats.org/officeDocument/2006/relationships/hyperlink" Target="https://www.niid.health.gov.lk/wp-content/uploads/2024/07/dengue-cost-article.pdf" TargetMode="External"/><Relationship Id="rId10" Type="http://schemas.openxmlformats.org/officeDocument/2006/relationships/hyperlink" Target="https://pmc.ncbi.nlm.nih.gov/articles/PMC4347342/" TargetMode="External"/><Relationship Id="rId19" Type="http://schemas.openxmlformats.org/officeDocument/2006/relationships/hyperlink" Target="https://e-journal.unair.ac.id/JFIKI/article/view/33382" TargetMode="External"/><Relationship Id="rId4" Type="http://schemas.openxmlformats.org/officeDocument/2006/relationships/hyperlink" Target="https://journals.plos.org/plosntds/article?id=10.1371/journal.pntd.0005961" TargetMode="External"/><Relationship Id="rId9" Type="http://schemas.openxmlformats.org/officeDocument/2006/relationships/hyperlink" Target="https://europepmc.org/backend/ptpmcrender.fcgi?accid=PMC5179203&amp;blobtype=pdf" TargetMode="External"/><Relationship Id="rId14" Type="http://schemas.openxmlformats.org/officeDocument/2006/relationships/hyperlink" Target="https://pmc.ncbi.nlm.nih.gov/articles/PMC4257651/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https://myanmar.unfpa.org/sites/default/files/pub-pdf/the_2019_inter-censal_survey_key_findings_english.pdf" TargetMode="External"/><Relationship Id="rId3" Type="http://schemas.openxmlformats.org/officeDocument/2006/relationships/hyperlink" Target="https://www.energy.gov.lk/en/knowledge/resources/your-home/ventilation-and-thermal-comfort" TargetMode="External"/><Relationship Id="rId7" Type="http://schemas.openxmlformats.org/officeDocument/2006/relationships/hyperlink" Target="https://view.officeapps.live.com/op/view.aspx?src=https%3A%2F%2Fwww.mospi.gov.in%2Fsites%2Fdefault%2Ffiles%2Freports_and_publication%2FNSS78-20-21%2FTable1-Estimated-persons-and-households.xlsx&amp;wdOrigin=BROWSELINK" TargetMode="External"/><Relationship Id="rId2" Type="http://schemas.openxmlformats.org/officeDocument/2006/relationships/hyperlink" Target="https://www.sciencedirect.com/science/article/abs/pii/S2352710222005885" TargetMode="External"/><Relationship Id="rId1" Type="http://schemas.openxmlformats.org/officeDocument/2006/relationships/hyperlink" Target="https://www.mea.or.th/en/public-relations/corporate-news-activities/announcement/KGpRg6Az2" TargetMode="External"/><Relationship Id="rId6" Type="http://schemas.openxmlformats.org/officeDocument/2006/relationships/hyperlink" Target="https://www.adb.org/sites/default/files/institutional-document/964861/adpr2024bp-home-based-care-needs-older-adults-sri-lanka.pdf" TargetMode="External"/><Relationship Id="rId11" Type="http://schemas.openxmlformats.org/officeDocument/2006/relationships/hyperlink" Target="https://dhsprogram.com/pubs/pdf/SR276/SR276.pdf" TargetMode="External"/><Relationship Id="rId5" Type="http://schemas.openxmlformats.org/officeDocument/2006/relationships/hyperlink" Target="https://www.ceicdata.com/en/bangladesh/household-income-and-expenditure-survey-number-of-household-by-size/hies-average-household-size" TargetMode="External"/><Relationship Id="rId10" Type="http://schemas.openxmlformats.org/officeDocument/2006/relationships/hyperlink" Target="https://www.arcgis.com/home/item.html?id=8658f09cf1ae4a44aaa813fbb687b59f" TargetMode="External"/><Relationship Id="rId4" Type="http://schemas.openxmlformats.org/officeDocument/2006/relationships/hyperlink" Target="https://bdnews24.com/bangladesh/4i4b9ong3w" TargetMode="External"/><Relationship Id="rId9" Type="http://schemas.openxmlformats.org/officeDocument/2006/relationships/hyperlink" Target="https://www.ceicdata.com/en/indonesia/cost-of-living-survey-sbh2018-average-family-size-by-cities/average-family-size-dki-jakart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34B46-D993-43E2-8220-2E39D861447C}">
  <dimension ref="C1:S49"/>
  <sheetViews>
    <sheetView zoomScale="80" zoomScaleNormal="80" workbookViewId="0">
      <selection activeCell="G48" sqref="G48"/>
    </sheetView>
  </sheetViews>
  <sheetFormatPr defaultRowHeight="12.5" x14ac:dyDescent="0.25"/>
  <cols>
    <col min="3" max="3" width="26.36328125" customWidth="1"/>
    <col min="4" max="4" width="14" customWidth="1"/>
    <col min="5" max="5" width="15.6328125" customWidth="1"/>
    <col min="6" max="6" width="12.36328125" customWidth="1"/>
    <col min="7" max="7" width="10.453125" customWidth="1"/>
    <col min="9" max="9" width="17.7265625" customWidth="1"/>
    <col min="10" max="10" width="18.08984375" customWidth="1"/>
    <col min="12" max="12" width="21" customWidth="1"/>
    <col min="13" max="13" width="18.36328125" customWidth="1"/>
    <col min="15" max="15" width="21.6328125" customWidth="1"/>
    <col min="16" max="16" width="17.6328125" customWidth="1"/>
    <col min="18" max="18" width="22.08984375" customWidth="1"/>
    <col min="19" max="19" width="18" customWidth="1"/>
  </cols>
  <sheetData>
    <row r="1" spans="3:19" ht="13" thickBot="1" x14ac:dyDescent="0.3"/>
    <row r="2" spans="3:19" ht="13" x14ac:dyDescent="0.3">
      <c r="C2" s="262" t="s">
        <v>61</v>
      </c>
      <c r="D2" s="263"/>
      <c r="E2" s="263"/>
      <c r="F2" s="263"/>
      <c r="G2" s="263"/>
      <c r="H2" s="263"/>
      <c r="I2" s="263"/>
      <c r="J2" s="263"/>
      <c r="K2" s="263"/>
      <c r="L2" s="263"/>
      <c r="M2" s="263"/>
      <c r="N2" s="263"/>
      <c r="O2" s="263"/>
      <c r="P2" s="263"/>
      <c r="Q2" s="263"/>
      <c r="R2" s="263"/>
      <c r="S2" s="264"/>
    </row>
    <row r="3" spans="3:19" ht="13" x14ac:dyDescent="0.3">
      <c r="C3" s="53" t="s">
        <v>0</v>
      </c>
      <c r="D3" s="52" t="s">
        <v>1</v>
      </c>
      <c r="E3" s="54" t="s">
        <v>21</v>
      </c>
      <c r="F3" s="54" t="s">
        <v>62</v>
      </c>
      <c r="G3" s="55" t="s">
        <v>22</v>
      </c>
      <c r="H3" s="52"/>
      <c r="I3" s="52" t="s">
        <v>222</v>
      </c>
      <c r="J3" s="57" t="s">
        <v>223</v>
      </c>
      <c r="K3" s="52"/>
      <c r="L3" s="52" t="s">
        <v>224</v>
      </c>
      <c r="M3" s="57" t="s">
        <v>225</v>
      </c>
      <c r="N3" s="52"/>
      <c r="O3" s="52" t="s">
        <v>226</v>
      </c>
      <c r="P3" s="57" t="s">
        <v>227</v>
      </c>
      <c r="Q3" s="52"/>
      <c r="R3" s="52" t="s">
        <v>228</v>
      </c>
      <c r="S3" s="58" t="s">
        <v>229</v>
      </c>
    </row>
    <row r="4" spans="3:19" ht="13" x14ac:dyDescent="0.3">
      <c r="C4" s="26" t="s">
        <v>2</v>
      </c>
      <c r="D4" s="8" t="s">
        <v>3</v>
      </c>
      <c r="E4" s="7">
        <v>0.10249999999999999</v>
      </c>
      <c r="F4" s="7">
        <v>1.05</v>
      </c>
      <c r="G4" s="56">
        <f>E4*F4</f>
        <v>0.107625</v>
      </c>
      <c r="H4" s="8"/>
      <c r="I4" s="7">
        <v>97.388173582703843</v>
      </c>
      <c r="J4" s="81">
        <f>I4*G4</f>
        <v>10.481402181838501</v>
      </c>
      <c r="K4" s="8"/>
      <c r="L4" s="7">
        <v>1880.3788484824295</v>
      </c>
      <c r="M4" s="78">
        <f>L4*G4</f>
        <v>202.37577356792147</v>
      </c>
      <c r="N4" s="8"/>
      <c r="O4" s="7">
        <v>940.33877236082151</v>
      </c>
      <c r="P4" s="78">
        <f>O4*G4</f>
        <v>101.20396037533341</v>
      </c>
      <c r="Q4" s="8"/>
      <c r="R4" s="200">
        <v>135.7128880074107</v>
      </c>
      <c r="S4" s="79">
        <f>R4*G4</f>
        <v>14.606099571797577</v>
      </c>
    </row>
    <row r="5" spans="3:19" ht="13" x14ac:dyDescent="0.3">
      <c r="C5" s="26" t="s">
        <v>4</v>
      </c>
      <c r="D5" s="8" t="s">
        <v>5</v>
      </c>
      <c r="E5" s="7">
        <v>31.4</v>
      </c>
      <c r="F5" s="7">
        <v>1.05</v>
      </c>
      <c r="G5" s="56">
        <f t="shared" ref="G5:G13" si="0">E5*F5</f>
        <v>32.97</v>
      </c>
      <c r="H5" s="8"/>
      <c r="I5" s="7">
        <v>4.8315050655815894E-7</v>
      </c>
      <c r="J5" s="81">
        <f t="shared" ref="J5:J13" si="1">I5*G5</f>
        <v>1.5929472201222499E-5</v>
      </c>
      <c r="K5" s="8"/>
      <c r="L5" s="27">
        <v>1.4555960614632163E-4</v>
      </c>
      <c r="M5" s="105">
        <f t="shared" ref="M5:M13" si="2">L5*G5</f>
        <v>4.799100214644224E-3</v>
      </c>
      <c r="N5" s="8"/>
      <c r="O5" s="7">
        <v>1.4295055676943154E-4</v>
      </c>
      <c r="P5" s="105">
        <f t="shared" ref="P5:P13" si="3">O5*G5</f>
        <v>4.7130798566881573E-3</v>
      </c>
      <c r="Q5" s="8"/>
      <c r="R5" s="200">
        <v>1.4695233055153745E-4</v>
      </c>
      <c r="S5" s="106">
        <f t="shared" ref="S5:S13" si="4">R5*G5</f>
        <v>4.8450183382841893E-3</v>
      </c>
    </row>
    <row r="6" spans="3:19" ht="13" x14ac:dyDescent="0.3">
      <c r="C6" s="26" t="s">
        <v>6</v>
      </c>
      <c r="D6" s="8" t="s">
        <v>7</v>
      </c>
      <c r="E6" s="7">
        <v>902616</v>
      </c>
      <c r="F6" s="7">
        <v>1.05</v>
      </c>
      <c r="G6" s="56">
        <f t="shared" si="0"/>
        <v>947746.8</v>
      </c>
      <c r="H6" s="8"/>
      <c r="I6" s="7">
        <v>4.0754823727724594E-8</v>
      </c>
      <c r="J6" s="81">
        <f t="shared" si="1"/>
        <v>3.8625253772515057E-2</v>
      </c>
      <c r="K6" s="8"/>
      <c r="L6" s="27">
        <v>1.8850991392376689E-6</v>
      </c>
      <c r="M6" s="78">
        <f t="shared" si="2"/>
        <v>1.7865966768952553</v>
      </c>
      <c r="N6" s="8"/>
      <c r="O6" s="7">
        <v>1.0946256070367759E-6</v>
      </c>
      <c r="P6" s="78">
        <f t="shared" si="3"/>
        <v>1.037427916267162</v>
      </c>
      <c r="Q6" s="8"/>
      <c r="R6" s="200">
        <v>1.1779865290531201E-6</v>
      </c>
      <c r="S6" s="79">
        <f t="shared" si="4"/>
        <v>1.1164329633532017</v>
      </c>
    </row>
    <row r="7" spans="3:19" ht="13" x14ac:dyDescent="0.3">
      <c r="C7" s="26" t="s">
        <v>8</v>
      </c>
      <c r="D7" s="8" t="s">
        <v>7</v>
      </c>
      <c r="E7" s="7">
        <v>163447</v>
      </c>
      <c r="F7" s="7">
        <v>1.05</v>
      </c>
      <c r="G7" s="56">
        <f t="shared" si="0"/>
        <v>171619.35</v>
      </c>
      <c r="H7" s="8"/>
      <c r="I7" s="7">
        <v>8.2515394015426095E-7</v>
      </c>
      <c r="J7" s="81">
        <f t="shared" si="1"/>
        <v>0.14161238285921318</v>
      </c>
      <c r="K7" s="8"/>
      <c r="L7" s="27">
        <v>1.9662651162747613E-5</v>
      </c>
      <c r="M7" s="78">
        <f t="shared" si="2"/>
        <v>3.3744914118274898</v>
      </c>
      <c r="N7" s="8"/>
      <c r="O7" s="7">
        <v>9.3131222535703538E-6</v>
      </c>
      <c r="P7" s="78">
        <f t="shared" si="3"/>
        <v>1.5983119876282794</v>
      </c>
      <c r="Q7" s="8"/>
      <c r="R7" s="200">
        <v>4.0427651954608534E-6</v>
      </c>
      <c r="S7" s="79">
        <f t="shared" si="4"/>
        <v>0.69381673504761465</v>
      </c>
    </row>
    <row r="8" spans="3:19" ht="13" x14ac:dyDescent="0.3">
      <c r="C8" s="26" t="s">
        <v>9</v>
      </c>
      <c r="D8" s="8" t="s">
        <v>10</v>
      </c>
      <c r="E8" s="7">
        <v>784126</v>
      </c>
      <c r="F8" s="7">
        <v>1.05</v>
      </c>
      <c r="G8" s="56">
        <f t="shared" si="0"/>
        <v>823332.3</v>
      </c>
      <c r="H8" s="8"/>
      <c r="I8" s="7">
        <v>1.8895927017164439E-6</v>
      </c>
      <c r="J8" s="81">
        <f t="shared" si="1"/>
        <v>1.5557627051674139</v>
      </c>
      <c r="K8" s="8"/>
      <c r="L8" s="27">
        <v>3.804375821915638E-5</v>
      </c>
      <c r="M8" s="78">
        <f t="shared" si="2"/>
        <v>31.322654955221928</v>
      </c>
      <c r="N8" s="8"/>
      <c r="O8" s="7">
        <v>2.0004875983143482E-5</v>
      </c>
      <c r="P8" s="78">
        <f t="shared" si="3"/>
        <v>16.470660554416284</v>
      </c>
      <c r="Q8" s="8"/>
      <c r="R8" s="200">
        <v>9.4335193098818901E-6</v>
      </c>
      <c r="S8" s="79">
        <f t="shared" si="4"/>
        <v>7.7669211504994697</v>
      </c>
    </row>
    <row r="9" spans="3:19" ht="13" x14ac:dyDescent="0.3">
      <c r="C9" s="26" t="s">
        <v>11</v>
      </c>
      <c r="D9" s="8" t="s">
        <v>12</v>
      </c>
      <c r="E9" s="7">
        <v>1.19</v>
      </c>
      <c r="F9" s="7">
        <v>1.05</v>
      </c>
      <c r="G9" s="56">
        <f t="shared" si="0"/>
        <v>1.2495000000000001</v>
      </c>
      <c r="H9" s="8"/>
      <c r="I9" s="7">
        <v>0.24845524791889323</v>
      </c>
      <c r="J9" s="81">
        <f t="shared" si="1"/>
        <v>0.31044483227465708</v>
      </c>
      <c r="K9" s="8"/>
      <c r="L9" s="27">
        <v>5.0398711797136677</v>
      </c>
      <c r="M9" s="78">
        <f t="shared" si="2"/>
        <v>6.297319039052228</v>
      </c>
      <c r="N9" s="8"/>
      <c r="O9" s="7">
        <v>2.5496359339820174</v>
      </c>
      <c r="P9" s="78">
        <f t="shared" si="3"/>
        <v>3.1857700995105307</v>
      </c>
      <c r="Q9" s="8"/>
      <c r="R9" s="200">
        <v>0.58683348352443931</v>
      </c>
      <c r="S9" s="79">
        <f t="shared" si="4"/>
        <v>0.733248437663787</v>
      </c>
    </row>
    <row r="10" spans="3:19" ht="13" x14ac:dyDescent="0.3">
      <c r="C10" s="26" t="s">
        <v>13</v>
      </c>
      <c r="D10" s="8" t="s">
        <v>14</v>
      </c>
      <c r="E10" s="7">
        <v>0.34399999999999997</v>
      </c>
      <c r="F10" s="7">
        <v>1.05</v>
      </c>
      <c r="G10" s="56">
        <f t="shared" si="0"/>
        <v>0.36119999999999997</v>
      </c>
      <c r="H10" s="8"/>
      <c r="I10" s="7">
        <v>0.46139009613311022</v>
      </c>
      <c r="J10" s="81">
        <f t="shared" si="1"/>
        <v>0.16665410272327941</v>
      </c>
      <c r="K10" s="8"/>
      <c r="L10" s="27">
        <v>9.4890500031868434</v>
      </c>
      <c r="M10" s="78">
        <f t="shared" si="2"/>
        <v>3.4274448611510877</v>
      </c>
      <c r="N10" s="8"/>
      <c r="O10" s="7">
        <v>4.8675763759363537</v>
      </c>
      <c r="P10" s="78">
        <f t="shared" si="3"/>
        <v>1.7581685869882109</v>
      </c>
      <c r="Q10" s="8"/>
      <c r="R10" s="200">
        <v>1.1787866278275581</v>
      </c>
      <c r="S10" s="79">
        <f t="shared" si="4"/>
        <v>0.42577772997131391</v>
      </c>
    </row>
    <row r="11" spans="3:19" ht="13" x14ac:dyDescent="0.3">
      <c r="C11" s="26" t="s">
        <v>15</v>
      </c>
      <c r="D11" s="8" t="s">
        <v>16</v>
      </c>
      <c r="E11" s="7">
        <v>1.92</v>
      </c>
      <c r="F11" s="7">
        <v>1.05</v>
      </c>
      <c r="G11" s="56">
        <f t="shared" si="0"/>
        <v>2.016</v>
      </c>
      <c r="H11" s="8"/>
      <c r="I11" s="7">
        <v>9.3650838808142553E-2</v>
      </c>
      <c r="J11" s="81">
        <f t="shared" si="1"/>
        <v>0.1888000910372154</v>
      </c>
      <c r="K11" s="8"/>
      <c r="L11" s="27">
        <v>1.8831872630932425</v>
      </c>
      <c r="M11" s="78">
        <f t="shared" si="2"/>
        <v>3.7965055223959769</v>
      </c>
      <c r="N11" s="8"/>
      <c r="O11" s="7">
        <v>0.94458204554522751</v>
      </c>
      <c r="P11" s="78">
        <f t="shared" si="3"/>
        <v>1.9042774038191788</v>
      </c>
      <c r="Q11" s="8"/>
      <c r="R11" s="200">
        <v>0.10424029739326571</v>
      </c>
      <c r="S11" s="79">
        <f t="shared" si="4"/>
        <v>0.21014843954482368</v>
      </c>
    </row>
    <row r="12" spans="3:19" ht="13" x14ac:dyDescent="0.3">
      <c r="C12" s="26" t="s">
        <v>17</v>
      </c>
      <c r="D12" s="8" t="s">
        <v>18</v>
      </c>
      <c r="E12" s="37">
        <v>3.82E-5</v>
      </c>
      <c r="F12" s="7">
        <v>1.05</v>
      </c>
      <c r="G12" s="56">
        <f t="shared" si="0"/>
        <v>4.0110000000000001E-5</v>
      </c>
      <c r="H12" s="8"/>
      <c r="I12" s="7">
        <v>516.0308903073759</v>
      </c>
      <c r="J12" s="81">
        <f t="shared" si="1"/>
        <v>2.0697999010228847E-2</v>
      </c>
      <c r="K12" s="8"/>
      <c r="L12" s="27">
        <v>11777.790008424454</v>
      </c>
      <c r="M12" s="78">
        <f t="shared" si="2"/>
        <v>0.47240715723790483</v>
      </c>
      <c r="N12" s="8"/>
      <c r="O12" s="7">
        <v>6100.588962814214</v>
      </c>
      <c r="P12" s="78">
        <f t="shared" si="3"/>
        <v>0.24469462329847813</v>
      </c>
      <c r="Q12" s="8"/>
      <c r="R12" s="200">
        <v>2965.4370080429999</v>
      </c>
      <c r="S12" s="79">
        <f t="shared" si="4"/>
        <v>0.11894367839260472</v>
      </c>
    </row>
    <row r="13" spans="3:19" ht="13" x14ac:dyDescent="0.3">
      <c r="C13" s="26" t="s">
        <v>19</v>
      </c>
      <c r="D13" s="8" t="s">
        <v>20</v>
      </c>
      <c r="E13" s="7">
        <v>1.2999999999999999E-3</v>
      </c>
      <c r="F13" s="7">
        <v>1.05</v>
      </c>
      <c r="G13" s="56">
        <f t="shared" si="0"/>
        <v>1.3649999999999999E-3</v>
      </c>
      <c r="H13" s="8"/>
      <c r="I13" s="7">
        <v>1130.9469238310674</v>
      </c>
      <c r="J13" s="81">
        <f t="shared" si="1"/>
        <v>1.5437425510294067</v>
      </c>
      <c r="K13" s="8"/>
      <c r="L13" s="27">
        <v>22170.152733414601</v>
      </c>
      <c r="M13" s="78">
        <f t="shared" si="2"/>
        <v>30.26225848111093</v>
      </c>
      <c r="N13" s="8"/>
      <c r="O13" s="7">
        <v>11105.996864472902</v>
      </c>
      <c r="P13" s="78">
        <f t="shared" si="3"/>
        <v>15.159685720005509</v>
      </c>
      <c r="Q13" s="8"/>
      <c r="R13" s="200">
        <v>1695.2549255410909</v>
      </c>
      <c r="S13" s="79">
        <f t="shared" si="4"/>
        <v>2.3140229733635889</v>
      </c>
    </row>
    <row r="14" spans="3:19" ht="13.5" thickBot="1" x14ac:dyDescent="0.35">
      <c r="C14" s="36" t="s">
        <v>63</v>
      </c>
      <c r="D14" s="82"/>
      <c r="E14" s="82"/>
      <c r="F14" s="82"/>
      <c r="G14" s="82"/>
      <c r="H14" s="82"/>
      <c r="I14" s="82"/>
      <c r="J14" s="83">
        <f>ROUND(SUM(J4:J13),0)</f>
        <v>14</v>
      </c>
      <c r="K14" s="82"/>
      <c r="L14" s="82"/>
      <c r="M14" s="84">
        <f>ROUND(SUM(M4:M13),0)</f>
        <v>283</v>
      </c>
      <c r="N14" s="82"/>
      <c r="O14" s="82"/>
      <c r="P14" s="84">
        <f>ROUND(SUM(P4:P13),0)</f>
        <v>143</v>
      </c>
      <c r="Q14" s="82"/>
      <c r="R14" s="82"/>
      <c r="S14" s="85">
        <f>ROUND(SUM(S4:S13),0)</f>
        <v>28</v>
      </c>
    </row>
    <row r="18" spans="3:19" ht="13" thickBot="1" x14ac:dyDescent="0.3"/>
    <row r="19" spans="3:19" ht="13" x14ac:dyDescent="0.3">
      <c r="C19" s="265" t="s">
        <v>64</v>
      </c>
      <c r="D19" s="266"/>
      <c r="E19" s="266"/>
      <c r="F19" s="266"/>
      <c r="G19" s="266"/>
      <c r="H19" s="266"/>
      <c r="I19" s="266"/>
      <c r="J19" s="266"/>
      <c r="K19" s="266"/>
      <c r="L19" s="266"/>
      <c r="M19" s="266"/>
      <c r="N19" s="266"/>
      <c r="O19" s="266"/>
      <c r="P19" s="266"/>
      <c r="Q19" s="266"/>
      <c r="R19" s="266"/>
      <c r="S19" s="267"/>
    </row>
    <row r="20" spans="3:19" ht="13" x14ac:dyDescent="0.3">
      <c r="C20" s="53" t="s">
        <v>0</v>
      </c>
      <c r="D20" s="52" t="s">
        <v>1</v>
      </c>
      <c r="E20" s="54" t="s">
        <v>21</v>
      </c>
      <c r="F20" s="54" t="s">
        <v>62</v>
      </c>
      <c r="G20" s="55" t="s">
        <v>22</v>
      </c>
      <c r="H20" s="52"/>
      <c r="I20" s="52" t="s">
        <v>230</v>
      </c>
      <c r="J20" s="57" t="s">
        <v>231</v>
      </c>
      <c r="K20" s="52"/>
      <c r="L20" s="52" t="s">
        <v>232</v>
      </c>
      <c r="M20" s="57" t="s">
        <v>233</v>
      </c>
      <c r="N20" s="52"/>
      <c r="O20" s="52" t="s">
        <v>234</v>
      </c>
      <c r="P20" s="57" t="s">
        <v>235</v>
      </c>
      <c r="Q20" s="52"/>
      <c r="R20" s="52" t="s">
        <v>236</v>
      </c>
      <c r="S20" s="58" t="s">
        <v>237</v>
      </c>
    </row>
    <row r="21" spans="3:19" ht="13" x14ac:dyDescent="0.3">
      <c r="C21" s="26" t="s">
        <v>2</v>
      </c>
      <c r="D21" s="8" t="s">
        <v>3</v>
      </c>
      <c r="E21" s="7">
        <v>0.10249999999999999</v>
      </c>
      <c r="F21" s="7">
        <v>1.05</v>
      </c>
      <c r="G21" s="56">
        <f>E21*F21</f>
        <v>0.107625</v>
      </c>
      <c r="H21" s="8"/>
      <c r="I21" s="7">
        <v>134.14812716498818</v>
      </c>
      <c r="J21" s="81">
        <f>I21*G21</f>
        <v>14.437692186131853</v>
      </c>
      <c r="K21" s="8"/>
      <c r="L21" s="7">
        <v>2371.5222559933754</v>
      </c>
      <c r="M21" s="78">
        <f>L21*G21</f>
        <v>255.23508280128704</v>
      </c>
      <c r="N21" s="8"/>
      <c r="O21" s="7">
        <v>1255.3426876887756</v>
      </c>
      <c r="P21" s="78">
        <f>O21*G21</f>
        <v>135.10625676250447</v>
      </c>
      <c r="Q21" s="8"/>
      <c r="R21" s="200">
        <v>127.65632410919841</v>
      </c>
      <c r="S21" s="79">
        <f>R21*G21</f>
        <v>13.739011882252479</v>
      </c>
    </row>
    <row r="22" spans="3:19" ht="13" x14ac:dyDescent="0.3">
      <c r="C22" s="26" t="s">
        <v>4</v>
      </c>
      <c r="D22" s="8" t="s">
        <v>5</v>
      </c>
      <c r="E22" s="7">
        <v>31.4</v>
      </c>
      <c r="F22" s="7">
        <v>1.05</v>
      </c>
      <c r="G22" s="56">
        <f t="shared" ref="G22:G30" si="5">E22*F22</f>
        <v>32.97</v>
      </c>
      <c r="H22" s="8"/>
      <c r="I22" s="7">
        <v>5.5357910580910302E-7</v>
      </c>
      <c r="J22" s="81">
        <f t="shared" ref="J22:J30" si="6">I22*G22</f>
        <v>1.8251503118526125E-5</v>
      </c>
      <c r="K22" s="8"/>
      <c r="L22" s="27">
        <v>1.4632909938776622E-4</v>
      </c>
      <c r="M22" s="78">
        <f t="shared" ref="M22:M30" si="7">L22*G22</f>
        <v>4.8244704068146523E-3</v>
      </c>
      <c r="N22" s="8"/>
      <c r="O22" s="7">
        <v>1.4351534897182893E-4</v>
      </c>
      <c r="P22" s="78">
        <f t="shared" ref="P22:P30" si="8">O22*G22</f>
        <v>4.7317010556011995E-3</v>
      </c>
      <c r="Q22" s="8"/>
      <c r="R22" s="200">
        <v>1.4640677523304732E-4</v>
      </c>
      <c r="S22" s="79">
        <f t="shared" ref="S22:S30" si="9">R22*G22</f>
        <v>4.8270313794335704E-3</v>
      </c>
    </row>
    <row r="23" spans="3:19" ht="13" x14ac:dyDescent="0.3">
      <c r="C23" s="26" t="s">
        <v>6</v>
      </c>
      <c r="D23" s="8" t="s">
        <v>7</v>
      </c>
      <c r="E23" s="7">
        <v>902616</v>
      </c>
      <c r="F23" s="7">
        <v>1.05</v>
      </c>
      <c r="G23" s="56">
        <f t="shared" si="5"/>
        <v>947746.8</v>
      </c>
      <c r="H23" s="8"/>
      <c r="I23" s="7">
        <v>5.0269697030908496E-8</v>
      </c>
      <c r="J23" s="81">
        <f t="shared" si="6"/>
        <v>4.7642944498013033E-2</v>
      </c>
      <c r="K23" s="8"/>
      <c r="L23" s="27">
        <v>1.9061798461135266E-6</v>
      </c>
      <c r="M23" s="78">
        <f t="shared" si="7"/>
        <v>1.8065758493785873</v>
      </c>
      <c r="N23" s="8"/>
      <c r="O23" s="7">
        <v>1.1551925973320756E-6</v>
      </c>
      <c r="P23" s="78">
        <f t="shared" si="8"/>
        <v>1.0948300875051633</v>
      </c>
      <c r="Q23" s="8"/>
      <c r="R23" s="200">
        <v>1.1074410902273936E-6</v>
      </c>
      <c r="S23" s="79">
        <f t="shared" si="9"/>
        <v>1.0495737494515236</v>
      </c>
    </row>
    <row r="24" spans="3:19" ht="13" x14ac:dyDescent="0.3">
      <c r="C24" s="26" t="s">
        <v>8</v>
      </c>
      <c r="D24" s="8" t="s">
        <v>7</v>
      </c>
      <c r="E24" s="7">
        <v>163447</v>
      </c>
      <c r="F24" s="7">
        <v>1.05</v>
      </c>
      <c r="G24" s="56">
        <f t="shared" si="5"/>
        <v>171619.35</v>
      </c>
      <c r="H24" s="8"/>
      <c r="I24" s="7">
        <v>1.060602235585966E-6</v>
      </c>
      <c r="J24" s="81">
        <f t="shared" si="6"/>
        <v>0.18201986627981034</v>
      </c>
      <c r="K24" s="8"/>
      <c r="L24" s="27">
        <v>2.1927213166678237E-5</v>
      </c>
      <c r="M24" s="78">
        <f t="shared" si="7"/>
        <v>3.7631340709767609</v>
      </c>
      <c r="N24" s="8"/>
      <c r="O24" s="7">
        <v>1.1142803071071735E-5</v>
      </c>
      <c r="P24" s="78">
        <f t="shared" si="8"/>
        <v>1.9123206202353351</v>
      </c>
      <c r="Q24" s="8"/>
      <c r="R24" s="200">
        <v>3.6529607888077654E-6</v>
      </c>
      <c r="S24" s="79">
        <f t="shared" si="9"/>
        <v>0.62691875615067605</v>
      </c>
    </row>
    <row r="25" spans="3:19" ht="13" x14ac:dyDescent="0.3">
      <c r="C25" s="26" t="s">
        <v>9</v>
      </c>
      <c r="D25" s="8" t="s">
        <v>10</v>
      </c>
      <c r="E25" s="7">
        <v>784126</v>
      </c>
      <c r="F25" s="7">
        <v>1.05</v>
      </c>
      <c r="G25" s="56">
        <f t="shared" si="5"/>
        <v>823332.3</v>
      </c>
      <c r="H25" s="8"/>
      <c r="I25" s="7">
        <v>2.343660311420179E-6</v>
      </c>
      <c r="J25" s="81">
        <f t="shared" si="6"/>
        <v>1.9296112346202923</v>
      </c>
      <c r="K25" s="8"/>
      <c r="L25" s="27">
        <v>4.2774406278292463E-5</v>
      </c>
      <c r="M25" s="78">
        <f t="shared" si="7"/>
        <v>35.217550302240973</v>
      </c>
      <c r="N25" s="8"/>
      <c r="O25" s="7">
        <v>2.360245621523756E-5</v>
      </c>
      <c r="P25" s="78">
        <f t="shared" si="8"/>
        <v>19.432664561340836</v>
      </c>
      <c r="Q25" s="8"/>
      <c r="R25" s="200">
        <v>8.8703475483687817E-6</v>
      </c>
      <c r="S25" s="79">
        <f t="shared" si="9"/>
        <v>7.3032436487978307</v>
      </c>
    </row>
    <row r="26" spans="3:19" ht="13" x14ac:dyDescent="0.3">
      <c r="C26" s="26" t="s">
        <v>11</v>
      </c>
      <c r="D26" s="8" t="s">
        <v>12</v>
      </c>
      <c r="E26" s="7">
        <v>1.19</v>
      </c>
      <c r="F26" s="7">
        <v>1.05</v>
      </c>
      <c r="G26" s="56">
        <f t="shared" si="5"/>
        <v>1.2495000000000001</v>
      </c>
      <c r="H26" s="8"/>
      <c r="I26" s="7">
        <v>0.34942830517136142</v>
      </c>
      <c r="J26" s="81">
        <f t="shared" si="6"/>
        <v>0.43661066731161613</v>
      </c>
      <c r="K26" s="8"/>
      <c r="L26" s="27">
        <v>6.3796814508862791</v>
      </c>
      <c r="M26" s="78">
        <f t="shared" si="7"/>
        <v>7.9714119728824064</v>
      </c>
      <c r="N26" s="8"/>
      <c r="O26" s="7">
        <v>3.4042982088001086</v>
      </c>
      <c r="P26" s="78">
        <f t="shared" si="8"/>
        <v>4.2536706118957355</v>
      </c>
      <c r="Q26" s="8"/>
      <c r="R26" s="200">
        <v>0.55133409597743865</v>
      </c>
      <c r="S26" s="79">
        <f t="shared" si="9"/>
        <v>0.68889195292380967</v>
      </c>
    </row>
    <row r="27" spans="3:19" ht="13" x14ac:dyDescent="0.3">
      <c r="C27" s="26" t="s">
        <v>13</v>
      </c>
      <c r="D27" s="8" t="s">
        <v>14</v>
      </c>
      <c r="E27" s="7">
        <v>0.34399999999999997</v>
      </c>
      <c r="F27" s="7">
        <v>1.05</v>
      </c>
      <c r="G27" s="56">
        <f t="shared" si="5"/>
        <v>0.36119999999999997</v>
      </c>
      <c r="H27" s="8"/>
      <c r="I27" s="7">
        <v>0.64317622748095671</v>
      </c>
      <c r="J27" s="81">
        <f t="shared" si="6"/>
        <v>0.23231525336612155</v>
      </c>
      <c r="K27" s="8"/>
      <c r="L27" s="27">
        <v>11.875018279091185</v>
      </c>
      <c r="M27" s="78">
        <f t="shared" si="7"/>
        <v>4.2892566024077352</v>
      </c>
      <c r="N27" s="8"/>
      <c r="O27" s="7">
        <v>6.4012964416211044</v>
      </c>
      <c r="P27" s="78">
        <f t="shared" si="8"/>
        <v>2.3121482747135427</v>
      </c>
      <c r="Q27" s="8"/>
      <c r="R27" s="200">
        <v>1.1167777457409811</v>
      </c>
      <c r="S27" s="79">
        <f t="shared" si="9"/>
        <v>0.40338012176164234</v>
      </c>
    </row>
    <row r="28" spans="3:19" ht="13" x14ac:dyDescent="0.3">
      <c r="C28" s="26" t="s">
        <v>15</v>
      </c>
      <c r="D28" s="8" t="s">
        <v>16</v>
      </c>
      <c r="E28" s="7">
        <v>1.92</v>
      </c>
      <c r="F28" s="7">
        <v>1.05</v>
      </c>
      <c r="G28" s="56">
        <f t="shared" si="5"/>
        <v>2.016</v>
      </c>
      <c r="H28" s="8"/>
      <c r="I28" s="7">
        <v>0.11683079639984992</v>
      </c>
      <c r="J28" s="81">
        <f t="shared" si="6"/>
        <v>0.23553088554209745</v>
      </c>
      <c r="K28" s="8"/>
      <c r="L28" s="27">
        <v>2.1213303098053498</v>
      </c>
      <c r="M28" s="78">
        <f t="shared" si="7"/>
        <v>4.2766019045675847</v>
      </c>
      <c r="N28" s="8"/>
      <c r="O28" s="7">
        <v>1.1276000465825198</v>
      </c>
      <c r="P28" s="78">
        <f t="shared" si="8"/>
        <v>2.2732416939103599</v>
      </c>
      <c r="Q28" s="8"/>
      <c r="R28" s="200">
        <v>9.9296102477480302E-2</v>
      </c>
      <c r="S28" s="79">
        <f t="shared" si="9"/>
        <v>0.20018094259460029</v>
      </c>
    </row>
    <row r="29" spans="3:19" ht="13" x14ac:dyDescent="0.3">
      <c r="C29" s="26" t="s">
        <v>17</v>
      </c>
      <c r="D29" s="8" t="s">
        <v>18</v>
      </c>
      <c r="E29" s="37">
        <v>3.82E-5</v>
      </c>
      <c r="F29" s="7">
        <v>1.05</v>
      </c>
      <c r="G29" s="56">
        <f t="shared" si="5"/>
        <v>4.0110000000000001E-5</v>
      </c>
      <c r="H29" s="8"/>
      <c r="I29" s="7">
        <v>630.30204755546094</v>
      </c>
      <c r="J29" s="81">
        <f t="shared" si="6"/>
        <v>2.5281415127449539E-2</v>
      </c>
      <c r="K29" s="8"/>
      <c r="L29" s="27">
        <v>12753.067580678753</v>
      </c>
      <c r="M29" s="78">
        <f t="shared" si="7"/>
        <v>0.51152554066102485</v>
      </c>
      <c r="N29" s="8"/>
      <c r="O29" s="7">
        <v>6965.0911425168315</v>
      </c>
      <c r="P29" s="78">
        <f t="shared" si="8"/>
        <v>0.27936980572635012</v>
      </c>
      <c r="Q29" s="8"/>
      <c r="R29" s="9">
        <v>2772.0953302416788</v>
      </c>
      <c r="S29" s="79">
        <f t="shared" si="9"/>
        <v>0.11118874369599374</v>
      </c>
    </row>
    <row r="30" spans="3:19" ht="13" x14ac:dyDescent="0.3">
      <c r="C30" s="26" t="s">
        <v>19</v>
      </c>
      <c r="D30" s="8" t="s">
        <v>20</v>
      </c>
      <c r="E30" s="7">
        <v>1.2999999999999999E-3</v>
      </c>
      <c r="F30" s="7">
        <v>1.05</v>
      </c>
      <c r="G30" s="56">
        <f t="shared" si="5"/>
        <v>1.3649999999999999E-3</v>
      </c>
      <c r="H30" s="8"/>
      <c r="I30" s="7">
        <v>1521.2369799816763</v>
      </c>
      <c r="J30" s="81">
        <f t="shared" si="6"/>
        <v>2.0764884776749879</v>
      </c>
      <c r="K30" s="8"/>
      <c r="L30" s="27">
        <v>27076.678095948879</v>
      </c>
      <c r="M30" s="78">
        <f t="shared" si="7"/>
        <v>36.959665600970219</v>
      </c>
      <c r="N30" s="8"/>
      <c r="O30" s="7">
        <v>14357.824641554378</v>
      </c>
      <c r="P30" s="78">
        <f t="shared" si="8"/>
        <v>19.598430635721723</v>
      </c>
      <c r="Q30" s="8"/>
      <c r="R30" s="9">
        <v>1595.4284989980779</v>
      </c>
      <c r="S30" s="79">
        <f t="shared" si="9"/>
        <v>2.1777599011323763</v>
      </c>
    </row>
    <row r="31" spans="3:19" ht="13.5" thickBot="1" x14ac:dyDescent="0.35">
      <c r="C31" s="36" t="s">
        <v>63</v>
      </c>
      <c r="D31" s="82"/>
      <c r="E31" s="82"/>
      <c r="F31" s="82"/>
      <c r="G31" s="82"/>
      <c r="H31" s="82"/>
      <c r="I31" s="82"/>
      <c r="J31" s="83">
        <f>ROUND(SUM(J21:J30),0)</f>
        <v>20</v>
      </c>
      <c r="K31" s="82"/>
      <c r="L31" s="82"/>
      <c r="M31" s="84">
        <f>ROUND(SUM(M21:M30),0)</f>
        <v>350</v>
      </c>
      <c r="N31" s="82"/>
      <c r="O31" s="82"/>
      <c r="P31" s="84">
        <f>ROUND(SUM(P21:P30),0)</f>
        <v>186</v>
      </c>
      <c r="Q31" s="82"/>
      <c r="R31" s="82"/>
      <c r="S31" s="85">
        <f>ROUND(SUM(S21:S30),0)</f>
        <v>26</v>
      </c>
    </row>
    <row r="36" spans="3:19" ht="13" thickBot="1" x14ac:dyDescent="0.3"/>
    <row r="37" spans="3:19" ht="13" x14ac:dyDescent="0.3">
      <c r="C37" s="265" t="s">
        <v>65</v>
      </c>
      <c r="D37" s="266"/>
      <c r="E37" s="266"/>
      <c r="F37" s="266"/>
      <c r="G37" s="266"/>
      <c r="H37" s="266"/>
      <c r="I37" s="266"/>
      <c r="J37" s="266"/>
      <c r="K37" s="266"/>
      <c r="L37" s="266"/>
      <c r="M37" s="266"/>
      <c r="N37" s="266"/>
      <c r="O37" s="266"/>
      <c r="P37" s="266"/>
      <c r="Q37" s="266"/>
      <c r="R37" s="266"/>
      <c r="S37" s="267"/>
    </row>
    <row r="38" spans="3:19" ht="13" x14ac:dyDescent="0.3">
      <c r="C38" s="53" t="s">
        <v>0</v>
      </c>
      <c r="D38" s="52" t="s">
        <v>1</v>
      </c>
      <c r="E38" s="54" t="s">
        <v>21</v>
      </c>
      <c r="F38" s="54" t="s">
        <v>62</v>
      </c>
      <c r="G38" s="55" t="s">
        <v>22</v>
      </c>
      <c r="H38" s="52"/>
      <c r="I38" s="52" t="s">
        <v>238</v>
      </c>
      <c r="J38" s="57" t="s">
        <v>239</v>
      </c>
      <c r="K38" s="52"/>
      <c r="L38" s="52" t="s">
        <v>240</v>
      </c>
      <c r="M38" s="57" t="s">
        <v>241</v>
      </c>
      <c r="N38" s="52"/>
      <c r="O38" s="52" t="s">
        <v>242</v>
      </c>
      <c r="P38" s="57" t="s">
        <v>243</v>
      </c>
      <c r="Q38" s="52"/>
      <c r="R38" s="52" t="s">
        <v>244</v>
      </c>
      <c r="S38" s="58" t="s">
        <v>245</v>
      </c>
    </row>
    <row r="39" spans="3:19" ht="13" x14ac:dyDescent="0.3">
      <c r="C39" s="26" t="s">
        <v>2</v>
      </c>
      <c r="D39" s="8" t="s">
        <v>3</v>
      </c>
      <c r="E39" s="7">
        <v>0.10249999999999999</v>
      </c>
      <c r="F39" s="7">
        <v>1.05</v>
      </c>
      <c r="G39" s="56">
        <f>E39*F39</f>
        <v>0.107625</v>
      </c>
      <c r="H39" s="8"/>
      <c r="I39" s="198">
        <v>129.09233721580614</v>
      </c>
      <c r="J39" s="81">
        <f>I39*G39</f>
        <v>13.893562792851135</v>
      </c>
      <c r="K39" s="8"/>
      <c r="L39" s="7">
        <v>2354.9274064188653</v>
      </c>
      <c r="M39" s="78">
        <f>L39*G39</f>
        <v>253.44906211583037</v>
      </c>
      <c r="N39" s="8"/>
      <c r="O39" s="199">
        <v>1166.3945359384356</v>
      </c>
      <c r="P39" s="78">
        <f>O39*G39</f>
        <v>125.53321193037414</v>
      </c>
      <c r="Q39" s="8"/>
      <c r="R39" s="9">
        <v>138.7857347672512</v>
      </c>
      <c r="S39" s="79">
        <f>R39*G39</f>
        <v>14.93681470432541</v>
      </c>
    </row>
    <row r="40" spans="3:19" ht="13" x14ac:dyDescent="0.3">
      <c r="C40" s="26" t="s">
        <v>4</v>
      </c>
      <c r="D40" s="8" t="s">
        <v>5</v>
      </c>
      <c r="E40" s="7">
        <v>31.4</v>
      </c>
      <c r="F40" s="7">
        <v>1.05</v>
      </c>
      <c r="G40" s="56">
        <f t="shared" ref="G40:G48" si="10">E40*F40</f>
        <v>32.97</v>
      </c>
      <c r="H40" s="8"/>
      <c r="I40" s="198">
        <v>5.2027579965220193E-7</v>
      </c>
      <c r="J40" s="81">
        <f t="shared" ref="J40:J48" si="11">I40*G40</f>
        <v>1.7153493114533097E-5</v>
      </c>
      <c r="K40" s="8"/>
      <c r="L40" s="27">
        <v>1.4593915837952595E-4</v>
      </c>
      <c r="M40" s="78">
        <f t="shared" ref="M40:M48" si="12">L40*G40</f>
        <v>4.8116140517729701E-3</v>
      </c>
      <c r="N40" s="8"/>
      <c r="O40" s="199">
        <v>1.4312171696827535E-4</v>
      </c>
      <c r="P40" s="78">
        <f t="shared" ref="P40:P48" si="13">O40*G40</f>
        <v>4.7187230084440382E-3</v>
      </c>
      <c r="Q40" s="8"/>
      <c r="R40" s="199">
        <v>1.471604097272918E-4</v>
      </c>
      <c r="S40" s="79">
        <f t="shared" ref="S40:S48" si="14">R40*G40</f>
        <v>4.8518787087088108E-3</v>
      </c>
    </row>
    <row r="41" spans="3:19" ht="13" x14ac:dyDescent="0.3">
      <c r="C41" s="26" t="s">
        <v>6</v>
      </c>
      <c r="D41" s="8" t="s">
        <v>7</v>
      </c>
      <c r="E41" s="7">
        <v>902616</v>
      </c>
      <c r="F41" s="7">
        <v>1.05</v>
      </c>
      <c r="G41" s="56">
        <f t="shared" si="10"/>
        <v>947746.8</v>
      </c>
      <c r="H41" s="8"/>
      <c r="I41" s="198">
        <v>5.0437875667273909E-8</v>
      </c>
      <c r="J41" s="81">
        <f t="shared" si="11"/>
        <v>4.7802335262456717E-2</v>
      </c>
      <c r="K41" s="8"/>
      <c r="L41" s="27">
        <v>1.9709232596361965E-6</v>
      </c>
      <c r="M41" s="78">
        <f t="shared" si="12"/>
        <v>1.8679362123657746</v>
      </c>
      <c r="N41" s="8"/>
      <c r="O41" s="199">
        <v>1.1322871666518056E-6</v>
      </c>
      <c r="P41" s="78">
        <f t="shared" si="13"/>
        <v>1.0731215388753155</v>
      </c>
      <c r="Q41" s="8"/>
      <c r="R41" s="199">
        <v>1.2048931965738707E-6</v>
      </c>
      <c r="S41" s="79">
        <f t="shared" si="14"/>
        <v>1.1419336713946571</v>
      </c>
    </row>
    <row r="42" spans="3:19" ht="13" x14ac:dyDescent="0.3">
      <c r="C42" s="26" t="s">
        <v>8</v>
      </c>
      <c r="D42" s="8" t="s">
        <v>7</v>
      </c>
      <c r="E42" s="7">
        <v>163447</v>
      </c>
      <c r="F42" s="7">
        <v>1.05</v>
      </c>
      <c r="G42" s="56">
        <f t="shared" si="10"/>
        <v>171619.35</v>
      </c>
      <c r="H42" s="8"/>
      <c r="I42" s="198">
        <v>1.0639288184921281E-6</v>
      </c>
      <c r="J42" s="81">
        <f t="shared" si="11"/>
        <v>0.18259077227588702</v>
      </c>
      <c r="K42" s="8"/>
      <c r="L42" s="27">
        <v>2.2873938734212436E-5</v>
      </c>
      <c r="M42" s="78">
        <f t="shared" si="12"/>
        <v>3.9256104975053612</v>
      </c>
      <c r="N42" s="8"/>
      <c r="O42" s="199">
        <v>1.0822142093162136E-5</v>
      </c>
      <c r="P42" s="78">
        <f t="shared" si="13"/>
        <v>1.8572889916361253</v>
      </c>
      <c r="Q42" s="8"/>
      <c r="R42" s="199">
        <v>4.191440146569716E-6</v>
      </c>
      <c r="S42" s="79">
        <f t="shared" si="14"/>
        <v>0.71933223351819942</v>
      </c>
    </row>
    <row r="43" spans="3:19" ht="13" x14ac:dyDescent="0.3">
      <c r="C43" s="26" t="s">
        <v>9</v>
      </c>
      <c r="D43" s="8" t="s">
        <v>10</v>
      </c>
      <c r="E43" s="7">
        <v>784126</v>
      </c>
      <c r="F43" s="7">
        <v>1.05</v>
      </c>
      <c r="G43" s="56">
        <f t="shared" si="10"/>
        <v>823332.3</v>
      </c>
      <c r="H43" s="8"/>
      <c r="I43" s="198">
        <v>2.2996776937581458E-6</v>
      </c>
      <c r="J43" s="81">
        <f t="shared" si="11"/>
        <v>1.89339892486059</v>
      </c>
      <c r="K43" s="8"/>
      <c r="L43" s="27">
        <v>4.3527377363665461E-5</v>
      </c>
      <c r="M43" s="78">
        <f t="shared" si="12"/>
        <v>35.837495717794624</v>
      </c>
      <c r="N43" s="8"/>
      <c r="O43" s="199">
        <v>2.2579789684582162E-5</v>
      </c>
      <c r="P43" s="78">
        <f t="shared" si="13"/>
        <v>18.590670174523307</v>
      </c>
      <c r="Q43" s="8"/>
      <c r="R43" s="199">
        <v>9.6483181458889616E-6</v>
      </c>
      <c r="S43" s="79">
        <f t="shared" si="14"/>
        <v>7.9437719701864946</v>
      </c>
    </row>
    <row r="44" spans="3:19" ht="13" x14ac:dyDescent="0.3">
      <c r="C44" s="26" t="s">
        <v>11</v>
      </c>
      <c r="D44" s="8" t="s">
        <v>12</v>
      </c>
      <c r="E44" s="7">
        <v>1.19</v>
      </c>
      <c r="F44" s="7">
        <v>1.05</v>
      </c>
      <c r="G44" s="56">
        <f t="shared" si="10"/>
        <v>1.2495000000000001</v>
      </c>
      <c r="H44" s="8"/>
      <c r="I44" s="198">
        <v>0.32680518940599246</v>
      </c>
      <c r="J44" s="81">
        <f t="shared" si="11"/>
        <v>0.40834308416278758</v>
      </c>
      <c r="K44" s="8"/>
      <c r="L44" s="27">
        <v>6.2020785172702491</v>
      </c>
      <c r="M44" s="78">
        <f t="shared" si="12"/>
        <v>7.7494971073291765</v>
      </c>
      <c r="N44" s="8"/>
      <c r="O44" s="199">
        <v>3.1022884142963987</v>
      </c>
      <c r="P44" s="78">
        <f t="shared" si="13"/>
        <v>3.8763093736633505</v>
      </c>
      <c r="Q44" s="8"/>
      <c r="R44" s="9">
        <v>0.60037327305780164</v>
      </c>
      <c r="S44" s="79">
        <f t="shared" si="14"/>
        <v>0.75016640468572315</v>
      </c>
    </row>
    <row r="45" spans="3:19" ht="13" x14ac:dyDescent="0.3">
      <c r="C45" s="26" t="s">
        <v>13</v>
      </c>
      <c r="D45" s="8" t="s">
        <v>14</v>
      </c>
      <c r="E45" s="7">
        <v>0.34399999999999997</v>
      </c>
      <c r="F45" s="7">
        <v>1.05</v>
      </c>
      <c r="G45" s="56">
        <f t="shared" si="10"/>
        <v>0.36119999999999997</v>
      </c>
      <c r="H45" s="8"/>
      <c r="I45" s="198">
        <v>0.60134762148272569</v>
      </c>
      <c r="J45" s="81">
        <f t="shared" si="11"/>
        <v>0.21720676087956051</v>
      </c>
      <c r="K45" s="8"/>
      <c r="L45" s="27">
        <v>11.544381581260385</v>
      </c>
      <c r="M45" s="78">
        <f t="shared" si="12"/>
        <v>4.1698306271512511</v>
      </c>
      <c r="N45" s="8"/>
      <c r="O45" s="199">
        <v>5.8437973972663251</v>
      </c>
      <c r="P45" s="78">
        <f t="shared" si="13"/>
        <v>2.1107796198925963</v>
      </c>
      <c r="Q45" s="8"/>
      <c r="R45" s="9">
        <v>1.20243738022294</v>
      </c>
      <c r="S45" s="79">
        <f t="shared" si="14"/>
        <v>0.43432038173652587</v>
      </c>
    </row>
    <row r="46" spans="3:19" ht="13" x14ac:dyDescent="0.3">
      <c r="C46" s="26" t="s">
        <v>15</v>
      </c>
      <c r="D46" s="8" t="s">
        <v>16</v>
      </c>
      <c r="E46" s="7">
        <v>1.92</v>
      </c>
      <c r="F46" s="7">
        <v>1.05</v>
      </c>
      <c r="G46" s="56">
        <f t="shared" si="10"/>
        <v>2.016</v>
      </c>
      <c r="H46" s="8"/>
      <c r="I46" s="198">
        <v>0.12414999190183268</v>
      </c>
      <c r="J46" s="81">
        <f t="shared" si="11"/>
        <v>0.25028638367409467</v>
      </c>
      <c r="K46" s="8"/>
      <c r="L46" s="27">
        <v>2.3392821847674394</v>
      </c>
      <c r="M46" s="78">
        <f t="shared" si="12"/>
        <v>4.7159928844911576</v>
      </c>
      <c r="N46" s="8"/>
      <c r="O46" s="9">
        <v>1.1616648904144398</v>
      </c>
      <c r="P46" s="78">
        <f t="shared" si="13"/>
        <v>2.3419164190755106</v>
      </c>
      <c r="Q46" s="8"/>
      <c r="R46" s="9">
        <v>0.10612605859901331</v>
      </c>
      <c r="S46" s="79">
        <f t="shared" si="14"/>
        <v>0.21395013413561081</v>
      </c>
    </row>
    <row r="47" spans="3:19" ht="13" x14ac:dyDescent="0.3">
      <c r="C47" s="26" t="s">
        <v>17</v>
      </c>
      <c r="D47" s="8" t="s">
        <v>18</v>
      </c>
      <c r="E47" s="37">
        <v>3.82E-5</v>
      </c>
      <c r="F47" s="7">
        <v>1.05</v>
      </c>
      <c r="G47" s="56">
        <f t="shared" si="10"/>
        <v>4.0110000000000001E-5</v>
      </c>
      <c r="H47" s="8"/>
      <c r="I47" s="198">
        <v>658.66423914059703</v>
      </c>
      <c r="J47" s="81">
        <f t="shared" si="11"/>
        <v>2.6419022631929346E-2</v>
      </c>
      <c r="K47" s="8"/>
      <c r="L47" s="27">
        <v>13756.564374262351</v>
      </c>
      <c r="M47" s="78">
        <f t="shared" si="12"/>
        <v>0.55177579705166291</v>
      </c>
      <c r="N47" s="8"/>
      <c r="O47" s="9">
        <v>7034.0722323070686</v>
      </c>
      <c r="P47" s="78">
        <f t="shared" si="13"/>
        <v>0.28213663723783655</v>
      </c>
      <c r="Q47" s="8"/>
      <c r="R47" s="9">
        <v>3039.1792817555943</v>
      </c>
      <c r="S47" s="79">
        <f t="shared" si="14"/>
        <v>0.12190148099121689</v>
      </c>
    </row>
    <row r="48" spans="3:19" ht="13" x14ac:dyDescent="0.3">
      <c r="C48" s="26" t="s">
        <v>19</v>
      </c>
      <c r="D48" s="8" t="s">
        <v>20</v>
      </c>
      <c r="E48" s="7">
        <v>1.2999999999999999E-3</v>
      </c>
      <c r="F48" s="7">
        <v>1.05</v>
      </c>
      <c r="G48" s="201">
        <f t="shared" si="10"/>
        <v>1.3649999999999999E-3</v>
      </c>
      <c r="H48" s="8"/>
      <c r="I48" s="198">
        <v>1443.7755314717519</v>
      </c>
      <c r="J48" s="81">
        <f t="shared" si="11"/>
        <v>1.9707536004589412</v>
      </c>
      <c r="K48" s="8"/>
      <c r="L48" s="27">
        <v>26676.21417688948</v>
      </c>
      <c r="M48" s="78">
        <f t="shared" si="12"/>
        <v>36.413032351454135</v>
      </c>
      <c r="N48" s="8"/>
      <c r="O48" s="9">
        <v>13241.401368393579</v>
      </c>
      <c r="P48" s="78">
        <f t="shared" si="13"/>
        <v>18.074512867857234</v>
      </c>
      <c r="Q48" s="8"/>
      <c r="R48" s="9">
        <v>1733.329632583198</v>
      </c>
      <c r="S48" s="79">
        <f t="shared" si="14"/>
        <v>2.365994948476065</v>
      </c>
    </row>
    <row r="49" spans="3:19" ht="13.5" thickBot="1" x14ac:dyDescent="0.35">
      <c r="C49" s="36" t="s">
        <v>63</v>
      </c>
      <c r="D49" s="82"/>
      <c r="E49" s="82"/>
      <c r="F49" s="82"/>
      <c r="G49" s="82"/>
      <c r="H49" s="82"/>
      <c r="I49" s="82"/>
      <c r="J49" s="83">
        <f>ROUND(SUM(J39:J48),0)</f>
        <v>19</v>
      </c>
      <c r="K49" s="82"/>
      <c r="L49" s="82"/>
      <c r="M49" s="84">
        <f>ROUND(SUM(M39:M48),0)</f>
        <v>349</v>
      </c>
      <c r="N49" s="82"/>
      <c r="O49" s="82"/>
      <c r="P49" s="65">
        <f>ROUND(SUM(P39:P48),0)</f>
        <v>174</v>
      </c>
      <c r="Q49" s="82"/>
      <c r="R49" s="82"/>
      <c r="S49" s="85">
        <f>ROUND(SUM(S39:S48),0)</f>
        <v>29</v>
      </c>
    </row>
  </sheetData>
  <mergeCells count="3">
    <mergeCell ref="C2:S2"/>
    <mergeCell ref="C19:S19"/>
    <mergeCell ref="C37:S3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DE789-258B-488C-A7BD-B42B9F9537AA}">
  <dimension ref="C1:T134"/>
  <sheetViews>
    <sheetView topLeftCell="L1" workbookViewId="0">
      <selection activeCell="G106" sqref="G106:P115"/>
    </sheetView>
  </sheetViews>
  <sheetFormatPr defaultRowHeight="12.5" x14ac:dyDescent="0.25"/>
  <cols>
    <col min="3" max="3" width="22.453125" customWidth="1"/>
    <col min="4" max="4" width="14.1796875" customWidth="1"/>
    <col min="5" max="5" width="9.36328125" bestFit="1" customWidth="1"/>
    <col min="6" max="6" width="8.81640625" bestFit="1" customWidth="1"/>
    <col min="7" max="7" width="10.36328125" customWidth="1"/>
    <col min="9" max="9" width="20" customWidth="1"/>
    <col min="10" max="10" width="15.26953125" customWidth="1"/>
    <col min="11" max="11" width="21.6328125" customWidth="1"/>
    <col min="12" max="12" width="17.6328125" customWidth="1"/>
    <col min="13" max="13" width="21.26953125" customWidth="1"/>
    <col min="14" max="14" width="17" customWidth="1"/>
    <col min="15" max="15" width="20.1796875" customWidth="1"/>
    <col min="16" max="16" width="16.36328125" customWidth="1"/>
    <col min="17" max="18" width="15" customWidth="1"/>
    <col min="19" max="19" width="14.453125" customWidth="1"/>
    <col min="20" max="20" width="15.453125" customWidth="1"/>
  </cols>
  <sheetData>
    <row r="1" spans="3:20" ht="13" thickBot="1" x14ac:dyDescent="0.3"/>
    <row r="2" spans="3:20" ht="13" x14ac:dyDescent="0.3">
      <c r="C2" s="271" t="s">
        <v>303</v>
      </c>
      <c r="D2" s="272"/>
      <c r="E2" s="272"/>
      <c r="F2" s="272"/>
      <c r="G2" s="272"/>
      <c r="H2" s="272"/>
      <c r="I2" s="272"/>
      <c r="J2" s="272"/>
      <c r="K2" s="272"/>
      <c r="L2" s="272"/>
      <c r="M2" s="272"/>
      <c r="N2" s="272"/>
      <c r="O2" s="272"/>
      <c r="P2" s="272"/>
      <c r="Q2" s="272"/>
      <c r="R2" s="272"/>
      <c r="S2" s="272"/>
      <c r="T2" s="273"/>
    </row>
    <row r="3" spans="3:20" ht="13" x14ac:dyDescent="0.25">
      <c r="C3" s="76" t="s">
        <v>0</v>
      </c>
      <c r="D3" s="74" t="s">
        <v>1</v>
      </c>
      <c r="E3" s="74" t="s">
        <v>21</v>
      </c>
      <c r="F3" s="74" t="s">
        <v>62</v>
      </c>
      <c r="G3" s="77" t="s">
        <v>22</v>
      </c>
      <c r="H3" s="9"/>
      <c r="I3" s="74" t="s">
        <v>295</v>
      </c>
      <c r="J3" s="78" t="s">
        <v>296</v>
      </c>
      <c r="K3" s="74" t="s">
        <v>297</v>
      </c>
      <c r="L3" s="78" t="s">
        <v>298</v>
      </c>
      <c r="M3" s="74" t="s">
        <v>299</v>
      </c>
      <c r="N3" s="78" t="s">
        <v>300</v>
      </c>
      <c r="O3" s="74" t="s">
        <v>301</v>
      </c>
      <c r="P3" s="78" t="s">
        <v>302</v>
      </c>
      <c r="Q3" s="74"/>
      <c r="R3" s="78"/>
      <c r="S3" s="74"/>
      <c r="T3" s="79"/>
    </row>
    <row r="4" spans="3:20" ht="13" x14ac:dyDescent="0.3">
      <c r="C4" s="22" t="s">
        <v>2</v>
      </c>
      <c r="D4" s="9" t="s">
        <v>3</v>
      </c>
      <c r="E4" s="9">
        <v>0.10249999999999999</v>
      </c>
      <c r="F4" s="9">
        <v>1.05</v>
      </c>
      <c r="G4" s="75">
        <f>E4*F4</f>
        <v>0.107625</v>
      </c>
      <c r="H4" s="9"/>
      <c r="I4" s="9">
        <v>5610.1426475134194</v>
      </c>
      <c r="J4" s="78">
        <f>I4*G4</f>
        <v>603.7916024386318</v>
      </c>
      <c r="K4" s="27">
        <v>330.26058486486954</v>
      </c>
      <c r="L4" s="81">
        <f t="shared" ref="L4:L13" si="0">K4*G4</f>
        <v>35.544295446081584</v>
      </c>
      <c r="M4" s="9">
        <v>4716.2602278241293</v>
      </c>
      <c r="N4" s="78">
        <f>M4*G4</f>
        <v>507.58750701957189</v>
      </c>
      <c r="O4" s="9">
        <v>3975.4861319103497</v>
      </c>
      <c r="P4" s="78">
        <f>O4*G4</f>
        <v>427.8616949468514</v>
      </c>
      <c r="Q4" s="27"/>
      <c r="R4" s="81"/>
      <c r="S4" s="7"/>
      <c r="T4" s="103"/>
    </row>
    <row r="5" spans="3:20" ht="13" x14ac:dyDescent="0.3">
      <c r="C5" s="22" t="s">
        <v>4</v>
      </c>
      <c r="D5" s="9" t="s">
        <v>5</v>
      </c>
      <c r="E5" s="9">
        <v>31.4</v>
      </c>
      <c r="F5" s="9">
        <v>1.05</v>
      </c>
      <c r="G5" s="75">
        <f t="shared" ref="G5:G13" si="1">E5*F5</f>
        <v>32.97</v>
      </c>
      <c r="H5" s="9"/>
      <c r="I5" s="9">
        <v>1.5591143918301247E-4</v>
      </c>
      <c r="J5" s="78">
        <f t="shared" ref="J5:J13" si="2">I5*G5</f>
        <v>5.1404001498639215E-3</v>
      </c>
      <c r="K5" s="27">
        <v>1.6012624062460758E-4</v>
      </c>
      <c r="L5" s="81">
        <f t="shared" si="0"/>
        <v>5.2793621533933121E-3</v>
      </c>
      <c r="M5" s="9">
        <v>1.5343049881744267E-4</v>
      </c>
      <c r="N5" s="78">
        <f t="shared" ref="N5:N13" si="3">M5*G5</f>
        <v>5.0586035460110845E-3</v>
      </c>
      <c r="O5" s="9">
        <v>1.5137450541625268E-4</v>
      </c>
      <c r="P5" s="78">
        <f t="shared" ref="P5:P13" si="4">O5*G5</f>
        <v>4.9908174435738502E-3</v>
      </c>
      <c r="Q5" s="27"/>
      <c r="R5" s="81"/>
      <c r="S5" s="7"/>
      <c r="T5" s="103"/>
    </row>
    <row r="6" spans="3:20" ht="13" x14ac:dyDescent="0.3">
      <c r="C6" s="22" t="s">
        <v>6</v>
      </c>
      <c r="D6" s="9" t="s">
        <v>7</v>
      </c>
      <c r="E6" s="9">
        <v>902616</v>
      </c>
      <c r="F6" s="9">
        <v>1.05</v>
      </c>
      <c r="G6" s="75">
        <f t="shared" si="1"/>
        <v>947746.8</v>
      </c>
      <c r="H6" s="9"/>
      <c r="I6" s="9">
        <v>5.021433046041949E-6</v>
      </c>
      <c r="J6" s="78">
        <f t="shared" si="2"/>
        <v>4.75904710080051</v>
      </c>
      <c r="K6" s="27">
        <v>2.8814983700828391E-6</v>
      </c>
      <c r="L6" s="81">
        <f t="shared" si="0"/>
        <v>2.7309308594512265</v>
      </c>
      <c r="M6" s="9">
        <v>4.2697731842844391E-6</v>
      </c>
      <c r="N6" s="78">
        <f t="shared" si="3"/>
        <v>4.0466638721313872</v>
      </c>
      <c r="O6" s="9">
        <v>3.6468611074123689E-6</v>
      </c>
      <c r="P6" s="78">
        <f t="shared" si="4"/>
        <v>3.456300944594529</v>
      </c>
      <c r="Q6" s="27"/>
      <c r="R6" s="81"/>
      <c r="S6" s="7"/>
      <c r="T6" s="103"/>
    </row>
    <row r="7" spans="3:20" ht="13" x14ac:dyDescent="0.3">
      <c r="C7" s="22" t="s">
        <v>8</v>
      </c>
      <c r="D7" s="9" t="s">
        <v>7</v>
      </c>
      <c r="E7" s="9">
        <v>163447</v>
      </c>
      <c r="F7" s="9">
        <v>1.05</v>
      </c>
      <c r="G7" s="75">
        <f t="shared" si="1"/>
        <v>171619.35</v>
      </c>
      <c r="H7" s="9"/>
      <c r="I7" s="9">
        <v>6.072611137365171E-5</v>
      </c>
      <c r="J7" s="78">
        <f t="shared" si="2"/>
        <v>10.421775761973715</v>
      </c>
      <c r="K7" s="27">
        <v>1.3455655247575014E-5</v>
      </c>
      <c r="L7" s="81">
        <f t="shared" si="0"/>
        <v>2.309250807412913</v>
      </c>
      <c r="M7" s="9">
        <v>5.0884762925883109E-5</v>
      </c>
      <c r="N7" s="78">
        <f t="shared" si="3"/>
        <v>8.7328099382441575</v>
      </c>
      <c r="O7" s="9">
        <v>4.2729086252543211E-5</v>
      </c>
      <c r="P7" s="78">
        <f t="shared" si="4"/>
        <v>7.3331380087554017</v>
      </c>
      <c r="Q7" s="27"/>
      <c r="R7" s="81"/>
      <c r="S7" s="7"/>
      <c r="T7" s="103"/>
    </row>
    <row r="8" spans="3:20" ht="13" x14ac:dyDescent="0.3">
      <c r="C8" s="22" t="s">
        <v>9</v>
      </c>
      <c r="D8" s="9" t="s">
        <v>10</v>
      </c>
      <c r="E8" s="9">
        <v>784126</v>
      </c>
      <c r="F8" s="9">
        <v>1.05</v>
      </c>
      <c r="G8" s="75">
        <f t="shared" si="1"/>
        <v>823332.3</v>
      </c>
      <c r="H8" s="9"/>
      <c r="I8" s="9">
        <v>1.0961599396515759E-4</v>
      </c>
      <c r="J8" s="78">
        <f t="shared" si="2"/>
        <v>90.250388428119322</v>
      </c>
      <c r="K8" s="27">
        <v>2.3032836703328379E-5</v>
      </c>
      <c r="L8" s="81">
        <f t="shared" si="0"/>
        <v>18.963678418475773</v>
      </c>
      <c r="M8" s="9">
        <v>9.246285325211009E-5</v>
      </c>
      <c r="N8" s="78">
        <f t="shared" si="3"/>
        <v>76.127653632622284</v>
      </c>
      <c r="O8" s="9">
        <v>7.8247781981096478E-5</v>
      </c>
      <c r="P8" s="78">
        <f t="shared" si="4"/>
        <v>64.423926308394726</v>
      </c>
      <c r="Q8" s="27"/>
      <c r="R8" s="81"/>
      <c r="S8" s="7"/>
      <c r="T8" s="103"/>
    </row>
    <row r="9" spans="3:20" ht="13" x14ac:dyDescent="0.3">
      <c r="C9" s="22" t="s">
        <v>11</v>
      </c>
      <c r="D9" s="9" t="s">
        <v>12</v>
      </c>
      <c r="E9" s="9">
        <v>1.19</v>
      </c>
      <c r="F9" s="9">
        <v>1.05</v>
      </c>
      <c r="G9" s="75">
        <f t="shared" si="1"/>
        <v>1.2495000000000001</v>
      </c>
      <c r="H9" s="9"/>
      <c r="I9" s="9">
        <v>14.920289585832137</v>
      </c>
      <c r="J9" s="78">
        <f t="shared" si="2"/>
        <v>18.642901837497256</v>
      </c>
      <c r="K9" s="27">
        <v>1.4440629676399275</v>
      </c>
      <c r="L9" s="81">
        <f t="shared" si="0"/>
        <v>1.8043566780660896</v>
      </c>
      <c r="M9" s="9">
        <v>12.552329364142437</v>
      </c>
      <c r="N9" s="78">
        <f t="shared" si="3"/>
        <v>15.684135540495976</v>
      </c>
      <c r="O9" s="9">
        <v>10.589964344152737</v>
      </c>
      <c r="P9" s="78">
        <f t="shared" si="4"/>
        <v>13.232160448018845</v>
      </c>
      <c r="Q9" s="27"/>
      <c r="R9" s="81"/>
      <c r="S9" s="7"/>
      <c r="T9" s="103"/>
    </row>
    <row r="10" spans="3:20" ht="13" x14ac:dyDescent="0.3">
      <c r="C10" s="22" t="s">
        <v>13</v>
      </c>
      <c r="D10" s="9" t="s">
        <v>14</v>
      </c>
      <c r="E10" s="9">
        <v>0.34399999999999997</v>
      </c>
      <c r="F10" s="9">
        <v>1.05</v>
      </c>
      <c r="G10" s="75">
        <f t="shared" si="1"/>
        <v>0.36119999999999997</v>
      </c>
      <c r="H10" s="9"/>
      <c r="I10" s="9">
        <v>27.825507640409423</v>
      </c>
      <c r="J10" s="78">
        <f t="shared" si="2"/>
        <v>10.050573359715882</v>
      </c>
      <c r="K10" s="27">
        <v>2.6761601289246344</v>
      </c>
      <c r="L10" s="81">
        <f t="shared" si="0"/>
        <v>0.96662903856757787</v>
      </c>
      <c r="M10" s="9">
        <v>23.430956670305424</v>
      </c>
      <c r="N10" s="78">
        <f t="shared" si="3"/>
        <v>8.4632615493143177</v>
      </c>
      <c r="O10" s="9">
        <v>19.789124758053024</v>
      </c>
      <c r="P10" s="78">
        <f t="shared" si="4"/>
        <v>7.1478318626087516</v>
      </c>
      <c r="Q10" s="27"/>
      <c r="R10" s="81"/>
      <c r="S10" s="7"/>
      <c r="T10" s="103"/>
    </row>
    <row r="11" spans="3:20" ht="13" x14ac:dyDescent="0.3">
      <c r="C11" s="22" t="s">
        <v>15</v>
      </c>
      <c r="D11" s="9" t="s">
        <v>16</v>
      </c>
      <c r="E11" s="9">
        <v>1.92</v>
      </c>
      <c r="F11" s="9">
        <v>1.05</v>
      </c>
      <c r="G11" s="75">
        <f t="shared" si="1"/>
        <v>2.016</v>
      </c>
      <c r="H11" s="9"/>
      <c r="I11" s="9">
        <v>5.6072580244544028</v>
      </c>
      <c r="J11" s="78">
        <f t="shared" si="2"/>
        <v>11.304232177300076</v>
      </c>
      <c r="K11" s="27">
        <v>0.22363136617704249</v>
      </c>
      <c r="L11" s="81">
        <f t="shared" si="0"/>
        <v>0.45084083421291765</v>
      </c>
      <c r="M11" s="9">
        <v>4.7147400092051628</v>
      </c>
      <c r="N11" s="78">
        <f t="shared" si="3"/>
        <v>9.5049158585576077</v>
      </c>
      <c r="O11" s="9">
        <v>3.9750966162152226</v>
      </c>
      <c r="P11" s="78">
        <f t="shared" si="4"/>
        <v>8.0137947782898884</v>
      </c>
      <c r="Q11" s="27"/>
      <c r="R11" s="81"/>
      <c r="S11" s="7"/>
      <c r="T11" s="103"/>
    </row>
    <row r="12" spans="3:20" ht="13" x14ac:dyDescent="0.3">
      <c r="C12" s="22" t="s">
        <v>17</v>
      </c>
      <c r="D12" s="9" t="s">
        <v>18</v>
      </c>
      <c r="E12" s="9">
        <v>3.82E-5</v>
      </c>
      <c r="F12" s="9">
        <v>1.05</v>
      </c>
      <c r="G12" s="75">
        <f t="shared" si="1"/>
        <v>4.0110000000000001E-5</v>
      </c>
      <c r="H12" s="9"/>
      <c r="I12" s="9">
        <v>34303.020025318867</v>
      </c>
      <c r="J12" s="78">
        <f t="shared" si="2"/>
        <v>1.3758941332155397</v>
      </c>
      <c r="K12" s="27">
        <v>7634.1988351735681</v>
      </c>
      <c r="L12" s="81">
        <f t="shared" si="0"/>
        <v>0.3062077152788118</v>
      </c>
      <c r="M12" s="9">
        <v>28904.579749612796</v>
      </c>
      <c r="N12" s="78">
        <f t="shared" si="3"/>
        <v>1.1593626937569692</v>
      </c>
      <c r="O12" s="9">
        <v>24430.809344808447</v>
      </c>
      <c r="P12" s="78">
        <f t="shared" si="4"/>
        <v>0.97991976282026683</v>
      </c>
      <c r="Q12" s="27"/>
      <c r="R12" s="81"/>
      <c r="S12" s="7"/>
      <c r="T12" s="103"/>
    </row>
    <row r="13" spans="3:20" ht="13" x14ac:dyDescent="0.3">
      <c r="C13" s="22" t="s">
        <v>19</v>
      </c>
      <c r="D13" s="9" t="s">
        <v>20</v>
      </c>
      <c r="E13" s="9">
        <v>1.2999999999999999E-3</v>
      </c>
      <c r="F13" s="9">
        <v>1.05</v>
      </c>
      <c r="G13" s="75">
        <f t="shared" si="1"/>
        <v>1.3649999999999999E-3</v>
      </c>
      <c r="H13" s="9"/>
      <c r="I13" s="9">
        <v>66069.013085275496</v>
      </c>
      <c r="J13" s="78">
        <f t="shared" si="2"/>
        <v>90.184202861401047</v>
      </c>
      <c r="K13" s="27">
        <v>4105.8361107445407</v>
      </c>
      <c r="L13" s="81">
        <f t="shared" si="0"/>
        <v>5.6044662911662977</v>
      </c>
      <c r="M13" s="9">
        <v>55548.127145227903</v>
      </c>
      <c r="N13" s="78">
        <f t="shared" si="3"/>
        <v>75.823193553236081</v>
      </c>
      <c r="O13" s="9">
        <v>46829.307310780503</v>
      </c>
      <c r="P13" s="78">
        <f t="shared" si="4"/>
        <v>63.922004479215381</v>
      </c>
      <c r="Q13" s="27"/>
      <c r="R13" s="81"/>
      <c r="S13" s="7"/>
      <c r="T13" s="103"/>
    </row>
    <row r="14" spans="3:20" ht="13.5" thickBot="1" x14ac:dyDescent="0.3">
      <c r="C14" s="69" t="s">
        <v>63</v>
      </c>
      <c r="D14" s="15"/>
      <c r="E14" s="15"/>
      <c r="F14" s="15"/>
      <c r="G14" s="15"/>
      <c r="H14" s="15"/>
      <c r="I14" s="15"/>
      <c r="J14" s="80">
        <f>ROUND(SUM(J4:J13),0)</f>
        <v>841</v>
      </c>
      <c r="K14" s="48"/>
      <c r="L14" s="80">
        <f>ROUND(SUM(L4:L13),0)</f>
        <v>69</v>
      </c>
      <c r="M14" s="80"/>
      <c r="N14" s="80">
        <f>ROUND(SUM(N4:N13),0)</f>
        <v>707</v>
      </c>
      <c r="O14" s="80"/>
      <c r="P14" s="80">
        <f>ROUND(SUM(P4:P13),0)</f>
        <v>596</v>
      </c>
      <c r="Q14" s="48"/>
      <c r="R14" s="80"/>
      <c r="S14" s="48"/>
      <c r="T14" s="80"/>
    </row>
    <row r="19" spans="3:20" ht="13" thickBot="1" x14ac:dyDescent="0.3"/>
    <row r="20" spans="3:20" ht="17" customHeight="1" x14ac:dyDescent="0.3">
      <c r="C20" s="271" t="s">
        <v>304</v>
      </c>
      <c r="D20" s="272"/>
      <c r="E20" s="272"/>
      <c r="F20" s="272"/>
      <c r="G20" s="272"/>
      <c r="H20" s="272"/>
      <c r="I20" s="272"/>
      <c r="J20" s="272"/>
      <c r="K20" s="272"/>
      <c r="L20" s="272"/>
      <c r="M20" s="272"/>
      <c r="N20" s="272"/>
      <c r="O20" s="272"/>
      <c r="P20" s="272"/>
      <c r="Q20" s="272"/>
      <c r="R20" s="272"/>
      <c r="S20" s="272"/>
      <c r="T20" s="273"/>
    </row>
    <row r="21" spans="3:20" ht="13" x14ac:dyDescent="0.25">
      <c r="C21" s="76" t="s">
        <v>0</v>
      </c>
      <c r="D21" s="74" t="s">
        <v>1</v>
      </c>
      <c r="E21" s="74" t="s">
        <v>21</v>
      </c>
      <c r="F21" s="74" t="s">
        <v>62</v>
      </c>
      <c r="G21" s="77" t="s">
        <v>22</v>
      </c>
      <c r="H21" s="9"/>
      <c r="I21" s="74" t="s">
        <v>305</v>
      </c>
      <c r="J21" s="78" t="s">
        <v>296</v>
      </c>
      <c r="K21" s="74" t="s">
        <v>306</v>
      </c>
      <c r="L21" s="78" t="s">
        <v>307</v>
      </c>
      <c r="M21" s="74" t="s">
        <v>308</v>
      </c>
      <c r="N21" s="78" t="s">
        <v>309</v>
      </c>
      <c r="O21" s="74" t="s">
        <v>310</v>
      </c>
      <c r="P21" s="78" t="s">
        <v>311</v>
      </c>
      <c r="Q21" s="74"/>
      <c r="R21" s="78"/>
      <c r="S21" s="74"/>
      <c r="T21" s="79"/>
    </row>
    <row r="22" spans="3:20" ht="13" x14ac:dyDescent="0.3">
      <c r="C22" s="22" t="s">
        <v>2</v>
      </c>
      <c r="D22" s="9" t="s">
        <v>3</v>
      </c>
      <c r="E22" s="9">
        <v>0.10249999999999999</v>
      </c>
      <c r="F22" s="9">
        <v>1.05</v>
      </c>
      <c r="G22" s="75">
        <f>E22*F22</f>
        <v>0.107625</v>
      </c>
      <c r="H22" s="9"/>
      <c r="I22" s="9">
        <v>3882.0156343558297</v>
      </c>
      <c r="J22" s="78">
        <f>I22*G22</f>
        <v>417.80193264754615</v>
      </c>
      <c r="K22" s="27">
        <v>360.04713529872845</v>
      </c>
      <c r="L22" s="81">
        <f t="shared" ref="L22:L31" si="5">K22*G22</f>
        <v>38.750072936525648</v>
      </c>
      <c r="M22" s="9">
        <v>3260.1064012898696</v>
      </c>
      <c r="N22" s="78">
        <f>M22*G22</f>
        <v>350.86895143882219</v>
      </c>
      <c r="O22" s="9">
        <v>2745.1246722655696</v>
      </c>
      <c r="P22" s="78">
        <f>O22*G22</f>
        <v>295.4440428525819</v>
      </c>
      <c r="Q22" s="27"/>
      <c r="R22" s="81"/>
      <c r="S22" s="27"/>
      <c r="T22" s="103"/>
    </row>
    <row r="23" spans="3:20" ht="13" x14ac:dyDescent="0.3">
      <c r="C23" s="22" t="s">
        <v>4</v>
      </c>
      <c r="D23" s="9" t="s">
        <v>5</v>
      </c>
      <c r="E23" s="9">
        <v>31.4</v>
      </c>
      <c r="F23" s="9">
        <v>1.05</v>
      </c>
      <c r="G23" s="75">
        <f t="shared" ref="G23:G31" si="6">E23*F23</f>
        <v>32.97</v>
      </c>
      <c r="H23" s="9"/>
      <c r="I23" s="9">
        <v>2.3482345574764418E-4</v>
      </c>
      <c r="J23" s="78">
        <f t="shared" ref="J23:J31" si="7">I23*G23</f>
        <v>7.7421293359998282E-3</v>
      </c>
      <c r="K23" s="27">
        <v>1.6214787386195788E-4</v>
      </c>
      <c r="L23" s="81">
        <f t="shared" si="5"/>
        <v>5.3460154012287516E-3</v>
      </c>
      <c r="M23" s="9">
        <v>2.1954849844865829E-4</v>
      </c>
      <c r="N23" s="78">
        <f t="shared" ref="N23:N31" si="8">M23*G23</f>
        <v>7.2385139938522637E-3</v>
      </c>
      <c r="O23" s="9">
        <v>2.0689982963597068E-4</v>
      </c>
      <c r="P23" s="78">
        <f t="shared" ref="P23:P31" si="9">O23*G23</f>
        <v>6.8214873830979529E-3</v>
      </c>
      <c r="Q23" s="27"/>
      <c r="R23" s="81"/>
      <c r="S23" s="27"/>
      <c r="T23" s="103"/>
    </row>
    <row r="24" spans="3:20" ht="13" x14ac:dyDescent="0.3">
      <c r="C24" s="22" t="s">
        <v>6</v>
      </c>
      <c r="D24" s="9" t="s">
        <v>7</v>
      </c>
      <c r="E24" s="9">
        <v>902616</v>
      </c>
      <c r="F24" s="9">
        <v>1.05</v>
      </c>
      <c r="G24" s="75">
        <f t="shared" si="6"/>
        <v>947746.8</v>
      </c>
      <c r="H24" s="9"/>
      <c r="I24" s="9">
        <v>4.2157611473820289E-6</v>
      </c>
      <c r="J24" s="78">
        <f t="shared" si="7"/>
        <v>3.9954741369956466</v>
      </c>
      <c r="K24" s="27">
        <v>3.142410446772379E-6</v>
      </c>
      <c r="L24" s="81">
        <f t="shared" si="5"/>
        <v>2.9782094452150929</v>
      </c>
      <c r="M24" s="9">
        <v>3.5879989042705288E-6</v>
      </c>
      <c r="N24" s="78">
        <f t="shared" si="8"/>
        <v>3.4005144799259002</v>
      </c>
      <c r="O24" s="9">
        <v>3.068170498154199E-6</v>
      </c>
      <c r="P24" s="78">
        <f t="shared" si="9"/>
        <v>2.9078487714800483</v>
      </c>
      <c r="Q24" s="27"/>
      <c r="R24" s="81"/>
      <c r="S24" s="27"/>
      <c r="T24" s="103"/>
    </row>
    <row r="25" spans="3:20" ht="13" x14ac:dyDescent="0.3">
      <c r="C25" s="22" t="s">
        <v>8</v>
      </c>
      <c r="D25" s="9" t="s">
        <v>7</v>
      </c>
      <c r="E25" s="9">
        <v>163447</v>
      </c>
      <c r="F25" s="9">
        <v>1.05</v>
      </c>
      <c r="G25" s="75">
        <f t="shared" si="6"/>
        <v>171619.35</v>
      </c>
      <c r="H25" s="9"/>
      <c r="I25" s="9">
        <v>3.1673905862487113E-5</v>
      </c>
      <c r="J25" s="78">
        <f t="shared" si="7"/>
        <v>5.4358551360812282</v>
      </c>
      <c r="K25" s="27">
        <v>1.4896947182011312E-5</v>
      </c>
      <c r="L25" s="81">
        <f t="shared" si="5"/>
        <v>2.556604392361113</v>
      </c>
      <c r="M25" s="9">
        <v>2.6449696440774713E-5</v>
      </c>
      <c r="N25" s="78">
        <f t="shared" si="8"/>
        <v>4.5392797108630702</v>
      </c>
      <c r="O25" s="9">
        <v>2.2123707602315214E-5</v>
      </c>
      <c r="P25" s="78">
        <f t="shared" si="9"/>
        <v>3.7968563182993957</v>
      </c>
      <c r="Q25" s="27"/>
      <c r="R25" s="81"/>
      <c r="S25" s="27"/>
      <c r="T25" s="103"/>
    </row>
    <row r="26" spans="3:20" ht="13" x14ac:dyDescent="0.3">
      <c r="C26" s="22" t="s">
        <v>9</v>
      </c>
      <c r="D26" s="9" t="s">
        <v>10</v>
      </c>
      <c r="E26" s="9">
        <v>784126</v>
      </c>
      <c r="F26" s="9">
        <v>1.05</v>
      </c>
      <c r="G26" s="75">
        <f t="shared" si="6"/>
        <v>823332.3</v>
      </c>
      <c r="H26" s="9"/>
      <c r="I26" s="9">
        <v>3.2380215129011276E-5</v>
      </c>
      <c r="J26" s="78">
        <f t="shared" si="7"/>
        <v>26.659676996663652</v>
      </c>
      <c r="K26" s="27">
        <v>2.5115889013445782E-5</v>
      </c>
      <c r="L26" s="81">
        <f t="shared" si="5"/>
        <v>20.678722667985049</v>
      </c>
      <c r="M26" s="9">
        <v>2.7579814566181682E-5</v>
      </c>
      <c r="N26" s="78">
        <f t="shared" si="8"/>
        <v>22.707352160347867</v>
      </c>
      <c r="O26" s="9">
        <v>2.3604767323889381E-5</v>
      </c>
      <c r="P26" s="78">
        <f t="shared" si="9"/>
        <v>19.434567371742691</v>
      </c>
      <c r="Q26" s="27"/>
      <c r="R26" s="81"/>
      <c r="S26" s="27"/>
      <c r="T26" s="103"/>
    </row>
    <row r="27" spans="3:20" ht="13" x14ac:dyDescent="0.3">
      <c r="C27" s="22" t="s">
        <v>11</v>
      </c>
      <c r="D27" s="9" t="s">
        <v>12</v>
      </c>
      <c r="E27" s="9">
        <v>1.19</v>
      </c>
      <c r="F27" s="9">
        <v>1.05</v>
      </c>
      <c r="G27" s="75">
        <f t="shared" si="6"/>
        <v>1.2495000000000001</v>
      </c>
      <c r="H27" s="9"/>
      <c r="I27" s="9">
        <v>8.6392720718100868</v>
      </c>
      <c r="J27" s="78">
        <f t="shared" si="7"/>
        <v>10.794770453726704</v>
      </c>
      <c r="K27" s="27">
        <v>1.5753227823859275</v>
      </c>
      <c r="L27" s="81">
        <f t="shared" si="5"/>
        <v>1.9683658165912166</v>
      </c>
      <c r="M27" s="9">
        <v>7.2674462481983078</v>
      </c>
      <c r="N27" s="78">
        <f t="shared" si="8"/>
        <v>9.0806740871237857</v>
      </c>
      <c r="O27" s="9">
        <v>6.1314842830077678</v>
      </c>
      <c r="P27" s="78">
        <f t="shared" si="9"/>
        <v>7.6612896116182059</v>
      </c>
      <c r="Q27" s="27"/>
      <c r="R27" s="81"/>
      <c r="S27" s="27"/>
      <c r="T27" s="103"/>
    </row>
    <row r="28" spans="3:20" ht="13" x14ac:dyDescent="0.3">
      <c r="C28" s="22" t="s">
        <v>13</v>
      </c>
      <c r="D28" s="9" t="s">
        <v>14</v>
      </c>
      <c r="E28" s="9">
        <v>0.34399999999999997</v>
      </c>
      <c r="F28" s="9">
        <v>1.05</v>
      </c>
      <c r="G28" s="75">
        <f t="shared" si="6"/>
        <v>0.36119999999999997</v>
      </c>
      <c r="H28" s="9"/>
      <c r="I28" s="9">
        <v>14.543990591247024</v>
      </c>
      <c r="J28" s="78">
        <f t="shared" si="7"/>
        <v>5.2532894015584244</v>
      </c>
      <c r="K28" s="27">
        <v>2.9054283745227742</v>
      </c>
      <c r="L28" s="81">
        <f t="shared" si="5"/>
        <v>1.049440728877626</v>
      </c>
      <c r="M28" s="9">
        <v>12.261117429204324</v>
      </c>
      <c r="N28" s="78">
        <f t="shared" si="8"/>
        <v>4.4287156154286018</v>
      </c>
      <c r="O28" s="9">
        <v>10.370748375932633</v>
      </c>
      <c r="P28" s="78">
        <f t="shared" si="9"/>
        <v>3.7459143133868666</v>
      </c>
      <c r="Q28" s="27"/>
      <c r="R28" s="81"/>
      <c r="S28" s="27"/>
      <c r="T28" s="103"/>
    </row>
    <row r="29" spans="3:20" ht="13" x14ac:dyDescent="0.3">
      <c r="C29" s="22" t="s">
        <v>15</v>
      </c>
      <c r="D29" s="9" t="s">
        <v>16</v>
      </c>
      <c r="E29" s="9">
        <v>1.92</v>
      </c>
      <c r="F29" s="9">
        <v>1.05</v>
      </c>
      <c r="G29" s="75">
        <f t="shared" si="6"/>
        <v>2.016</v>
      </c>
      <c r="H29" s="9"/>
      <c r="I29" s="9">
        <v>2.7843893960296024</v>
      </c>
      <c r="J29" s="78">
        <f t="shared" si="7"/>
        <v>5.6133290223956784</v>
      </c>
      <c r="K29" s="27">
        <v>0.24189916441267351</v>
      </c>
      <c r="L29" s="81">
        <f t="shared" si="5"/>
        <v>0.48766871545594981</v>
      </c>
      <c r="M29" s="9">
        <v>2.3410490565614426</v>
      </c>
      <c r="N29" s="78">
        <f t="shared" si="8"/>
        <v>4.7195548980278685</v>
      </c>
      <c r="O29" s="9">
        <v>1.9739341104784525</v>
      </c>
      <c r="P29" s="78">
        <f t="shared" si="9"/>
        <v>3.97945116672456</v>
      </c>
      <c r="Q29" s="27"/>
      <c r="R29" s="81"/>
      <c r="S29" s="27"/>
      <c r="T29" s="103"/>
    </row>
    <row r="30" spans="3:20" ht="13" x14ac:dyDescent="0.3">
      <c r="C30" s="22" t="s">
        <v>17</v>
      </c>
      <c r="D30" s="9" t="s">
        <v>18</v>
      </c>
      <c r="E30" s="9">
        <v>3.82E-5</v>
      </c>
      <c r="F30" s="9">
        <v>1.05</v>
      </c>
      <c r="G30" s="75">
        <f t="shared" si="6"/>
        <v>4.0110000000000001E-5</v>
      </c>
      <c r="H30" s="9"/>
      <c r="I30" s="9">
        <v>24079.995179015423</v>
      </c>
      <c r="J30" s="78">
        <f t="shared" si="7"/>
        <v>0.96584860663030858</v>
      </c>
      <c r="K30" s="27">
        <v>8349.1188682545999</v>
      </c>
      <c r="L30" s="81">
        <f t="shared" si="5"/>
        <v>0.334883157805692</v>
      </c>
      <c r="M30" s="9">
        <v>20289.501044786735</v>
      </c>
      <c r="N30" s="78">
        <f t="shared" si="8"/>
        <v>0.81381188690639594</v>
      </c>
      <c r="O30" s="9">
        <v>17150.722716190226</v>
      </c>
      <c r="P30" s="78">
        <f t="shared" si="9"/>
        <v>0.68791548814639003</v>
      </c>
      <c r="Q30" s="27"/>
      <c r="R30" s="81"/>
      <c r="S30" s="27"/>
      <c r="T30" s="103"/>
    </row>
    <row r="31" spans="3:20" ht="13" x14ac:dyDescent="0.3">
      <c r="C31" s="22" t="s">
        <v>19</v>
      </c>
      <c r="D31" s="9" t="s">
        <v>20</v>
      </c>
      <c r="E31" s="9">
        <v>1.2999999999999999E-3</v>
      </c>
      <c r="F31" s="9">
        <v>1.05</v>
      </c>
      <c r="G31" s="75">
        <f t="shared" si="6"/>
        <v>1.3649999999999999E-3</v>
      </c>
      <c r="H31" s="9"/>
      <c r="I31" s="9">
        <v>48962.267948936103</v>
      </c>
      <c r="J31" s="78">
        <f t="shared" si="7"/>
        <v>66.833495750297772</v>
      </c>
      <c r="K31" s="27">
        <v>4474.9253688551016</v>
      </c>
      <c r="L31" s="81">
        <f t="shared" si="5"/>
        <v>6.1082731284872134</v>
      </c>
      <c r="M31" s="9">
        <v>41119.170340325698</v>
      </c>
      <c r="N31" s="78">
        <f t="shared" si="8"/>
        <v>56.127667514544576</v>
      </c>
      <c r="O31" s="9">
        <v>34624.569918530797</v>
      </c>
      <c r="P31" s="78">
        <f t="shared" si="9"/>
        <v>47.262537938794537</v>
      </c>
      <c r="Q31" s="27"/>
      <c r="R31" s="81"/>
      <c r="S31" s="27"/>
      <c r="T31" s="103"/>
    </row>
    <row r="32" spans="3:20" ht="13.5" thickBot="1" x14ac:dyDescent="0.3">
      <c r="C32" s="69" t="s">
        <v>63</v>
      </c>
      <c r="D32" s="15"/>
      <c r="E32" s="15"/>
      <c r="F32" s="15"/>
      <c r="G32" s="15"/>
      <c r="H32" s="15"/>
      <c r="I32" s="15"/>
      <c r="J32" s="80">
        <f>ROUND(SUM(J22:J31),0)</f>
        <v>543</v>
      </c>
      <c r="K32" s="48"/>
      <c r="L32" s="80">
        <f>ROUND(SUM(L22:L31),0)</f>
        <v>75</v>
      </c>
      <c r="M32" s="80"/>
      <c r="N32" s="80">
        <f>ROUND(SUM(N22:N31),0)</f>
        <v>457</v>
      </c>
      <c r="O32" s="80"/>
      <c r="P32" s="80">
        <f>ROUND(SUM(P22:P31),0)</f>
        <v>385</v>
      </c>
      <c r="Q32" s="48"/>
      <c r="R32" s="80"/>
      <c r="S32" s="48"/>
      <c r="T32" s="80"/>
    </row>
    <row r="36" spans="3:20" ht="13" thickBot="1" x14ac:dyDescent="0.3"/>
    <row r="37" spans="3:20" ht="13" x14ac:dyDescent="0.3">
      <c r="C37" s="271" t="s">
        <v>312</v>
      </c>
      <c r="D37" s="272"/>
      <c r="E37" s="272"/>
      <c r="F37" s="272"/>
      <c r="G37" s="272"/>
      <c r="H37" s="272"/>
      <c r="I37" s="272"/>
      <c r="J37" s="272"/>
      <c r="K37" s="272"/>
      <c r="L37" s="272"/>
      <c r="M37" s="272"/>
      <c r="N37" s="272"/>
      <c r="O37" s="272"/>
      <c r="P37" s="272"/>
      <c r="Q37" s="272"/>
      <c r="R37" s="272"/>
      <c r="S37" s="272"/>
      <c r="T37" s="273"/>
    </row>
    <row r="38" spans="3:20" ht="13" x14ac:dyDescent="0.25">
      <c r="C38" s="76" t="s">
        <v>0</v>
      </c>
      <c r="D38" s="74" t="s">
        <v>1</v>
      </c>
      <c r="E38" s="74" t="s">
        <v>21</v>
      </c>
      <c r="F38" s="74" t="s">
        <v>62</v>
      </c>
      <c r="G38" s="77" t="s">
        <v>22</v>
      </c>
      <c r="H38" s="9"/>
      <c r="I38" s="74" t="s">
        <v>313</v>
      </c>
      <c r="J38" s="78" t="s">
        <v>314</v>
      </c>
      <c r="K38" s="74" t="s">
        <v>315</v>
      </c>
      <c r="L38" s="78" t="s">
        <v>316</v>
      </c>
      <c r="M38" s="74" t="s">
        <v>317</v>
      </c>
      <c r="N38" s="78" t="s">
        <v>318</v>
      </c>
      <c r="O38" s="74" t="s">
        <v>319</v>
      </c>
      <c r="P38" s="78" t="s">
        <v>320</v>
      </c>
      <c r="Q38" s="74"/>
      <c r="R38" s="78"/>
      <c r="S38" s="74"/>
      <c r="T38" s="79"/>
    </row>
    <row r="39" spans="3:20" ht="13" x14ac:dyDescent="0.3">
      <c r="C39" s="22" t="s">
        <v>2</v>
      </c>
      <c r="D39" s="9" t="s">
        <v>3</v>
      </c>
      <c r="E39" s="9">
        <v>0.10249999999999999</v>
      </c>
      <c r="F39" s="9">
        <v>1.05</v>
      </c>
      <c r="G39" s="75">
        <f>E39*F39</f>
        <v>0.107625</v>
      </c>
      <c r="H39" s="9"/>
      <c r="I39" s="9">
        <v>3597.7443564989599</v>
      </c>
      <c r="J39" s="78">
        <f>I39*G39</f>
        <v>387.20723636820054</v>
      </c>
      <c r="K39" s="9">
        <v>385.80652139582548</v>
      </c>
      <c r="L39" s="78">
        <f t="shared" ref="L39:L48" si="10">K39*G39</f>
        <v>41.522426865225718</v>
      </c>
      <c r="M39" s="9">
        <v>2936.8101970296998</v>
      </c>
      <c r="N39" s="78">
        <f>M39*G39</f>
        <v>316.07419745532144</v>
      </c>
      <c r="O39" s="9">
        <v>2393.3939650322495</v>
      </c>
      <c r="P39" s="78">
        <f>O39*G39</f>
        <v>257.58902548659586</v>
      </c>
      <c r="Q39" s="7"/>
      <c r="R39" s="78"/>
      <c r="S39" s="7"/>
      <c r="T39" s="103"/>
    </row>
    <row r="40" spans="3:20" ht="13" x14ac:dyDescent="0.3">
      <c r="C40" s="22" t="s">
        <v>4</v>
      </c>
      <c r="D40" s="9" t="s">
        <v>5</v>
      </c>
      <c r="E40" s="9">
        <v>31.4</v>
      </c>
      <c r="F40" s="9">
        <v>1.05</v>
      </c>
      <c r="G40" s="75">
        <f t="shared" ref="G40:G48" si="11">E40*F40</f>
        <v>32.97</v>
      </c>
      <c r="H40" s="9"/>
      <c r="I40" s="9">
        <v>1.6380444050107489E-4</v>
      </c>
      <c r="J40" s="78">
        <f t="shared" ref="J40:J48" si="12">I40*G40</f>
        <v>5.4006324033204385E-3</v>
      </c>
      <c r="K40" s="199">
        <v>1.6389253547313039E-4</v>
      </c>
      <c r="L40" s="78">
        <f t="shared" si="10"/>
        <v>5.4035368945491088E-3</v>
      </c>
      <c r="M40" s="9">
        <v>1.5946633265295508E-4</v>
      </c>
      <c r="N40" s="78">
        <f t="shared" ref="N40:N48" si="13">M40*G40</f>
        <v>5.2576049875679284E-3</v>
      </c>
      <c r="O40" s="9">
        <v>1.5589956554453889E-4</v>
      </c>
      <c r="P40" s="78">
        <f t="shared" ref="P40:P48" si="14">O40*G40</f>
        <v>5.1400086760034465E-3</v>
      </c>
      <c r="Q40" s="7"/>
      <c r="R40" s="78"/>
      <c r="S40" s="7"/>
      <c r="T40" s="103"/>
    </row>
    <row r="41" spans="3:20" ht="13" x14ac:dyDescent="0.3">
      <c r="C41" s="22" t="s">
        <v>6</v>
      </c>
      <c r="D41" s="9" t="s">
        <v>7</v>
      </c>
      <c r="E41" s="9">
        <v>902616</v>
      </c>
      <c r="F41" s="9">
        <v>1.05</v>
      </c>
      <c r="G41" s="75">
        <f t="shared" si="11"/>
        <v>947746.8</v>
      </c>
      <c r="H41" s="9"/>
      <c r="I41" s="9">
        <v>4.2736569056844586E-6</v>
      </c>
      <c r="J41" s="78">
        <f t="shared" si="12"/>
        <v>4.0503446566603474</v>
      </c>
      <c r="K41" s="199">
        <v>3.3679745546917688E-6</v>
      </c>
      <c r="L41" s="78">
        <f t="shared" si="10"/>
        <v>3.191987106690549</v>
      </c>
      <c r="M41" s="9">
        <v>3.5424452942245289E-6</v>
      </c>
      <c r="N41" s="78">
        <f t="shared" si="13"/>
        <v>3.357341191776356</v>
      </c>
      <c r="O41" s="9">
        <v>2.9412473488627489E-6</v>
      </c>
      <c r="P41" s="78">
        <f t="shared" si="14"/>
        <v>2.787557762893154</v>
      </c>
      <c r="Q41" s="7"/>
      <c r="R41" s="78"/>
      <c r="S41" s="7"/>
      <c r="T41" s="103"/>
    </row>
    <row r="42" spans="3:20" ht="13" x14ac:dyDescent="0.3">
      <c r="C42" s="22" t="s">
        <v>8</v>
      </c>
      <c r="D42" s="9" t="s">
        <v>7</v>
      </c>
      <c r="E42" s="9">
        <v>163447</v>
      </c>
      <c r="F42" s="9">
        <v>1.05</v>
      </c>
      <c r="G42" s="75">
        <f t="shared" si="11"/>
        <v>171619.35</v>
      </c>
      <c r="H42" s="9"/>
      <c r="I42" s="9">
        <v>2.6198270096356812E-5</v>
      </c>
      <c r="J42" s="78">
        <f t="shared" si="12"/>
        <v>4.4961300850611936</v>
      </c>
      <c r="K42" s="199">
        <v>1.6143288253491312E-5</v>
      </c>
      <c r="L42" s="78">
        <f t="shared" si="10"/>
        <v>2.7705006369268141</v>
      </c>
      <c r="M42" s="9">
        <v>2.1219800833947714E-5</v>
      </c>
      <c r="N42" s="78">
        <f t="shared" si="13"/>
        <v>3.6417284262515648</v>
      </c>
      <c r="O42" s="9">
        <v>1.7126532285283414E-5</v>
      </c>
      <c r="P42" s="78">
        <f t="shared" si="14"/>
        <v>2.9392443385543543</v>
      </c>
      <c r="Q42" s="7"/>
      <c r="R42" s="78"/>
      <c r="S42" s="7"/>
      <c r="T42" s="103"/>
    </row>
    <row r="43" spans="3:20" ht="13" x14ac:dyDescent="0.3">
      <c r="C43" s="22" t="s">
        <v>9</v>
      </c>
      <c r="D43" s="9" t="s">
        <v>10</v>
      </c>
      <c r="E43" s="9">
        <v>784126</v>
      </c>
      <c r="F43" s="9">
        <v>1.05</v>
      </c>
      <c r="G43" s="75">
        <f t="shared" si="11"/>
        <v>823332.3</v>
      </c>
      <c r="H43" s="9"/>
      <c r="I43" s="9">
        <v>1.3745223808183556E-4</v>
      </c>
      <c r="J43" s="78">
        <f t="shared" si="12"/>
        <v>113.16886732006527</v>
      </c>
      <c r="K43" s="199">
        <v>2.6916600147590981E-5</v>
      </c>
      <c r="L43" s="78">
        <f t="shared" si="10"/>
        <v>22.161306307696421</v>
      </c>
      <c r="M43" s="9">
        <v>1.1242506826378058E-4</v>
      </c>
      <c r="N43" s="78">
        <f t="shared" si="13"/>
        <v>92.563190031275482</v>
      </c>
      <c r="O43" s="9">
        <v>9.184787441589679E-5</v>
      </c>
      <c r="P43" s="78">
        <f t="shared" si="14"/>
        <v>75.621321692951469</v>
      </c>
      <c r="Q43" s="7"/>
      <c r="R43" s="78"/>
      <c r="S43" s="7"/>
      <c r="T43" s="103"/>
    </row>
    <row r="44" spans="3:20" ht="13" x14ac:dyDescent="0.3">
      <c r="C44" s="22" t="s">
        <v>11</v>
      </c>
      <c r="D44" s="9" t="s">
        <v>12</v>
      </c>
      <c r="E44" s="9">
        <v>1.19</v>
      </c>
      <c r="F44" s="9">
        <v>1.05</v>
      </c>
      <c r="G44" s="75">
        <f t="shared" si="11"/>
        <v>1.2495000000000001</v>
      </c>
      <c r="H44" s="9"/>
      <c r="I44" s="9">
        <v>15.624225149657137</v>
      </c>
      <c r="J44" s="78">
        <f t="shared" si="12"/>
        <v>19.522469324496594</v>
      </c>
      <c r="K44" s="199">
        <v>1.6888266623025874</v>
      </c>
      <c r="L44" s="78">
        <f t="shared" si="10"/>
        <v>2.1101889145470829</v>
      </c>
      <c r="M44" s="9">
        <v>12.752327381736237</v>
      </c>
      <c r="N44" s="78">
        <f t="shared" si="13"/>
        <v>15.934033063479429</v>
      </c>
      <c r="O44" s="9">
        <v>10.391069696131536</v>
      </c>
      <c r="P44" s="78">
        <f t="shared" si="14"/>
        <v>12.983641585316356</v>
      </c>
      <c r="Q44" s="7"/>
      <c r="R44" s="78"/>
      <c r="S44" s="7"/>
      <c r="T44" s="103"/>
    </row>
    <row r="45" spans="3:20" ht="13" x14ac:dyDescent="0.3">
      <c r="C45" s="22" t="s">
        <v>13</v>
      </c>
      <c r="D45" s="9" t="s">
        <v>14</v>
      </c>
      <c r="E45" s="9">
        <v>0.34399999999999997</v>
      </c>
      <c r="F45" s="9">
        <v>1.05</v>
      </c>
      <c r="G45" s="75">
        <f t="shared" si="11"/>
        <v>0.36119999999999997</v>
      </c>
      <c r="H45" s="9"/>
      <c r="I45" s="9">
        <v>36.019622324159727</v>
      </c>
      <c r="J45" s="78">
        <f t="shared" si="12"/>
        <v>13.010287583486493</v>
      </c>
      <c r="K45" s="199">
        <v>3.1036915211627241</v>
      </c>
      <c r="L45" s="78">
        <f t="shared" si="10"/>
        <v>1.1210533774439759</v>
      </c>
      <c r="M45" s="9">
        <v>29.410396403836423</v>
      </c>
      <c r="N45" s="78">
        <f t="shared" si="13"/>
        <v>10.623035181065715</v>
      </c>
      <c r="O45" s="9">
        <v>23.976329190657523</v>
      </c>
      <c r="P45" s="78">
        <f t="shared" si="14"/>
        <v>8.6602501036654971</v>
      </c>
      <c r="Q45" s="7"/>
      <c r="R45" s="78"/>
      <c r="S45" s="7"/>
      <c r="T45" s="103"/>
    </row>
    <row r="46" spans="3:20" ht="13" x14ac:dyDescent="0.3">
      <c r="C46" s="22" t="s">
        <v>15</v>
      </c>
      <c r="D46" s="9" t="s">
        <v>16</v>
      </c>
      <c r="E46" s="9">
        <v>1.92</v>
      </c>
      <c r="F46" s="9">
        <v>1.05</v>
      </c>
      <c r="G46" s="75">
        <f t="shared" si="11"/>
        <v>2.016</v>
      </c>
      <c r="H46" s="9"/>
      <c r="I46" s="9">
        <v>1.0595567060160724</v>
      </c>
      <c r="J46" s="78">
        <f t="shared" si="12"/>
        <v>2.136066319328402</v>
      </c>
      <c r="K46" s="199">
        <v>0.25770639617325952</v>
      </c>
      <c r="L46" s="78">
        <f t="shared" si="10"/>
        <v>0.51953609468529116</v>
      </c>
      <c r="M46" s="9">
        <v>0.87115425685493453</v>
      </c>
      <c r="N46" s="78">
        <f t="shared" si="13"/>
        <v>1.7562469818195481</v>
      </c>
      <c r="O46" s="9">
        <v>0.71625085603140159</v>
      </c>
      <c r="P46" s="78">
        <f t="shared" si="14"/>
        <v>1.4439617257593056</v>
      </c>
      <c r="Q46" s="7"/>
      <c r="R46" s="78"/>
      <c r="S46" s="7"/>
      <c r="T46" s="103"/>
    </row>
    <row r="47" spans="3:20" ht="13" x14ac:dyDescent="0.3">
      <c r="C47" s="22" t="s">
        <v>17</v>
      </c>
      <c r="D47" s="9" t="s">
        <v>18</v>
      </c>
      <c r="E47" s="9">
        <v>3.82E-5</v>
      </c>
      <c r="F47" s="9">
        <v>1.05</v>
      </c>
      <c r="G47" s="75">
        <f t="shared" si="11"/>
        <v>4.0110000000000001E-5</v>
      </c>
      <c r="H47" s="9"/>
      <c r="I47" s="9">
        <v>17147.01553919863</v>
      </c>
      <c r="J47" s="78">
        <f t="shared" si="12"/>
        <v>0.68776679327725709</v>
      </c>
      <c r="K47" s="9">
        <v>8967.3030172741583</v>
      </c>
      <c r="L47" s="78">
        <f t="shared" si="10"/>
        <v>0.35967852402286649</v>
      </c>
      <c r="M47" s="9">
        <v>14084.675585789641</v>
      </c>
      <c r="N47" s="78">
        <f t="shared" si="13"/>
        <v>0.56493633774602248</v>
      </c>
      <c r="O47" s="9">
        <v>11566.837439985497</v>
      </c>
      <c r="P47" s="78">
        <f t="shared" si="14"/>
        <v>0.46394584971781827</v>
      </c>
      <c r="Q47" s="7"/>
      <c r="R47" s="78"/>
      <c r="S47" s="7"/>
      <c r="T47" s="103"/>
    </row>
    <row r="48" spans="3:20" ht="13" x14ac:dyDescent="0.3">
      <c r="C48" s="22" t="s">
        <v>19</v>
      </c>
      <c r="D48" s="9" t="s">
        <v>20</v>
      </c>
      <c r="E48" s="9">
        <v>1.2999999999999999E-3</v>
      </c>
      <c r="F48" s="9">
        <v>1.05</v>
      </c>
      <c r="G48" s="75">
        <f t="shared" si="11"/>
        <v>1.3649999999999999E-3</v>
      </c>
      <c r="H48" s="9"/>
      <c r="I48" s="9">
        <v>38022.303717774601</v>
      </c>
      <c r="J48" s="78">
        <f t="shared" si="12"/>
        <v>51.900444574762325</v>
      </c>
      <c r="K48" s="9">
        <v>4794.1031404997011</v>
      </c>
      <c r="L48" s="78">
        <f t="shared" si="10"/>
        <v>6.5439507867820916</v>
      </c>
      <c r="M48" s="9">
        <v>31053.2852830476</v>
      </c>
      <c r="N48" s="78">
        <f t="shared" si="13"/>
        <v>42.387734411359972</v>
      </c>
      <c r="O48" s="9">
        <v>25323.398751594799</v>
      </c>
      <c r="P48" s="78">
        <f t="shared" si="14"/>
        <v>34.566439295926898</v>
      </c>
      <c r="Q48" s="7"/>
      <c r="R48" s="78"/>
      <c r="S48" s="7"/>
      <c r="T48" s="103"/>
    </row>
    <row r="49" spans="3:20" ht="13.5" thickBot="1" x14ac:dyDescent="0.3">
      <c r="C49" s="69" t="s">
        <v>63</v>
      </c>
      <c r="D49" s="15"/>
      <c r="E49" s="15"/>
      <c r="F49" s="15"/>
      <c r="G49" s="15"/>
      <c r="H49" s="15"/>
      <c r="I49" s="15"/>
      <c r="J49" s="80">
        <f>ROUND(SUM(J39:J48),0)</f>
        <v>596</v>
      </c>
      <c r="K49" s="48"/>
      <c r="L49" s="80">
        <f>ROUND(SUM(L39:L48),0)</f>
        <v>80</v>
      </c>
      <c r="M49" s="80"/>
      <c r="N49" s="80">
        <f>ROUND(SUM(N39:N48),0)</f>
        <v>487</v>
      </c>
      <c r="O49" s="80"/>
      <c r="P49" s="80">
        <f>ROUND(SUM(P39:P48),0)</f>
        <v>397</v>
      </c>
      <c r="Q49" s="48"/>
      <c r="R49" s="80"/>
      <c r="S49" s="48"/>
      <c r="T49" s="80"/>
    </row>
    <row r="52" spans="3:20" ht="13" thickBot="1" x14ac:dyDescent="0.3"/>
    <row r="53" spans="3:20" ht="13" x14ac:dyDescent="0.3">
      <c r="C53" s="271" t="s">
        <v>329</v>
      </c>
      <c r="D53" s="272"/>
      <c r="E53" s="272"/>
      <c r="F53" s="272"/>
      <c r="G53" s="272"/>
      <c r="H53" s="272"/>
      <c r="I53" s="272"/>
      <c r="J53" s="272"/>
      <c r="K53" s="272"/>
      <c r="L53" s="272"/>
      <c r="M53" s="272"/>
      <c r="N53" s="272"/>
      <c r="O53" s="272"/>
      <c r="P53" s="272"/>
      <c r="Q53" s="272"/>
      <c r="R53" s="272"/>
      <c r="S53" s="272"/>
      <c r="T53" s="273"/>
    </row>
    <row r="54" spans="3:20" ht="13" x14ac:dyDescent="0.25">
      <c r="C54" s="76" t="s">
        <v>0</v>
      </c>
      <c r="D54" s="74" t="s">
        <v>1</v>
      </c>
      <c r="E54" s="74" t="s">
        <v>21</v>
      </c>
      <c r="F54" s="74" t="s">
        <v>62</v>
      </c>
      <c r="G54" s="77" t="s">
        <v>22</v>
      </c>
      <c r="H54" s="9"/>
      <c r="I54" s="74" t="s">
        <v>328</v>
      </c>
      <c r="J54" s="78" t="s">
        <v>327</v>
      </c>
      <c r="K54" s="74" t="s">
        <v>326</v>
      </c>
      <c r="L54" s="78" t="s">
        <v>325</v>
      </c>
      <c r="M54" s="74" t="s">
        <v>324</v>
      </c>
      <c r="N54" s="78" t="s">
        <v>323</v>
      </c>
      <c r="O54" s="74" t="s">
        <v>322</v>
      </c>
      <c r="P54" s="78" t="s">
        <v>321</v>
      </c>
      <c r="Q54" s="74"/>
      <c r="R54" s="78"/>
      <c r="S54" s="74"/>
      <c r="T54" s="79"/>
    </row>
    <row r="55" spans="3:20" ht="13" x14ac:dyDescent="0.3">
      <c r="C55" s="22" t="s">
        <v>2</v>
      </c>
      <c r="D55" s="9" t="s">
        <v>3</v>
      </c>
      <c r="E55" s="9">
        <v>0.10249999999999999</v>
      </c>
      <c r="F55" s="9">
        <v>1.05</v>
      </c>
      <c r="G55" s="75">
        <f>E55*F55</f>
        <v>0.107625</v>
      </c>
      <c r="H55" s="9"/>
      <c r="I55" s="9">
        <v>3672.1376658427398</v>
      </c>
      <c r="J55" s="78">
        <f>I55*G55</f>
        <v>395.21381628632486</v>
      </c>
      <c r="K55" s="9">
        <v>361.72754049370053</v>
      </c>
      <c r="L55" s="78">
        <f t="shared" ref="L55:L64" si="15">K55*G55</f>
        <v>38.93092654563452</v>
      </c>
      <c r="M55" s="9">
        <v>3037.4673113714498</v>
      </c>
      <c r="N55" s="78">
        <f>M55*G55</f>
        <v>326.90741938635227</v>
      </c>
      <c r="O55" s="9">
        <v>2543.6315888721797</v>
      </c>
      <c r="P55" s="78">
        <f>O55*G55</f>
        <v>273.75834975236836</v>
      </c>
      <c r="Q55" s="7"/>
      <c r="R55" s="78"/>
      <c r="S55" s="7"/>
      <c r="T55" s="103"/>
    </row>
    <row r="56" spans="3:20" ht="13" x14ac:dyDescent="0.3">
      <c r="C56" s="22" t="s">
        <v>4</v>
      </c>
      <c r="D56" s="9" t="s">
        <v>5</v>
      </c>
      <c r="E56" s="9">
        <v>31.4</v>
      </c>
      <c r="F56" s="9">
        <v>1.05</v>
      </c>
      <c r="G56" s="75">
        <f t="shared" ref="G56:G64" si="16">E56*F56</f>
        <v>32.97</v>
      </c>
      <c r="H56" s="9"/>
      <c r="I56" s="9">
        <v>2.0450754911011858E-4</v>
      </c>
      <c r="J56" s="78">
        <f t="shared" ref="J56:J64" si="17">I56*G56</f>
        <v>6.742613894160609E-3</v>
      </c>
      <c r="K56" s="199">
        <v>1.6226166758401107E-4</v>
      </c>
      <c r="L56" s="78">
        <f t="shared" si="15"/>
        <v>5.3497671802448452E-3</v>
      </c>
      <c r="M56" s="9">
        <v>1.9331536981144888E-4</v>
      </c>
      <c r="N56" s="78">
        <f t="shared" ref="N56:N64" si="18">M56*G56</f>
        <v>6.3736077426834693E-3</v>
      </c>
      <c r="O56" s="9">
        <v>1.8460675767703719E-4</v>
      </c>
      <c r="P56" s="78">
        <f t="shared" ref="P56:P64" si="19">O56*G56</f>
        <v>6.0864848006119158E-3</v>
      </c>
      <c r="Q56" s="7"/>
      <c r="R56" s="78"/>
      <c r="S56" s="7"/>
      <c r="T56" s="103"/>
    </row>
    <row r="57" spans="3:20" ht="13" x14ac:dyDescent="0.3">
      <c r="C57" s="22" t="s">
        <v>6</v>
      </c>
      <c r="D57" s="9" t="s">
        <v>7</v>
      </c>
      <c r="E57" s="9">
        <v>902616</v>
      </c>
      <c r="F57" s="9">
        <v>1.05</v>
      </c>
      <c r="G57" s="75">
        <f t="shared" si="16"/>
        <v>947746.8</v>
      </c>
      <c r="H57" s="9"/>
      <c r="I57" s="9">
        <v>5.0329565781003088E-6</v>
      </c>
      <c r="J57" s="78">
        <f t="shared" si="17"/>
        <v>4.7699684914335183</v>
      </c>
      <c r="K57" s="7">
        <v>3.157125505488779E-6</v>
      </c>
      <c r="L57" s="78">
        <f t="shared" si="15"/>
        <v>2.9921555950253729</v>
      </c>
      <c r="M57" s="9">
        <v>4.2125145861025588E-6</v>
      </c>
      <c r="N57" s="78">
        <f t="shared" si="18"/>
        <v>3.9923972189320249</v>
      </c>
      <c r="O57" s="9">
        <v>3.5741303271994388E-6</v>
      </c>
      <c r="P57" s="78">
        <f t="shared" si="19"/>
        <v>3.3873705803862211</v>
      </c>
      <c r="Q57" s="7"/>
      <c r="R57" s="78"/>
      <c r="S57" s="7"/>
      <c r="T57" s="103"/>
    </row>
    <row r="58" spans="3:20" ht="13" x14ac:dyDescent="0.3">
      <c r="C58" s="22" t="s">
        <v>8</v>
      </c>
      <c r="D58" s="9" t="s">
        <v>7</v>
      </c>
      <c r="E58" s="9">
        <v>163447</v>
      </c>
      <c r="F58" s="9">
        <v>1.05</v>
      </c>
      <c r="G58" s="75">
        <f t="shared" si="16"/>
        <v>171619.35</v>
      </c>
      <c r="H58" s="9"/>
      <c r="I58" s="9">
        <v>2.1746749133278114E-5</v>
      </c>
      <c r="J58" s="78">
        <f t="shared" si="17"/>
        <v>3.7321629508662535</v>
      </c>
      <c r="K58" s="7">
        <v>1.4978254978938314E-5</v>
      </c>
      <c r="L58" s="78">
        <f t="shared" si="15"/>
        <v>2.5705583836196575</v>
      </c>
      <c r="M58" s="9">
        <v>1.7841803468445514E-5</v>
      </c>
      <c r="N58" s="78">
        <f t="shared" si="18"/>
        <v>3.0619987140823648</v>
      </c>
      <c r="O58" s="9">
        <v>1.4803373124051113E-5</v>
      </c>
      <c r="P58" s="78">
        <f t="shared" si="19"/>
        <v>2.5405452733571217</v>
      </c>
      <c r="Q58" s="7"/>
      <c r="R58" s="78"/>
      <c r="S58" s="7"/>
      <c r="T58" s="103"/>
    </row>
    <row r="59" spans="3:20" ht="13" x14ac:dyDescent="0.3">
      <c r="C59" s="22" t="s">
        <v>9</v>
      </c>
      <c r="D59" s="9" t="s">
        <v>10</v>
      </c>
      <c r="E59" s="9">
        <v>784126</v>
      </c>
      <c r="F59" s="9">
        <v>1.05</v>
      </c>
      <c r="G59" s="75">
        <f t="shared" si="16"/>
        <v>823332.3</v>
      </c>
      <c r="H59" s="9"/>
      <c r="I59" s="9">
        <v>6.8867639974915689E-5</v>
      </c>
      <c r="J59" s="78">
        <f t="shared" si="17"/>
        <v>56.700952416119279</v>
      </c>
      <c r="K59" s="7">
        <v>2.5233357650592282E-5</v>
      </c>
      <c r="L59" s="78">
        <f t="shared" si="15"/>
        <v>20.775438391184743</v>
      </c>
      <c r="M59" s="9">
        <v>5.7310491274423579E-5</v>
      </c>
      <c r="N59" s="78">
        <f t="shared" si="18"/>
        <v>47.185578595101099</v>
      </c>
      <c r="O59" s="9">
        <v>4.8317897184703576E-5</v>
      </c>
      <c r="P59" s="78">
        <f t="shared" si="19"/>
        <v>39.781685420245523</v>
      </c>
      <c r="Q59" s="7"/>
      <c r="R59" s="78"/>
      <c r="S59" s="7"/>
      <c r="T59" s="103"/>
    </row>
    <row r="60" spans="3:20" ht="13" x14ac:dyDescent="0.3">
      <c r="C60" s="22" t="s">
        <v>11</v>
      </c>
      <c r="D60" s="9" t="s">
        <v>12</v>
      </c>
      <c r="E60" s="9">
        <v>1.19</v>
      </c>
      <c r="F60" s="9">
        <v>1.05</v>
      </c>
      <c r="G60" s="75">
        <f t="shared" si="16"/>
        <v>1.2495000000000001</v>
      </c>
      <c r="H60" s="9"/>
      <c r="I60" s="9">
        <v>11.195762022379537</v>
      </c>
      <c r="J60" s="78">
        <f t="shared" si="17"/>
        <v>13.989104646963233</v>
      </c>
      <c r="K60" s="9">
        <v>1.5827272661389875</v>
      </c>
      <c r="L60" s="78">
        <f t="shared" si="15"/>
        <v>1.977617719040665</v>
      </c>
      <c r="M60" s="9">
        <v>9.2682206653970063</v>
      </c>
      <c r="N60" s="78">
        <f t="shared" si="18"/>
        <v>11.58064172141356</v>
      </c>
      <c r="O60" s="9">
        <v>7.7684046239407776</v>
      </c>
      <c r="P60" s="78">
        <f t="shared" si="19"/>
        <v>9.7066215776140012</v>
      </c>
      <c r="Q60" s="7"/>
      <c r="R60" s="78"/>
      <c r="S60" s="7"/>
      <c r="T60" s="103"/>
    </row>
    <row r="61" spans="3:20" ht="13" x14ac:dyDescent="0.3">
      <c r="C61" s="22" t="s">
        <v>13</v>
      </c>
      <c r="D61" s="9" t="s">
        <v>14</v>
      </c>
      <c r="E61" s="9">
        <v>0.34399999999999997</v>
      </c>
      <c r="F61" s="9">
        <v>1.05</v>
      </c>
      <c r="G61" s="75">
        <f t="shared" si="16"/>
        <v>0.36119999999999997</v>
      </c>
      <c r="H61" s="9"/>
      <c r="I61" s="9">
        <v>13.505299804453024</v>
      </c>
      <c r="J61" s="78">
        <f t="shared" si="17"/>
        <v>4.8781142893684315</v>
      </c>
      <c r="K61" s="9">
        <v>2.9183622473771642</v>
      </c>
      <c r="L61" s="78">
        <f t="shared" si="15"/>
        <v>1.0541124437526317</v>
      </c>
      <c r="M61" s="9">
        <v>11.222458686857223</v>
      </c>
      <c r="N61" s="78">
        <f t="shared" si="18"/>
        <v>4.0535520776928289</v>
      </c>
      <c r="O61" s="9">
        <v>9.4461846184108342</v>
      </c>
      <c r="P61" s="78">
        <f t="shared" si="19"/>
        <v>3.411961884169993</v>
      </c>
      <c r="Q61" s="7"/>
      <c r="R61" s="78"/>
      <c r="S61" s="7"/>
      <c r="T61" s="103"/>
    </row>
    <row r="62" spans="3:20" ht="13" x14ac:dyDescent="0.3">
      <c r="C62" s="22" t="s">
        <v>15</v>
      </c>
      <c r="D62" s="9" t="s">
        <v>16</v>
      </c>
      <c r="E62" s="9">
        <v>1.92</v>
      </c>
      <c r="F62" s="9">
        <v>1.05</v>
      </c>
      <c r="G62" s="75">
        <f t="shared" si="16"/>
        <v>2.016</v>
      </c>
      <c r="H62" s="9"/>
      <c r="I62" s="9">
        <v>0.79231855523516859</v>
      </c>
      <c r="J62" s="78">
        <f t="shared" si="17"/>
        <v>1.5973142073540998</v>
      </c>
      <c r="K62" s="9">
        <v>0.2429303620087265</v>
      </c>
      <c r="L62" s="78">
        <f t="shared" si="15"/>
        <v>0.48974760980959264</v>
      </c>
      <c r="M62" s="9">
        <v>0.6618006041937825</v>
      </c>
      <c r="N62" s="78">
        <f t="shared" si="18"/>
        <v>1.3341900180546655</v>
      </c>
      <c r="O62" s="9">
        <v>0.5602448497811775</v>
      </c>
      <c r="P62" s="78">
        <f t="shared" si="19"/>
        <v>1.1294536171588538</v>
      </c>
      <c r="Q62" s="7"/>
      <c r="R62" s="78"/>
      <c r="S62" s="7"/>
      <c r="T62" s="103"/>
    </row>
    <row r="63" spans="3:20" ht="13" x14ac:dyDescent="0.3">
      <c r="C63" s="22" t="s">
        <v>17</v>
      </c>
      <c r="D63" s="9" t="s">
        <v>18</v>
      </c>
      <c r="E63" s="9">
        <v>3.82E-5</v>
      </c>
      <c r="F63" s="9">
        <v>1.05</v>
      </c>
      <c r="G63" s="75">
        <f t="shared" si="16"/>
        <v>4.0110000000000001E-5</v>
      </c>
      <c r="H63" s="9"/>
      <c r="I63" s="9">
        <v>13662.732860413922</v>
      </c>
      <c r="J63" s="78">
        <f t="shared" si="17"/>
        <v>0.54801221503120245</v>
      </c>
      <c r="K63" s="9">
        <v>8389.4471421311609</v>
      </c>
      <c r="L63" s="78">
        <f t="shared" si="15"/>
        <v>0.3365007248708809</v>
      </c>
      <c r="M63" s="9">
        <v>11391.092217909516</v>
      </c>
      <c r="N63" s="78">
        <f t="shared" si="18"/>
        <v>0.45689670886035066</v>
      </c>
      <c r="O63" s="9">
        <v>9623.5332165372201</v>
      </c>
      <c r="P63" s="78">
        <f t="shared" si="19"/>
        <v>0.38599991731530792</v>
      </c>
      <c r="Q63" s="7"/>
      <c r="R63" s="78"/>
      <c r="S63" s="7"/>
      <c r="T63" s="103"/>
    </row>
    <row r="64" spans="3:20" ht="13" x14ac:dyDescent="0.3">
      <c r="C64" s="22" t="s">
        <v>19</v>
      </c>
      <c r="D64" s="9" t="s">
        <v>20</v>
      </c>
      <c r="E64" s="9">
        <v>1.2999999999999999E-3</v>
      </c>
      <c r="F64" s="9">
        <v>1.05</v>
      </c>
      <c r="G64" s="75">
        <f t="shared" si="16"/>
        <v>1.3649999999999999E-3</v>
      </c>
      <c r="H64" s="9"/>
      <c r="I64" s="9">
        <v>51767.972497172799</v>
      </c>
      <c r="J64" s="78">
        <f t="shared" si="17"/>
        <v>70.663282458640865</v>
      </c>
      <c r="K64" s="9">
        <v>4495.7468382387815</v>
      </c>
      <c r="L64" s="78">
        <f t="shared" si="15"/>
        <v>6.1366944341959364</v>
      </c>
      <c r="M64" s="9">
        <v>42811.255237483798</v>
      </c>
      <c r="N64" s="78">
        <f t="shared" si="18"/>
        <v>58.437363399165378</v>
      </c>
      <c r="O64" s="9">
        <v>35842.051606025503</v>
      </c>
      <c r="P64" s="78">
        <f t="shared" si="19"/>
        <v>48.924400442224808</v>
      </c>
      <c r="Q64" s="7"/>
      <c r="R64" s="78"/>
      <c r="S64" s="7"/>
      <c r="T64" s="103"/>
    </row>
    <row r="65" spans="3:20" ht="13.5" thickBot="1" x14ac:dyDescent="0.35">
      <c r="C65" s="69" t="s">
        <v>63</v>
      </c>
      <c r="D65" s="15"/>
      <c r="E65" s="15"/>
      <c r="F65" s="15"/>
      <c r="G65" s="15"/>
      <c r="H65" s="15"/>
      <c r="I65" s="15"/>
      <c r="J65" s="80">
        <f>ROUND(SUM(J55:J64),0)</f>
        <v>552</v>
      </c>
      <c r="K65" s="28"/>
      <c r="L65" s="80">
        <f>ROUND(SUM(L55:L64),0)</f>
        <v>75</v>
      </c>
      <c r="M65" s="80"/>
      <c r="N65" s="80">
        <f>ROUND(SUM(N55:N64),0)</f>
        <v>457</v>
      </c>
      <c r="O65" s="80"/>
      <c r="P65" s="80">
        <f>ROUND(SUM(P55:P64),0)</f>
        <v>383</v>
      </c>
      <c r="Q65" s="104"/>
      <c r="R65" s="80"/>
      <c r="S65" s="104"/>
      <c r="T65" s="80"/>
    </row>
    <row r="69" spans="3:20" ht="13" thickBot="1" x14ac:dyDescent="0.3"/>
    <row r="70" spans="3:20" ht="13" x14ac:dyDescent="0.3">
      <c r="C70" s="268" t="s">
        <v>338</v>
      </c>
      <c r="D70" s="269"/>
      <c r="E70" s="269"/>
      <c r="F70" s="269"/>
      <c r="G70" s="269"/>
      <c r="H70" s="269"/>
      <c r="I70" s="269"/>
      <c r="J70" s="269"/>
      <c r="K70" s="269"/>
      <c r="L70" s="269"/>
      <c r="M70" s="269"/>
      <c r="N70" s="269"/>
      <c r="O70" s="269"/>
      <c r="P70" s="269"/>
      <c r="Q70" s="269"/>
      <c r="R70" s="269"/>
      <c r="S70" s="269"/>
      <c r="T70" s="270"/>
    </row>
    <row r="71" spans="3:20" ht="13" x14ac:dyDescent="0.25">
      <c r="C71" s="76" t="s">
        <v>0</v>
      </c>
      <c r="D71" s="74" t="s">
        <v>1</v>
      </c>
      <c r="E71" s="74" t="s">
        <v>21</v>
      </c>
      <c r="F71" s="74" t="s">
        <v>62</v>
      </c>
      <c r="G71" s="77" t="s">
        <v>22</v>
      </c>
      <c r="H71" s="9"/>
      <c r="I71" s="74" t="s">
        <v>330</v>
      </c>
      <c r="J71" s="78" t="s">
        <v>331</v>
      </c>
      <c r="K71" s="74" t="s">
        <v>332</v>
      </c>
      <c r="L71" s="78" t="s">
        <v>333</v>
      </c>
      <c r="M71" s="74" t="s">
        <v>334</v>
      </c>
      <c r="N71" s="78" t="s">
        <v>335</v>
      </c>
      <c r="O71" s="74" t="s">
        <v>336</v>
      </c>
      <c r="P71" s="78" t="s">
        <v>337</v>
      </c>
      <c r="Q71" s="74"/>
      <c r="R71" s="78"/>
      <c r="S71" s="74"/>
      <c r="T71" s="79"/>
    </row>
    <row r="72" spans="3:20" ht="13" x14ac:dyDescent="0.3">
      <c r="C72" s="22" t="s">
        <v>2</v>
      </c>
      <c r="D72" s="9" t="s">
        <v>3</v>
      </c>
      <c r="E72" s="9">
        <v>0.10249999999999999</v>
      </c>
      <c r="F72" s="9">
        <v>1.05</v>
      </c>
      <c r="G72" s="75">
        <f>E72*F72</f>
        <v>0.107625</v>
      </c>
      <c r="H72" s="9"/>
      <c r="I72" s="9">
        <v>3127.2353383418194</v>
      </c>
      <c r="J72" s="78">
        <f>I72*G72</f>
        <v>336.5687032890383</v>
      </c>
      <c r="K72" s="9">
        <v>415.39853496241051</v>
      </c>
      <c r="L72" s="78">
        <f t="shared" ref="L72:L81" si="20">K72*G72</f>
        <v>44.707267325329433</v>
      </c>
      <c r="M72" s="9">
        <v>2600.2091821384597</v>
      </c>
      <c r="N72" s="78">
        <f>M72*G72</f>
        <v>279.84751322765175</v>
      </c>
      <c r="O72" s="9">
        <v>2164.4631566555295</v>
      </c>
      <c r="P72" s="78">
        <f>O72*G72</f>
        <v>232.95034723505137</v>
      </c>
      <c r="Q72" s="7"/>
      <c r="R72" s="78"/>
      <c r="S72" s="7"/>
      <c r="T72" s="103"/>
    </row>
    <row r="73" spans="3:20" ht="13" x14ac:dyDescent="0.3">
      <c r="C73" s="22" t="s">
        <v>4</v>
      </c>
      <c r="D73" s="9" t="s">
        <v>5</v>
      </c>
      <c r="E73" s="9">
        <v>31.4</v>
      </c>
      <c r="F73" s="9">
        <v>1.05</v>
      </c>
      <c r="G73" s="75">
        <f t="shared" ref="G73:G81" si="21">E73*F73</f>
        <v>32.97</v>
      </c>
      <c r="H73" s="9"/>
      <c r="I73" s="9">
        <v>1.5735266588535449E-4</v>
      </c>
      <c r="J73" s="78">
        <f t="shared" ref="J73:J81" si="22">I73*G73</f>
        <v>5.1879173942401373E-3</v>
      </c>
      <c r="K73" s="200">
        <v>1.6589680072406817E-4</v>
      </c>
      <c r="L73" s="78">
        <f t="shared" si="20"/>
        <v>5.4696175198725274E-3</v>
      </c>
      <c r="M73" s="9">
        <v>1.5446761592008179E-4</v>
      </c>
      <c r="N73" s="78">
        <f t="shared" ref="N73:N81" si="23">M73*G73</f>
        <v>5.0927972968850968E-3</v>
      </c>
      <c r="O73" s="9">
        <v>1.5208225223198028E-4</v>
      </c>
      <c r="P73" s="78">
        <f t="shared" ref="P73:P81" si="24">O73*G73</f>
        <v>5.01415185608839E-3</v>
      </c>
      <c r="Q73" s="7"/>
      <c r="R73" s="78"/>
      <c r="S73" s="7"/>
      <c r="T73" s="103"/>
    </row>
    <row r="74" spans="3:20" ht="13" x14ac:dyDescent="0.3">
      <c r="C74" s="22" t="s">
        <v>6</v>
      </c>
      <c r="D74" s="9" t="s">
        <v>7</v>
      </c>
      <c r="E74" s="9">
        <v>902616</v>
      </c>
      <c r="F74" s="9">
        <v>1.05</v>
      </c>
      <c r="G74" s="75">
        <f t="shared" si="21"/>
        <v>947746.8</v>
      </c>
      <c r="H74" s="9"/>
      <c r="I74" s="9">
        <v>3.4420468073538788E-6</v>
      </c>
      <c r="J74" s="78">
        <f t="shared" si="22"/>
        <v>3.2621888471198552</v>
      </c>
      <c r="K74" s="7">
        <v>3.627098807079259E-6</v>
      </c>
      <c r="L74" s="78">
        <f t="shared" si="20"/>
        <v>3.437571287693185</v>
      </c>
      <c r="M74" s="9">
        <v>2.9120800315395389E-6</v>
      </c>
      <c r="N74" s="78">
        <f t="shared" si="23"/>
        <v>2.7599145312354971</v>
      </c>
      <c r="O74" s="9">
        <v>2.4739026973011792E-6</v>
      </c>
      <c r="P74" s="78">
        <f t="shared" si="24"/>
        <v>2.3446333648785611</v>
      </c>
      <c r="Q74" s="7"/>
      <c r="R74" s="78"/>
      <c r="S74" s="7"/>
      <c r="T74" s="103"/>
    </row>
    <row r="75" spans="3:20" ht="13" x14ac:dyDescent="0.3">
      <c r="C75" s="22" t="s">
        <v>8</v>
      </c>
      <c r="D75" s="9" t="s">
        <v>7</v>
      </c>
      <c r="E75" s="9">
        <v>163447</v>
      </c>
      <c r="F75" s="9">
        <v>1.05</v>
      </c>
      <c r="G75" s="75">
        <f t="shared" si="21"/>
        <v>171619.35</v>
      </c>
      <c r="H75" s="9"/>
      <c r="I75" s="9">
        <v>2.7283809999620213E-5</v>
      </c>
      <c r="J75" s="78">
        <f t="shared" si="22"/>
        <v>4.682429737658321</v>
      </c>
      <c r="K75" s="7">
        <v>1.7575063153194612E-5</v>
      </c>
      <c r="L75" s="78">
        <f t="shared" si="20"/>
        <v>3.0162209145602099</v>
      </c>
      <c r="M75" s="9">
        <v>2.2523744048739712E-5</v>
      </c>
      <c r="N75" s="78">
        <f t="shared" si="23"/>
        <v>3.865510313211078</v>
      </c>
      <c r="O75" s="9">
        <v>1.8588114299212814E-5</v>
      </c>
      <c r="P75" s="78">
        <f t="shared" si="24"/>
        <v>3.1900800937566087</v>
      </c>
      <c r="Q75" s="7"/>
      <c r="R75" s="78"/>
      <c r="S75" s="7"/>
      <c r="T75" s="103"/>
    </row>
    <row r="76" spans="3:20" ht="13" x14ac:dyDescent="0.3">
      <c r="C76" s="22" t="s">
        <v>9</v>
      </c>
      <c r="D76" s="9" t="s">
        <v>10</v>
      </c>
      <c r="E76" s="9">
        <v>784126</v>
      </c>
      <c r="F76" s="9">
        <v>1.05</v>
      </c>
      <c r="G76" s="75">
        <f t="shared" si="21"/>
        <v>823332.3</v>
      </c>
      <c r="H76" s="9"/>
      <c r="I76" s="9">
        <v>4.7768179971815277E-5</v>
      </c>
      <c r="J76" s="78">
        <f t="shared" si="22"/>
        <v>39.329085483008612</v>
      </c>
      <c r="K76" s="7">
        <v>2.8985231499121181E-5</v>
      </c>
      <c r="L76" s="78">
        <f t="shared" si="20"/>
        <v>23.864477316203892</v>
      </c>
      <c r="M76" s="9">
        <v>4.0079047960333378E-5</v>
      </c>
      <c r="N76" s="78">
        <f t="shared" si="23"/>
        <v>32.998374738991593</v>
      </c>
      <c r="O76" s="9">
        <v>3.3721661948312276E-5</v>
      </c>
      <c r="P76" s="78">
        <f t="shared" si="24"/>
        <v>27.76413349172643</v>
      </c>
      <c r="Q76" s="7"/>
      <c r="R76" s="78"/>
      <c r="S76" s="7"/>
      <c r="T76" s="103"/>
    </row>
    <row r="77" spans="3:20" ht="13" x14ac:dyDescent="0.3">
      <c r="C77" s="22" t="s">
        <v>11</v>
      </c>
      <c r="D77" s="9" t="s">
        <v>12</v>
      </c>
      <c r="E77" s="9">
        <v>1.19</v>
      </c>
      <c r="F77" s="9">
        <v>1.05</v>
      </c>
      <c r="G77" s="75">
        <f t="shared" si="21"/>
        <v>1.2495000000000001</v>
      </c>
      <c r="H77" s="9"/>
      <c r="I77" s="9">
        <v>12.104461055652436</v>
      </c>
      <c r="J77" s="78">
        <f t="shared" si="22"/>
        <v>15.12452408903772</v>
      </c>
      <c r="K77" s="9">
        <v>1.8192181761063275</v>
      </c>
      <c r="L77" s="78">
        <f t="shared" si="20"/>
        <v>2.2731131110448564</v>
      </c>
      <c r="M77" s="9">
        <v>10.066248434545427</v>
      </c>
      <c r="N77" s="78">
        <f t="shared" si="23"/>
        <v>12.577777418964512</v>
      </c>
      <c r="O77" s="9">
        <v>8.381051147308936</v>
      </c>
      <c r="P77" s="78">
        <f t="shared" si="24"/>
        <v>10.472123408562515</v>
      </c>
      <c r="Q77" s="7"/>
      <c r="R77" s="78"/>
      <c r="S77" s="7"/>
      <c r="T77" s="103"/>
    </row>
    <row r="78" spans="3:20" ht="13" x14ac:dyDescent="0.3">
      <c r="C78" s="22" t="s">
        <v>13</v>
      </c>
      <c r="D78" s="9" t="s">
        <v>14</v>
      </c>
      <c r="E78" s="9">
        <v>0.34399999999999997</v>
      </c>
      <c r="F78" s="9">
        <v>1.05</v>
      </c>
      <c r="G78" s="75">
        <f t="shared" si="21"/>
        <v>0.36119999999999997</v>
      </c>
      <c r="H78" s="9"/>
      <c r="I78" s="9">
        <v>30.108371454474025</v>
      </c>
      <c r="J78" s="78">
        <f t="shared" si="22"/>
        <v>10.875143769356017</v>
      </c>
      <c r="K78" s="9">
        <v>3.3314530865894443</v>
      </c>
      <c r="L78" s="78">
        <f t="shared" si="20"/>
        <v>1.2033208548761072</v>
      </c>
      <c r="M78" s="9">
        <v>25.044101621561925</v>
      </c>
      <c r="N78" s="78">
        <f t="shared" si="23"/>
        <v>9.0459295057081661</v>
      </c>
      <c r="O78" s="9">
        <v>20.856955640873423</v>
      </c>
      <c r="P78" s="78">
        <f t="shared" si="24"/>
        <v>7.5335323774834793</v>
      </c>
      <c r="Q78" s="7"/>
      <c r="R78" s="78"/>
      <c r="S78" s="7"/>
      <c r="T78" s="103"/>
    </row>
    <row r="79" spans="3:20" ht="13" x14ac:dyDescent="0.3">
      <c r="C79" s="22" t="s">
        <v>15</v>
      </c>
      <c r="D79" s="9" t="s">
        <v>16</v>
      </c>
      <c r="E79" s="9">
        <v>1.92</v>
      </c>
      <c r="F79" s="9">
        <v>1.05</v>
      </c>
      <c r="G79" s="75">
        <f t="shared" si="21"/>
        <v>2.016</v>
      </c>
      <c r="H79" s="9"/>
      <c r="I79" s="9">
        <v>1.2891806126604524</v>
      </c>
      <c r="J79" s="78">
        <f t="shared" si="22"/>
        <v>2.5989881151234719</v>
      </c>
      <c r="K79" s="9">
        <v>0.27586549539903249</v>
      </c>
      <c r="L79" s="78">
        <f t="shared" si="20"/>
        <v>0.55614483872444953</v>
      </c>
      <c r="M79" s="9">
        <v>1.0768599196660924</v>
      </c>
      <c r="N79" s="78">
        <f t="shared" si="23"/>
        <v>2.1709495980468425</v>
      </c>
      <c r="O79" s="9">
        <v>0.90131284859362459</v>
      </c>
      <c r="P79" s="78">
        <f t="shared" si="24"/>
        <v>1.8170467027647472</v>
      </c>
      <c r="Q79" s="7"/>
      <c r="R79" s="78"/>
      <c r="S79" s="7"/>
      <c r="T79" s="103"/>
    </row>
    <row r="80" spans="3:20" ht="13" x14ac:dyDescent="0.3">
      <c r="C80" s="22" t="s">
        <v>17</v>
      </c>
      <c r="D80" s="9" t="s">
        <v>18</v>
      </c>
      <c r="E80" s="9">
        <v>3.82E-5</v>
      </c>
      <c r="F80" s="9">
        <v>1.05</v>
      </c>
      <c r="G80" s="75">
        <f t="shared" si="21"/>
        <v>4.0110000000000001E-5</v>
      </c>
      <c r="H80" s="9"/>
      <c r="I80" s="9">
        <v>18018.177638587007</v>
      </c>
      <c r="J80" s="78">
        <f t="shared" si="22"/>
        <v>0.72270910508372488</v>
      </c>
      <c r="K80" s="9">
        <v>9677.4625944700583</v>
      </c>
      <c r="L80" s="78">
        <f t="shared" si="20"/>
        <v>0.38816302466419406</v>
      </c>
      <c r="M80" s="9">
        <v>15055.457060361552</v>
      </c>
      <c r="N80" s="78">
        <f t="shared" si="23"/>
        <v>0.60387438269110183</v>
      </c>
      <c r="O80" s="9">
        <v>12605.875191639077</v>
      </c>
      <c r="P80" s="78">
        <f t="shared" si="24"/>
        <v>0.50562165393664338</v>
      </c>
      <c r="Q80" s="7"/>
      <c r="R80" s="78"/>
      <c r="S80" s="7"/>
      <c r="T80" s="103"/>
    </row>
    <row r="81" spans="3:20" ht="13" x14ac:dyDescent="0.3">
      <c r="C81" s="22" t="s">
        <v>19</v>
      </c>
      <c r="D81" s="9" t="s">
        <v>20</v>
      </c>
      <c r="E81" s="9">
        <v>1.2999999999999999E-3</v>
      </c>
      <c r="F81" s="9">
        <v>1.05</v>
      </c>
      <c r="G81" s="75">
        <f t="shared" si="21"/>
        <v>1.3649999999999999E-3</v>
      </c>
      <c r="H81" s="9"/>
      <c r="I81" s="9">
        <v>32791.825930495899</v>
      </c>
      <c r="J81" s="78">
        <f t="shared" si="22"/>
        <v>44.7608423951269</v>
      </c>
      <c r="K81" s="9">
        <v>5160.7699766116111</v>
      </c>
      <c r="L81" s="78">
        <f t="shared" si="20"/>
        <v>7.0444510180748487</v>
      </c>
      <c r="M81" s="9">
        <v>27280.734351580799</v>
      </c>
      <c r="N81" s="78">
        <f t="shared" si="23"/>
        <v>37.238202389907791</v>
      </c>
      <c r="O81" s="9">
        <v>22724.155473438499</v>
      </c>
      <c r="P81" s="78">
        <f t="shared" si="24"/>
        <v>31.018472221243549</v>
      </c>
      <c r="Q81" s="7"/>
      <c r="R81" s="78"/>
      <c r="S81" s="7"/>
      <c r="T81" s="103"/>
    </row>
    <row r="82" spans="3:20" ht="13.5" thickBot="1" x14ac:dyDescent="0.3">
      <c r="C82" s="69" t="s">
        <v>63</v>
      </c>
      <c r="D82" s="15"/>
      <c r="E82" s="15"/>
      <c r="F82" s="15"/>
      <c r="G82" s="15"/>
      <c r="H82" s="15"/>
      <c r="I82" s="15"/>
      <c r="J82" s="80">
        <f>ROUND(SUM(J72:J81),0)</f>
        <v>458</v>
      </c>
      <c r="K82" s="28"/>
      <c r="L82" s="80">
        <f>ROUND(SUM(L72:L81),0)</f>
        <v>86</v>
      </c>
      <c r="M82" s="80"/>
      <c r="N82" s="80">
        <f>ROUND(SUM(N72:N81),0)</f>
        <v>381</v>
      </c>
      <c r="O82" s="80"/>
      <c r="P82" s="80">
        <f>ROUND(SUM(P72:P81),0)</f>
        <v>318</v>
      </c>
      <c r="Q82" s="48"/>
      <c r="R82" s="80"/>
      <c r="S82" s="48"/>
      <c r="T82" s="80"/>
    </row>
    <row r="86" spans="3:20" ht="13" thickBot="1" x14ac:dyDescent="0.3"/>
    <row r="87" spans="3:20" ht="13" x14ac:dyDescent="0.3">
      <c r="C87" s="271" t="s">
        <v>347</v>
      </c>
      <c r="D87" s="272"/>
      <c r="E87" s="272"/>
      <c r="F87" s="272"/>
      <c r="G87" s="272"/>
      <c r="H87" s="272"/>
      <c r="I87" s="272"/>
      <c r="J87" s="272"/>
      <c r="K87" s="272"/>
      <c r="L87" s="272"/>
      <c r="M87" s="272"/>
      <c r="N87" s="272"/>
      <c r="O87" s="272"/>
      <c r="P87" s="272"/>
      <c r="Q87" s="272"/>
      <c r="R87" s="272"/>
      <c r="S87" s="272"/>
      <c r="T87" s="273"/>
    </row>
    <row r="88" spans="3:20" ht="13" x14ac:dyDescent="0.25">
      <c r="C88" s="76" t="s">
        <v>0</v>
      </c>
      <c r="D88" s="74" t="s">
        <v>1</v>
      </c>
      <c r="E88" s="74" t="s">
        <v>21</v>
      </c>
      <c r="F88" s="74" t="s">
        <v>62</v>
      </c>
      <c r="G88" s="77" t="s">
        <v>22</v>
      </c>
      <c r="H88" s="9"/>
      <c r="I88" s="74" t="s">
        <v>346</v>
      </c>
      <c r="J88" s="78" t="s">
        <v>345</v>
      </c>
      <c r="K88" s="74" t="s">
        <v>344</v>
      </c>
      <c r="L88" s="78" t="s">
        <v>343</v>
      </c>
      <c r="M88" s="74" t="s">
        <v>342</v>
      </c>
      <c r="N88" s="78" t="s">
        <v>341</v>
      </c>
      <c r="O88" s="74" t="s">
        <v>340</v>
      </c>
      <c r="P88" s="78" t="s">
        <v>339</v>
      </c>
      <c r="Q88" s="74"/>
      <c r="R88" s="78"/>
      <c r="S88" s="74"/>
      <c r="T88" s="79"/>
    </row>
    <row r="89" spans="3:20" ht="13" x14ac:dyDescent="0.3">
      <c r="C89" s="22" t="s">
        <v>2</v>
      </c>
      <c r="D89" s="9" t="s">
        <v>3</v>
      </c>
      <c r="E89" s="9">
        <v>0.10249999999999999</v>
      </c>
      <c r="F89" s="9">
        <v>1.05</v>
      </c>
      <c r="G89" s="75">
        <f>E89*F89</f>
        <v>0.107625</v>
      </c>
      <c r="H89" s="9"/>
      <c r="I89" s="9">
        <v>4475.4035764443388</v>
      </c>
      <c r="J89" s="78">
        <f>I89*G89</f>
        <v>481.66530991482193</v>
      </c>
      <c r="K89" s="9">
        <v>397.15688276383048</v>
      </c>
      <c r="L89" s="78">
        <f t="shared" ref="L89:L98" si="25">K89*G89</f>
        <v>42.744009507457257</v>
      </c>
      <c r="M89" s="9">
        <v>3677.6009708215297</v>
      </c>
      <c r="N89" s="78">
        <f>M89*G89</f>
        <v>395.80180448466712</v>
      </c>
      <c r="O89" s="9">
        <v>3017.6280713403798</v>
      </c>
      <c r="P89" s="78">
        <f>O89*G89</f>
        <v>324.77222117800835</v>
      </c>
      <c r="Q89" s="7"/>
      <c r="R89" s="78"/>
      <c r="S89" s="7"/>
      <c r="T89" s="103"/>
    </row>
    <row r="90" spans="3:20" ht="13" x14ac:dyDescent="0.3">
      <c r="C90" s="22" t="s">
        <v>4</v>
      </c>
      <c r="D90" s="9" t="s">
        <v>5</v>
      </c>
      <c r="E90" s="9">
        <v>31.4</v>
      </c>
      <c r="F90" s="9">
        <v>1.05</v>
      </c>
      <c r="G90" s="75">
        <f t="shared" ref="G90:G98" si="26">E90*F90</f>
        <v>32.97</v>
      </c>
      <c r="H90" s="9"/>
      <c r="I90" s="9">
        <v>1.584294629384426E-4</v>
      </c>
      <c r="J90" s="78">
        <f t="shared" ref="J90:J98" si="27">I90*G90</f>
        <v>5.2234193930804518E-3</v>
      </c>
      <c r="K90" s="199">
        <v>1.6466129474746268E-4</v>
      </c>
      <c r="L90" s="78">
        <f t="shared" si="25"/>
        <v>5.4288828878238443E-3</v>
      </c>
      <c r="M90" s="9">
        <v>1.5519584415947779E-4</v>
      </c>
      <c r="N90" s="78">
        <f t="shared" ref="N90:N98" si="28">M90*G90</f>
        <v>5.1168069819379821E-3</v>
      </c>
      <c r="O90" s="9">
        <v>1.5252087074333538E-4</v>
      </c>
      <c r="P90" s="78">
        <f t="shared" ref="P90:P98" si="29">O90*G90</f>
        <v>5.0286131084077675E-3</v>
      </c>
      <c r="Q90" s="7"/>
      <c r="R90" s="78"/>
      <c r="S90" s="7"/>
      <c r="T90" s="103"/>
    </row>
    <row r="91" spans="3:20" ht="13" x14ac:dyDescent="0.3">
      <c r="C91" s="22" t="s">
        <v>6</v>
      </c>
      <c r="D91" s="9" t="s">
        <v>7</v>
      </c>
      <c r="E91" s="11">
        <v>902616</v>
      </c>
      <c r="F91" s="9">
        <v>1.05</v>
      </c>
      <c r="G91" s="75">
        <f t="shared" si="26"/>
        <v>947746.8</v>
      </c>
      <c r="H91" s="9"/>
      <c r="I91" s="9">
        <v>4.067834791347419E-6</v>
      </c>
      <c r="J91" s="78">
        <f t="shared" si="27"/>
        <v>3.8552774064281841</v>
      </c>
      <c r="K91" s="199">
        <v>3.4673646788951792E-6</v>
      </c>
      <c r="L91" s="78">
        <f t="shared" si="25"/>
        <v>3.2861837788559338</v>
      </c>
      <c r="M91" s="9">
        <v>3.3968605494210689E-6</v>
      </c>
      <c r="N91" s="78">
        <f t="shared" si="28"/>
        <v>3.2193637157600601</v>
      </c>
      <c r="O91" s="9">
        <v>2.841804934410149E-6</v>
      </c>
      <c r="P91" s="78">
        <f t="shared" si="29"/>
        <v>2.6933115328114288</v>
      </c>
      <c r="Q91" s="7"/>
      <c r="R91" s="78"/>
      <c r="S91" s="7"/>
      <c r="T91" s="103"/>
    </row>
    <row r="92" spans="3:20" ht="13" x14ac:dyDescent="0.3">
      <c r="C92" s="22" t="s">
        <v>8</v>
      </c>
      <c r="D92" s="9" t="s">
        <v>7</v>
      </c>
      <c r="E92" s="11">
        <v>163447</v>
      </c>
      <c r="F92" s="9">
        <v>1.05</v>
      </c>
      <c r="G92" s="75">
        <f t="shared" si="26"/>
        <v>171619.35</v>
      </c>
      <c r="H92" s="9"/>
      <c r="I92" s="9">
        <v>4.904502389526971E-5</v>
      </c>
      <c r="J92" s="78">
        <f t="shared" si="27"/>
        <v>8.4170751216406554</v>
      </c>
      <c r="K92" s="7">
        <v>1.6692462187624113E-5</v>
      </c>
      <c r="L92" s="78">
        <f t="shared" si="25"/>
        <v>2.8647495105396281</v>
      </c>
      <c r="M92" s="9">
        <v>4.0115434182463309E-5</v>
      </c>
      <c r="N92" s="78">
        <f t="shared" si="28"/>
        <v>6.8845847393621344</v>
      </c>
      <c r="O92" s="9">
        <v>3.2728535252323511E-5</v>
      </c>
      <c r="P92" s="78">
        <f t="shared" si="29"/>
        <v>5.6168499464558472</v>
      </c>
      <c r="Q92" s="7"/>
      <c r="R92" s="78"/>
      <c r="S92" s="7"/>
      <c r="T92" s="103"/>
    </row>
    <row r="93" spans="3:20" ht="13" x14ac:dyDescent="0.3">
      <c r="C93" s="22" t="s">
        <v>9</v>
      </c>
      <c r="D93" s="9" t="s">
        <v>10</v>
      </c>
      <c r="E93" s="11">
        <v>784126</v>
      </c>
      <c r="F93" s="9">
        <v>1.05</v>
      </c>
      <c r="G93" s="75">
        <f t="shared" si="26"/>
        <v>823332.3</v>
      </c>
      <c r="H93" s="9"/>
      <c r="I93" s="9">
        <v>1.2989494535655557E-4</v>
      </c>
      <c r="J93" s="78">
        <f t="shared" si="27"/>
        <v>106.94670411878722</v>
      </c>
      <c r="K93" s="7">
        <v>2.7710047789273682E-5</v>
      </c>
      <c r="L93" s="78">
        <f t="shared" si="25"/>
        <v>22.814577379452619</v>
      </c>
      <c r="M93" s="9">
        <v>1.0702171904171558E-4</v>
      </c>
      <c r="N93" s="78">
        <f t="shared" si="28"/>
        <v>88.114438088569486</v>
      </c>
      <c r="O93" s="9">
        <v>8.8100109378997681E-5</v>
      </c>
      <c r="P93" s="78">
        <f t="shared" si="29"/>
        <v>72.535665685261733</v>
      </c>
      <c r="Q93" s="7"/>
      <c r="R93" s="78"/>
      <c r="S93" s="7"/>
      <c r="T93" s="103"/>
    </row>
    <row r="94" spans="3:20" ht="13" x14ac:dyDescent="0.3">
      <c r="C94" s="22" t="s">
        <v>11</v>
      </c>
      <c r="D94" s="9" t="s">
        <v>12</v>
      </c>
      <c r="E94" s="9">
        <v>1.19</v>
      </c>
      <c r="F94" s="9">
        <v>1.05</v>
      </c>
      <c r="G94" s="75">
        <f t="shared" si="26"/>
        <v>1.2495000000000001</v>
      </c>
      <c r="H94" s="9"/>
      <c r="I94" s="9">
        <v>10.941730893310337</v>
      </c>
      <c r="J94" s="78">
        <f t="shared" si="27"/>
        <v>13.671692751191268</v>
      </c>
      <c r="K94" s="39">
        <v>1.7388398456793674</v>
      </c>
      <c r="L94" s="78">
        <f t="shared" si="25"/>
        <v>2.1726803871763698</v>
      </c>
      <c r="M94" s="9">
        <v>9.0032156685492772</v>
      </c>
      <c r="N94" s="78">
        <f t="shared" si="28"/>
        <v>11.249517977852323</v>
      </c>
      <c r="O94" s="9">
        <v>7.3996015608024575</v>
      </c>
      <c r="P94" s="78">
        <f t="shared" si="29"/>
        <v>9.245802150222671</v>
      </c>
      <c r="Q94" s="7"/>
      <c r="R94" s="78"/>
      <c r="S94" s="7"/>
      <c r="T94" s="103"/>
    </row>
    <row r="95" spans="3:20" ht="13" x14ac:dyDescent="0.3">
      <c r="C95" s="22" t="s">
        <v>13</v>
      </c>
      <c r="D95" s="9" t="s">
        <v>14</v>
      </c>
      <c r="E95" s="9">
        <v>0.34399999999999997</v>
      </c>
      <c r="F95" s="9">
        <v>1.05</v>
      </c>
      <c r="G95" s="75">
        <f t="shared" si="26"/>
        <v>0.36119999999999997</v>
      </c>
      <c r="H95" s="9"/>
      <c r="I95" s="9">
        <v>30.737838812389224</v>
      </c>
      <c r="J95" s="78">
        <f t="shared" si="27"/>
        <v>11.102507379034988</v>
      </c>
      <c r="K95" s="39">
        <v>3.1910521216003742</v>
      </c>
      <c r="L95" s="78">
        <f t="shared" si="25"/>
        <v>1.1526080263220551</v>
      </c>
      <c r="M95" s="9">
        <v>25.288455476252622</v>
      </c>
      <c r="N95" s="78">
        <f t="shared" si="28"/>
        <v>9.1341901180224454</v>
      </c>
      <c r="O95" s="9">
        <v>20.780516676119223</v>
      </c>
      <c r="P95" s="78">
        <f t="shared" si="29"/>
        <v>7.5059226234142624</v>
      </c>
      <c r="Q95" s="7"/>
      <c r="R95" s="78"/>
      <c r="S95" s="7"/>
      <c r="T95" s="103"/>
    </row>
    <row r="96" spans="3:20" ht="13" x14ac:dyDescent="0.3">
      <c r="C96" s="22" t="s">
        <v>15</v>
      </c>
      <c r="D96" s="9" t="s">
        <v>16</v>
      </c>
      <c r="E96" s="9">
        <v>1.92</v>
      </c>
      <c r="F96" s="9">
        <v>1.05</v>
      </c>
      <c r="G96" s="75">
        <f t="shared" si="26"/>
        <v>2.016</v>
      </c>
      <c r="H96" s="9"/>
      <c r="I96" s="9">
        <v>8.468960697607482</v>
      </c>
      <c r="J96" s="78">
        <f t="shared" si="27"/>
        <v>17.073424766376682</v>
      </c>
      <c r="K96" s="39">
        <v>0.26467153012287153</v>
      </c>
      <c r="L96" s="78">
        <f t="shared" si="25"/>
        <v>0.53357780472770899</v>
      </c>
      <c r="M96" s="9">
        <v>6.953889837820463</v>
      </c>
      <c r="N96" s="78">
        <f t="shared" si="28"/>
        <v>14.019041913046053</v>
      </c>
      <c r="O96" s="9">
        <v>5.7005651417041223</v>
      </c>
      <c r="P96" s="78">
        <f t="shared" si="29"/>
        <v>11.492339325675511</v>
      </c>
      <c r="Q96" s="7"/>
      <c r="R96" s="78"/>
      <c r="S96" s="7"/>
      <c r="T96" s="103"/>
    </row>
    <row r="97" spans="3:20" ht="13" x14ac:dyDescent="0.3">
      <c r="C97" s="22" t="s">
        <v>17</v>
      </c>
      <c r="D97" s="9" t="s">
        <v>18</v>
      </c>
      <c r="E97" s="9">
        <v>3.82E-5</v>
      </c>
      <c r="F97" s="9">
        <v>1.05</v>
      </c>
      <c r="G97" s="75">
        <f t="shared" si="26"/>
        <v>4.0110000000000001E-5</v>
      </c>
      <c r="H97" s="9"/>
      <c r="I97" s="9">
        <v>34467.01422986322</v>
      </c>
      <c r="J97" s="78">
        <f t="shared" si="27"/>
        <v>1.3824719407598138</v>
      </c>
      <c r="K97" s="9">
        <v>9239.6929920890143</v>
      </c>
      <c r="L97" s="78">
        <f t="shared" si="25"/>
        <v>0.3706040859126904</v>
      </c>
      <c r="M97" s="9">
        <v>28386.749266651605</v>
      </c>
      <c r="N97" s="78">
        <f t="shared" si="28"/>
        <v>1.1385925130853958</v>
      </c>
      <c r="O97" s="9">
        <v>23356.920999480317</v>
      </c>
      <c r="P97" s="78">
        <f t="shared" si="29"/>
        <v>0.93684610128915558</v>
      </c>
      <c r="Q97" s="7"/>
      <c r="R97" s="78"/>
      <c r="S97" s="7"/>
      <c r="T97" s="103"/>
    </row>
    <row r="98" spans="3:20" ht="13" x14ac:dyDescent="0.3">
      <c r="C98" s="22" t="s">
        <v>19</v>
      </c>
      <c r="D98" s="9" t="s">
        <v>20</v>
      </c>
      <c r="E98" s="9">
        <v>1.2999999999999999E-3</v>
      </c>
      <c r="F98" s="9">
        <v>1.05</v>
      </c>
      <c r="G98" s="75">
        <f t="shared" si="26"/>
        <v>1.3649999999999999E-3</v>
      </c>
      <c r="H98" s="9"/>
      <c r="I98" s="9">
        <v>45725.796028721001</v>
      </c>
      <c r="J98" s="78">
        <f t="shared" si="27"/>
        <v>62.415711579204164</v>
      </c>
      <c r="K98" s="9">
        <v>4934.7424748987905</v>
      </c>
      <c r="L98" s="78">
        <f t="shared" si="25"/>
        <v>6.7359234782368489</v>
      </c>
      <c r="M98" s="9">
        <v>37592.521113676703</v>
      </c>
      <c r="N98" s="78">
        <f t="shared" si="28"/>
        <v>51.313791320168697</v>
      </c>
      <c r="O98" s="9">
        <v>30864.364311319699</v>
      </c>
      <c r="P98" s="78">
        <f t="shared" si="29"/>
        <v>42.129857284951385</v>
      </c>
      <c r="Q98" s="7"/>
      <c r="R98" s="78"/>
      <c r="S98" s="7"/>
      <c r="T98" s="103"/>
    </row>
    <row r="99" spans="3:20" ht="13.5" thickBot="1" x14ac:dyDescent="0.3">
      <c r="C99" s="69" t="s">
        <v>63</v>
      </c>
      <c r="D99" s="15"/>
      <c r="E99" s="15"/>
      <c r="F99" s="15"/>
      <c r="G99" s="15"/>
      <c r="H99" s="15"/>
      <c r="I99" s="15"/>
      <c r="J99" s="80">
        <f>ROUND(SUM(J89:J98),0)</f>
        <v>707</v>
      </c>
      <c r="K99" s="28"/>
      <c r="L99" s="80">
        <f>ROUND(SUM(L89:L98),0)</f>
        <v>83</v>
      </c>
      <c r="M99" s="80"/>
      <c r="N99" s="80">
        <f>ROUND(SUM(N89:N98),0)</f>
        <v>581</v>
      </c>
      <c r="O99" s="80"/>
      <c r="P99" s="80">
        <f>ROUND(SUM(P89:P98),0)</f>
        <v>477</v>
      </c>
      <c r="Q99" s="28"/>
      <c r="R99" s="80"/>
      <c r="S99" s="28"/>
      <c r="T99" s="80"/>
    </row>
    <row r="103" spans="3:20" ht="13" thickBot="1" x14ac:dyDescent="0.3"/>
    <row r="104" spans="3:20" ht="14.5" customHeight="1" x14ac:dyDescent="0.3">
      <c r="C104" s="268" t="s">
        <v>348</v>
      </c>
      <c r="D104" s="269"/>
      <c r="E104" s="269"/>
      <c r="F104" s="269"/>
      <c r="G104" s="269"/>
      <c r="H104" s="269"/>
      <c r="I104" s="269"/>
      <c r="J104" s="269"/>
      <c r="K104" s="269"/>
      <c r="L104" s="269"/>
      <c r="M104" s="269"/>
      <c r="N104" s="269"/>
      <c r="O104" s="269"/>
      <c r="P104" s="269"/>
      <c r="Q104" s="269"/>
      <c r="R104" s="269"/>
      <c r="S104" s="269"/>
      <c r="T104" s="270"/>
    </row>
    <row r="105" spans="3:20" ht="17" customHeight="1" x14ac:dyDescent="0.25">
      <c r="C105" s="76" t="s">
        <v>0</v>
      </c>
      <c r="D105" s="74" t="s">
        <v>1</v>
      </c>
      <c r="E105" s="74" t="s">
        <v>21</v>
      </c>
      <c r="F105" s="74" t="s">
        <v>62</v>
      </c>
      <c r="G105" s="77" t="s">
        <v>22</v>
      </c>
      <c r="H105" s="9"/>
      <c r="I105" s="74" t="s">
        <v>349</v>
      </c>
      <c r="J105" s="78" t="s">
        <v>350</v>
      </c>
      <c r="K105" s="74" t="s">
        <v>351</v>
      </c>
      <c r="L105" s="78" t="s">
        <v>352</v>
      </c>
      <c r="M105" s="74" t="s">
        <v>353</v>
      </c>
      <c r="N105" s="78" t="s">
        <v>355</v>
      </c>
      <c r="O105" s="74" t="s">
        <v>354</v>
      </c>
      <c r="P105" s="78" t="s">
        <v>356</v>
      </c>
      <c r="Q105" s="74"/>
      <c r="R105" s="78"/>
      <c r="S105" s="74"/>
      <c r="T105" s="79"/>
    </row>
    <row r="106" spans="3:20" ht="13" x14ac:dyDescent="0.3">
      <c r="C106" s="22" t="s">
        <v>2</v>
      </c>
      <c r="D106" s="9" t="s">
        <v>3</v>
      </c>
      <c r="E106" s="9">
        <v>0.10249999999999999</v>
      </c>
      <c r="F106" s="9">
        <v>1.05</v>
      </c>
      <c r="G106" s="75">
        <f>E106*F106</f>
        <v>0.107625</v>
      </c>
      <c r="H106" s="9"/>
      <c r="I106" s="9">
        <v>5762.7612628296793</v>
      </c>
      <c r="J106" s="78">
        <f>I106*G106</f>
        <v>620.21718091204423</v>
      </c>
      <c r="K106" s="27">
        <v>407.64400976533148</v>
      </c>
      <c r="L106" s="81">
        <f t="shared" ref="L106:L115" si="30">K106*G106</f>
        <v>43.872686550993798</v>
      </c>
      <c r="M106" s="9">
        <v>4761.7938315339788</v>
      </c>
      <c r="N106" s="78">
        <f>M106*G106</f>
        <v>512.48806111884448</v>
      </c>
      <c r="O106" s="9">
        <v>3926.1816757739198</v>
      </c>
      <c r="P106" s="78">
        <f>O106*G106</f>
        <v>422.55530285516812</v>
      </c>
      <c r="Q106" s="27"/>
      <c r="R106" s="81"/>
      <c r="S106" s="27"/>
      <c r="T106" s="103"/>
    </row>
    <row r="107" spans="3:20" ht="13" x14ac:dyDescent="0.3">
      <c r="C107" s="22" t="s">
        <v>4</v>
      </c>
      <c r="D107" s="9" t="s">
        <v>5</v>
      </c>
      <c r="E107" s="9">
        <v>31.4</v>
      </c>
      <c r="F107" s="9">
        <v>1.05</v>
      </c>
      <c r="G107" s="75">
        <f t="shared" ref="G107:G115" si="31">E107*F107</f>
        <v>32.97</v>
      </c>
      <c r="H107" s="9"/>
      <c r="I107" s="9">
        <v>1.6562422481759847E-4</v>
      </c>
      <c r="J107" s="78">
        <f t="shared" ref="J107:J115" si="32">I107*G107</f>
        <v>5.4606306922362216E-3</v>
      </c>
      <c r="K107" s="27">
        <v>1.6537161024805769E-4</v>
      </c>
      <c r="L107" s="81">
        <f t="shared" si="30"/>
        <v>5.4523019898784619E-3</v>
      </c>
      <c r="M107" s="9">
        <v>1.6122138596302708E-4</v>
      </c>
      <c r="N107" s="78">
        <f t="shared" ref="N107:N115" si="33">M107*G107</f>
        <v>5.3154690952010022E-3</v>
      </c>
      <c r="O107" s="9">
        <v>1.5754587609956408E-4</v>
      </c>
      <c r="P107" s="78">
        <f t="shared" ref="P107:P115" si="34">O107*G107</f>
        <v>5.1942875350026278E-3</v>
      </c>
      <c r="Q107" s="27"/>
      <c r="R107" s="81"/>
      <c r="S107" s="27"/>
      <c r="T107" s="103"/>
    </row>
    <row r="108" spans="3:20" ht="13" x14ac:dyDescent="0.3">
      <c r="C108" s="22" t="s">
        <v>6</v>
      </c>
      <c r="D108" s="9" t="s">
        <v>7</v>
      </c>
      <c r="E108" s="11">
        <v>902616</v>
      </c>
      <c r="F108" s="9">
        <v>1.05</v>
      </c>
      <c r="G108" s="75">
        <f t="shared" si="31"/>
        <v>947746.8</v>
      </c>
      <c r="H108" s="9"/>
      <c r="I108" s="9">
        <v>4.1280438917567386E-6</v>
      </c>
      <c r="J108" s="78">
        <f t="shared" si="32"/>
        <v>3.9123403886719954</v>
      </c>
      <c r="K108" s="27">
        <v>3.559195296879969E-6</v>
      </c>
      <c r="L108" s="81">
        <f t="shared" si="30"/>
        <v>3.3732159531930406</v>
      </c>
      <c r="M108" s="9">
        <v>3.4650374406588491E-6</v>
      </c>
      <c r="N108" s="78">
        <f t="shared" si="33"/>
        <v>3.283978146264614</v>
      </c>
      <c r="O108" s="9">
        <v>2.9115566454169888E-6</v>
      </c>
      <c r="P108" s="78">
        <f t="shared" si="34"/>
        <v>2.759418493712686</v>
      </c>
      <c r="Q108" s="27"/>
      <c r="R108" s="81"/>
      <c r="S108" s="27"/>
      <c r="T108" s="103"/>
    </row>
    <row r="109" spans="3:20" ht="13" x14ac:dyDescent="0.3">
      <c r="C109" s="22" t="s">
        <v>8</v>
      </c>
      <c r="D109" s="9" t="s">
        <v>7</v>
      </c>
      <c r="E109" s="11">
        <v>163447</v>
      </c>
      <c r="F109" s="9">
        <v>1.05</v>
      </c>
      <c r="G109" s="75">
        <f t="shared" si="31"/>
        <v>171619.35</v>
      </c>
      <c r="H109" s="9"/>
      <c r="I109" s="9">
        <v>5.7901997714748309E-5</v>
      </c>
      <c r="J109" s="78">
        <f t="shared" si="32"/>
        <v>9.9371032115065905</v>
      </c>
      <c r="K109" s="27">
        <v>1.7199865689859715E-5</v>
      </c>
      <c r="L109" s="81">
        <f t="shared" si="30"/>
        <v>2.9518297697810261</v>
      </c>
      <c r="M109" s="9">
        <v>4.766950074019831E-5</v>
      </c>
      <c r="N109" s="78">
        <f t="shared" si="33"/>
        <v>8.1810087318573537</v>
      </c>
      <c r="O109" s="9">
        <v>3.912736581314641E-5</v>
      </c>
      <c r="P109" s="78">
        <f t="shared" si="34"/>
        <v>6.715013088064409</v>
      </c>
      <c r="Q109" s="27"/>
      <c r="R109" s="81"/>
      <c r="S109" s="27"/>
      <c r="T109" s="103"/>
    </row>
    <row r="110" spans="3:20" ht="13" x14ac:dyDescent="0.3">
      <c r="C110" s="22" t="s">
        <v>9</v>
      </c>
      <c r="D110" s="9" t="s">
        <v>10</v>
      </c>
      <c r="E110" s="11">
        <v>784126</v>
      </c>
      <c r="F110" s="9">
        <v>1.05</v>
      </c>
      <c r="G110" s="75">
        <f t="shared" si="31"/>
        <v>823332.3</v>
      </c>
      <c r="H110" s="9"/>
      <c r="I110" s="9">
        <v>4.4082565451704158E-4</v>
      </c>
      <c r="J110" s="78">
        <f t="shared" si="32"/>
        <v>362.94600003252123</v>
      </c>
      <c r="K110" s="27">
        <v>2.8443151244845582E-5</v>
      </c>
      <c r="L110" s="81">
        <f t="shared" si="30"/>
        <v>23.418165133666577</v>
      </c>
      <c r="M110" s="9">
        <v>3.6420101684911155E-4</v>
      </c>
      <c r="N110" s="78">
        <f t="shared" si="33"/>
        <v>299.85846086471776</v>
      </c>
      <c r="O110" s="9">
        <v>3.0023442146932458E-4</v>
      </c>
      <c r="P110" s="78">
        <f t="shared" si="34"/>
        <v>247.19269676750841</v>
      </c>
      <c r="Q110" s="27"/>
      <c r="R110" s="81"/>
      <c r="S110" s="27"/>
      <c r="T110" s="103"/>
    </row>
    <row r="111" spans="3:20" ht="13" x14ac:dyDescent="0.3">
      <c r="C111" s="22" t="s">
        <v>11</v>
      </c>
      <c r="D111" s="9" t="s">
        <v>12</v>
      </c>
      <c r="E111" s="9">
        <v>1.19</v>
      </c>
      <c r="F111" s="9">
        <v>1.05</v>
      </c>
      <c r="G111" s="75">
        <f t="shared" si="31"/>
        <v>1.2495000000000001</v>
      </c>
      <c r="H111" s="9"/>
      <c r="I111" s="9">
        <v>18.367027899223437</v>
      </c>
      <c r="J111" s="78">
        <f t="shared" si="32"/>
        <v>22.949601360079686</v>
      </c>
      <c r="K111" s="202">
        <v>1.7850492375049074</v>
      </c>
      <c r="L111" s="81">
        <f t="shared" si="30"/>
        <v>2.2304190222623821</v>
      </c>
      <c r="M111" s="9">
        <v>15.183266507150137</v>
      </c>
      <c r="N111" s="78">
        <f t="shared" si="33"/>
        <v>18.971491500684095</v>
      </c>
      <c r="O111" s="9">
        <v>12.525448043653936</v>
      </c>
      <c r="P111" s="78">
        <f t="shared" si="34"/>
        <v>15.650547330545594</v>
      </c>
      <c r="Q111" s="27"/>
      <c r="R111" s="81"/>
      <c r="S111" s="27"/>
      <c r="T111" s="103"/>
    </row>
    <row r="112" spans="3:20" ht="13" x14ac:dyDescent="0.3">
      <c r="C112" s="22" t="s">
        <v>13</v>
      </c>
      <c r="D112" s="9" t="s">
        <v>14</v>
      </c>
      <c r="E112" s="9">
        <v>0.34399999999999997</v>
      </c>
      <c r="F112" s="9">
        <v>1.05</v>
      </c>
      <c r="G112" s="75">
        <f t="shared" si="31"/>
        <v>0.36119999999999997</v>
      </c>
      <c r="H112" s="9"/>
      <c r="I112" s="9">
        <v>30.582461743721122</v>
      </c>
      <c r="J112" s="78">
        <f t="shared" si="32"/>
        <v>11.046385181832068</v>
      </c>
      <c r="K112" s="202">
        <v>3.271768352157594</v>
      </c>
      <c r="L112" s="81">
        <f t="shared" si="30"/>
        <v>1.1817627287993229</v>
      </c>
      <c r="M112" s="9">
        <v>25.310490611481825</v>
      </c>
      <c r="N112" s="78">
        <f t="shared" si="33"/>
        <v>9.1421492088672345</v>
      </c>
      <c r="O112" s="9">
        <v>20.909425177002124</v>
      </c>
      <c r="P112" s="78">
        <f t="shared" si="34"/>
        <v>7.552484373933166</v>
      </c>
      <c r="Q112" s="27"/>
      <c r="R112" s="81"/>
      <c r="S112" s="27"/>
      <c r="T112" s="103"/>
    </row>
    <row r="113" spans="3:20" ht="13" x14ac:dyDescent="0.3">
      <c r="C113" s="22" t="s">
        <v>15</v>
      </c>
      <c r="D113" s="9" t="s">
        <v>16</v>
      </c>
      <c r="E113" s="9">
        <v>1.92</v>
      </c>
      <c r="F113" s="9">
        <v>1.05</v>
      </c>
      <c r="G113" s="75">
        <f t="shared" si="31"/>
        <v>2.016</v>
      </c>
      <c r="H113" s="9"/>
      <c r="I113" s="9">
        <v>10.565353553631091</v>
      </c>
      <c r="J113" s="78">
        <f t="shared" si="32"/>
        <v>21.299752764120282</v>
      </c>
      <c r="K113" s="202">
        <v>0.2711069191133435</v>
      </c>
      <c r="L113" s="81">
        <f t="shared" si="30"/>
        <v>0.54655154893250046</v>
      </c>
      <c r="M113" s="9">
        <v>8.7253917195711512</v>
      </c>
      <c r="N113" s="78">
        <f t="shared" si="33"/>
        <v>17.59038970665544</v>
      </c>
      <c r="O113" s="9">
        <v>7.1893832275816827</v>
      </c>
      <c r="P113" s="78">
        <f t="shared" si="34"/>
        <v>14.493796586804672</v>
      </c>
      <c r="Q113" s="27"/>
      <c r="R113" s="81"/>
      <c r="S113" s="27"/>
      <c r="T113" s="103"/>
    </row>
    <row r="114" spans="3:20" ht="13" x14ac:dyDescent="0.3">
      <c r="C114" s="22" t="s">
        <v>17</v>
      </c>
      <c r="D114" s="9" t="s">
        <v>18</v>
      </c>
      <c r="E114" s="9">
        <v>3.82E-5</v>
      </c>
      <c r="F114" s="9">
        <v>1.05</v>
      </c>
      <c r="G114" s="75">
        <f t="shared" si="31"/>
        <v>4.0110000000000001E-5</v>
      </c>
      <c r="H114" s="9"/>
      <c r="I114" s="9">
        <v>41905.110012959281</v>
      </c>
      <c r="J114" s="78">
        <f t="shared" si="32"/>
        <v>1.6808139626197969</v>
      </c>
      <c r="K114" s="202">
        <v>9491.3652666452817</v>
      </c>
      <c r="L114" s="81">
        <f t="shared" si="30"/>
        <v>0.38069866084514226</v>
      </c>
      <c r="M114" s="9">
        <v>34691.546232898741</v>
      </c>
      <c r="N114" s="78">
        <f t="shared" si="33"/>
        <v>1.3914779194015685</v>
      </c>
      <c r="O114" s="9">
        <v>28669.630441725603</v>
      </c>
      <c r="P114" s="78">
        <f t="shared" si="34"/>
        <v>1.149938877017614</v>
      </c>
      <c r="Q114" s="27"/>
      <c r="R114" s="81"/>
      <c r="S114" s="27"/>
      <c r="T114" s="103"/>
    </row>
    <row r="115" spans="3:20" ht="13" x14ac:dyDescent="0.3">
      <c r="C115" s="22" t="s">
        <v>19</v>
      </c>
      <c r="D115" s="9" t="s">
        <v>20</v>
      </c>
      <c r="E115" s="9">
        <v>1.2999999999999999E-3</v>
      </c>
      <c r="F115" s="9">
        <v>1.05</v>
      </c>
      <c r="G115" s="75">
        <f t="shared" si="31"/>
        <v>1.3649999999999999E-3</v>
      </c>
      <c r="H115" s="9"/>
      <c r="I115" s="9">
        <v>60156.343754009897</v>
      </c>
      <c r="J115" s="78">
        <f t="shared" si="32"/>
        <v>82.113409224223503</v>
      </c>
      <c r="K115" s="202">
        <v>5064.6856822538311</v>
      </c>
      <c r="L115" s="81">
        <f t="shared" si="30"/>
        <v>6.9132959562764791</v>
      </c>
      <c r="M115" s="9">
        <v>49723.385340559398</v>
      </c>
      <c r="N115" s="78">
        <f t="shared" si="33"/>
        <v>67.872420989863571</v>
      </c>
      <c r="O115" s="9">
        <v>41013.9042942741</v>
      </c>
      <c r="P115" s="78">
        <f t="shared" si="34"/>
        <v>55.983979361684142</v>
      </c>
      <c r="Q115" s="27"/>
      <c r="R115" s="81"/>
      <c r="S115" s="27"/>
      <c r="T115" s="103"/>
    </row>
    <row r="116" spans="3:20" ht="13.5" thickBot="1" x14ac:dyDescent="0.35">
      <c r="C116" s="69" t="s">
        <v>63</v>
      </c>
      <c r="D116" s="15"/>
      <c r="E116" s="15"/>
      <c r="F116" s="15"/>
      <c r="G116" s="15"/>
      <c r="H116" s="15"/>
      <c r="I116" s="15"/>
      <c r="J116" s="80">
        <f>ROUND(SUM(J106:J115),0)</f>
        <v>1136</v>
      </c>
      <c r="K116" s="59"/>
      <c r="L116" s="80">
        <f>ROUND(SUM(L106:L115),0)</f>
        <v>85</v>
      </c>
      <c r="M116" s="80"/>
      <c r="N116" s="80">
        <f>ROUND(SUM(N106:N115),0)</f>
        <v>939</v>
      </c>
      <c r="O116" s="80"/>
      <c r="P116" s="80">
        <f>ROUND(SUM(P106:P115),0)</f>
        <v>774</v>
      </c>
      <c r="Q116" s="59"/>
      <c r="R116" s="80"/>
      <c r="S116" s="59"/>
      <c r="T116" s="80"/>
    </row>
    <row r="120" spans="3:20" ht="13" thickBot="1" x14ac:dyDescent="0.3"/>
    <row r="121" spans="3:20" ht="13" x14ac:dyDescent="0.3">
      <c r="C121" s="268" t="s">
        <v>365</v>
      </c>
      <c r="D121" s="269"/>
      <c r="E121" s="269"/>
      <c r="F121" s="269"/>
      <c r="G121" s="269"/>
      <c r="H121" s="269"/>
      <c r="I121" s="269"/>
      <c r="J121" s="269"/>
      <c r="K121" s="269"/>
      <c r="L121" s="269"/>
      <c r="M121" s="269"/>
      <c r="N121" s="269"/>
      <c r="O121" s="269"/>
      <c r="P121" s="269"/>
      <c r="Q121" s="269"/>
      <c r="R121" s="269"/>
      <c r="S121" s="269"/>
      <c r="T121" s="270"/>
    </row>
    <row r="122" spans="3:20" ht="13" x14ac:dyDescent="0.25">
      <c r="C122" s="76" t="s">
        <v>0</v>
      </c>
      <c r="D122" s="74" t="s">
        <v>1</v>
      </c>
      <c r="E122" s="74" t="s">
        <v>21</v>
      </c>
      <c r="F122" s="74" t="s">
        <v>62</v>
      </c>
      <c r="G122" s="77" t="s">
        <v>22</v>
      </c>
      <c r="H122" s="9"/>
      <c r="I122" s="74" t="s">
        <v>364</v>
      </c>
      <c r="J122" s="78" t="s">
        <v>363</v>
      </c>
      <c r="K122" s="74" t="s">
        <v>362</v>
      </c>
      <c r="L122" s="78" t="s">
        <v>361</v>
      </c>
      <c r="M122" s="74" t="s">
        <v>360</v>
      </c>
      <c r="N122" s="78" t="s">
        <v>359</v>
      </c>
      <c r="O122" s="74" t="s">
        <v>358</v>
      </c>
      <c r="P122" s="78" t="s">
        <v>357</v>
      </c>
      <c r="Q122" s="74"/>
      <c r="R122" s="78"/>
      <c r="S122" s="74"/>
      <c r="T122" s="79"/>
    </row>
    <row r="123" spans="3:20" ht="13" x14ac:dyDescent="0.25">
      <c r="C123" s="22" t="s">
        <v>2</v>
      </c>
      <c r="D123" s="9" t="s">
        <v>3</v>
      </c>
      <c r="E123" s="9">
        <v>0.10249999999999999</v>
      </c>
      <c r="F123" s="9">
        <v>1.05</v>
      </c>
      <c r="G123" s="75">
        <f>E123*F123</f>
        <v>0.107625</v>
      </c>
      <c r="H123" s="9"/>
      <c r="I123" s="9">
        <v>1980.2849914936094</v>
      </c>
      <c r="J123" s="78">
        <f>I123*G123</f>
        <v>213.1281722094997</v>
      </c>
      <c r="K123" s="7">
        <v>380.2934887313645</v>
      </c>
      <c r="L123" s="78">
        <f t="shared" ref="L123:L132" si="35">K123*G123</f>
        <v>40.929086724713102</v>
      </c>
      <c r="M123" s="9">
        <v>1633.3727927845093</v>
      </c>
      <c r="N123" s="78">
        <f>M123*G123</f>
        <v>175.79174682343282</v>
      </c>
      <c r="O123" s="9">
        <v>1352.0551775863094</v>
      </c>
      <c r="P123" s="78">
        <f>O123*G123</f>
        <v>145.51493848772654</v>
      </c>
      <c r="Q123" s="7"/>
      <c r="R123" s="78"/>
      <c r="S123" s="7"/>
      <c r="T123" s="79"/>
    </row>
    <row r="124" spans="3:20" ht="13" x14ac:dyDescent="0.25">
      <c r="C124" s="22" t="s">
        <v>4</v>
      </c>
      <c r="D124" s="9" t="s">
        <v>5</v>
      </c>
      <c r="E124" s="9">
        <v>31.4</v>
      </c>
      <c r="F124" s="9">
        <v>1.05</v>
      </c>
      <c r="G124" s="75">
        <f t="shared" ref="G124:G132" si="36">E124*F124</f>
        <v>32.97</v>
      </c>
      <c r="H124" s="9"/>
      <c r="I124" s="9">
        <v>1.7146933682731918E-4</v>
      </c>
      <c r="J124" s="78">
        <f t="shared" ref="J124:J132" si="37">I124*G124</f>
        <v>5.653344035196713E-3</v>
      </c>
      <c r="K124" s="7">
        <v>1.6351913811131187E-4</v>
      </c>
      <c r="L124" s="78">
        <f t="shared" si="35"/>
        <v>5.3912259835299523E-3</v>
      </c>
      <c r="M124" s="9">
        <v>1.6592425957646898E-4</v>
      </c>
      <c r="N124" s="78">
        <f t="shared" ref="N124:N132" si="38">M124*G124</f>
        <v>5.4705228382361821E-3</v>
      </c>
      <c r="O124" s="9">
        <v>1.6142765232511378E-4</v>
      </c>
      <c r="P124" s="78">
        <f t="shared" ref="P124:P132" si="39">O124*G124</f>
        <v>5.3222696971590008E-3</v>
      </c>
      <c r="Q124" s="7"/>
      <c r="R124" s="78"/>
      <c r="S124" s="7"/>
      <c r="T124" s="79"/>
    </row>
    <row r="125" spans="3:20" ht="13" x14ac:dyDescent="0.25">
      <c r="C125" s="22" t="s">
        <v>6</v>
      </c>
      <c r="D125" s="9" t="s">
        <v>7</v>
      </c>
      <c r="E125" s="9">
        <v>902616</v>
      </c>
      <c r="F125" s="9">
        <v>1.05</v>
      </c>
      <c r="G125" s="75">
        <f t="shared" si="36"/>
        <v>947746.8</v>
      </c>
      <c r="H125" s="9"/>
      <c r="I125" s="9">
        <v>3.4795048304355988E-6</v>
      </c>
      <c r="J125" s="78">
        <f t="shared" si="37"/>
        <v>3.2976895686298815</v>
      </c>
      <c r="K125" s="7">
        <v>3.319699351507269E-6</v>
      </c>
      <c r="L125" s="78">
        <f t="shared" si="35"/>
        <v>3.1462344373530895</v>
      </c>
      <c r="M125" s="9">
        <v>2.9177798673311989E-6</v>
      </c>
      <c r="N125" s="78">
        <f t="shared" si="38"/>
        <v>2.7653165323675686</v>
      </c>
      <c r="O125" s="9">
        <v>2.4622665483823688E-6</v>
      </c>
      <c r="P125" s="78">
        <f t="shared" si="39"/>
        <v>2.3336052419764353</v>
      </c>
      <c r="Q125" s="7"/>
      <c r="R125" s="78"/>
      <c r="S125" s="7"/>
      <c r="T125" s="79"/>
    </row>
    <row r="126" spans="3:20" ht="13" x14ac:dyDescent="0.25">
      <c r="C126" s="22" t="s">
        <v>8</v>
      </c>
      <c r="D126" s="9" t="s">
        <v>7</v>
      </c>
      <c r="E126" s="9">
        <v>163447</v>
      </c>
      <c r="F126" s="9">
        <v>1.05</v>
      </c>
      <c r="G126" s="75">
        <f t="shared" si="36"/>
        <v>171619.35</v>
      </c>
      <c r="H126" s="9"/>
      <c r="I126" s="9">
        <v>1.8399594988825212E-5</v>
      </c>
      <c r="J126" s="78">
        <f t="shared" si="37"/>
        <v>3.1577265322454404</v>
      </c>
      <c r="K126" s="7">
        <v>1.5876546628341013E-5</v>
      </c>
      <c r="L126" s="78">
        <f t="shared" si="35"/>
        <v>2.7247226126005764</v>
      </c>
      <c r="M126" s="9">
        <v>1.5002631413337512E-5</v>
      </c>
      <c r="N126" s="78">
        <f t="shared" si="38"/>
        <v>2.5747418514465652</v>
      </c>
      <c r="O126" s="9">
        <v>1.2247969872096414E-5</v>
      </c>
      <c r="P126" s="78">
        <f t="shared" si="39"/>
        <v>2.1019886282687699</v>
      </c>
      <c r="Q126" s="7"/>
      <c r="R126" s="78"/>
      <c r="S126" s="7"/>
      <c r="T126" s="79"/>
    </row>
    <row r="127" spans="3:20" ht="13" x14ac:dyDescent="0.25">
      <c r="C127" s="22" t="s">
        <v>9</v>
      </c>
      <c r="D127" s="9" t="s">
        <v>10</v>
      </c>
      <c r="E127" s="9">
        <v>784126</v>
      </c>
      <c r="F127" s="9">
        <v>1.05</v>
      </c>
      <c r="G127" s="75">
        <f t="shared" si="36"/>
        <v>823332.3</v>
      </c>
      <c r="H127" s="9"/>
      <c r="I127" s="9">
        <v>2.516399279219868E-5</v>
      </c>
      <c r="J127" s="78">
        <f t="shared" si="37"/>
        <v>20.718328062784362</v>
      </c>
      <c r="K127" s="7">
        <v>2.6531211293059181E-5</v>
      </c>
      <c r="L127" s="78">
        <f t="shared" si="35"/>
        <v>21.84400321570039</v>
      </c>
      <c r="M127" s="9">
        <v>2.115212643827868E-5</v>
      </c>
      <c r="N127" s="78">
        <f t="shared" si="38"/>
        <v>17.415228910318795</v>
      </c>
      <c r="O127" s="9">
        <v>1.7898828689227679E-5</v>
      </c>
      <c r="P127" s="78">
        <f t="shared" si="39"/>
        <v>14.736683792007812</v>
      </c>
      <c r="Q127" s="7"/>
      <c r="R127" s="78"/>
      <c r="S127" s="7"/>
      <c r="T127" s="79"/>
    </row>
    <row r="128" spans="3:20" ht="13" x14ac:dyDescent="0.25">
      <c r="C128" s="22" t="s">
        <v>11</v>
      </c>
      <c r="D128" s="9" t="s">
        <v>12</v>
      </c>
      <c r="E128" s="9">
        <v>1.19</v>
      </c>
      <c r="F128" s="9">
        <v>1.05</v>
      </c>
      <c r="G128" s="75">
        <f t="shared" si="36"/>
        <v>1.2495000000000001</v>
      </c>
      <c r="H128" s="9"/>
      <c r="I128" s="9">
        <v>6.262441135980068</v>
      </c>
      <c r="J128" s="78">
        <f t="shared" si="37"/>
        <v>7.8249201994070949</v>
      </c>
      <c r="K128" s="9">
        <v>1.6645345446624373</v>
      </c>
      <c r="L128" s="78">
        <f t="shared" si="35"/>
        <v>2.0798359135557156</v>
      </c>
      <c r="M128" s="9">
        <v>5.1722023460339672</v>
      </c>
      <c r="N128" s="78">
        <f t="shared" si="38"/>
        <v>6.4626668313694422</v>
      </c>
      <c r="O128" s="9">
        <v>4.2881072420697279</v>
      </c>
      <c r="P128" s="78">
        <f t="shared" si="39"/>
        <v>5.3579899989661257</v>
      </c>
      <c r="Q128" s="7"/>
      <c r="R128" s="78"/>
      <c r="S128" s="7"/>
      <c r="T128" s="79"/>
    </row>
    <row r="129" spans="3:20" ht="13" x14ac:dyDescent="0.25">
      <c r="C129" s="22" t="s">
        <v>13</v>
      </c>
      <c r="D129" s="9" t="s">
        <v>14</v>
      </c>
      <c r="E129" s="9">
        <v>0.34399999999999997</v>
      </c>
      <c r="F129" s="9">
        <v>1.05</v>
      </c>
      <c r="G129" s="75">
        <f t="shared" si="36"/>
        <v>0.36119999999999997</v>
      </c>
      <c r="H129" s="9"/>
      <c r="I129" s="9">
        <v>10.382855844393694</v>
      </c>
      <c r="J129" s="78">
        <f t="shared" si="37"/>
        <v>3.7502875309950019</v>
      </c>
      <c r="K129" s="9">
        <v>3.0612592295215943</v>
      </c>
      <c r="L129" s="78">
        <f t="shared" si="35"/>
        <v>1.1057268337031998</v>
      </c>
      <c r="M129" s="9">
        <v>8.6053690524751243</v>
      </c>
      <c r="N129" s="78">
        <f t="shared" si="38"/>
        <v>3.1082593017540145</v>
      </c>
      <c r="O129" s="9">
        <v>7.1639716406529841</v>
      </c>
      <c r="P129" s="78">
        <f t="shared" si="39"/>
        <v>2.5876265566038574</v>
      </c>
      <c r="Q129" s="7"/>
      <c r="R129" s="78"/>
      <c r="S129" s="7"/>
      <c r="T129" s="79"/>
    </row>
    <row r="130" spans="3:20" ht="13" x14ac:dyDescent="0.25">
      <c r="C130" s="22" t="s">
        <v>15</v>
      </c>
      <c r="D130" s="9" t="s">
        <v>16</v>
      </c>
      <c r="E130" s="9">
        <v>1.92</v>
      </c>
      <c r="F130" s="9">
        <v>1.05</v>
      </c>
      <c r="G130" s="75">
        <f t="shared" si="36"/>
        <v>2.016</v>
      </c>
      <c r="H130" s="9"/>
      <c r="I130" s="9">
        <v>0.5886741871153206</v>
      </c>
      <c r="J130" s="78">
        <f t="shared" si="37"/>
        <v>1.1867671612244863</v>
      </c>
      <c r="K130" s="9">
        <v>0.25432333111201949</v>
      </c>
      <c r="L130" s="78">
        <f t="shared" si="35"/>
        <v>0.51271583552183131</v>
      </c>
      <c r="M130" s="9">
        <v>0.49154033238745248</v>
      </c>
      <c r="N130" s="78">
        <f t="shared" si="38"/>
        <v>0.99094531009310416</v>
      </c>
      <c r="O130" s="9">
        <v>0.41277266590373551</v>
      </c>
      <c r="P130" s="78">
        <f t="shared" si="39"/>
        <v>0.83214969446193077</v>
      </c>
      <c r="Q130" s="7"/>
      <c r="R130" s="78"/>
      <c r="S130" s="7"/>
      <c r="T130" s="79"/>
    </row>
    <row r="131" spans="3:20" ht="13" x14ac:dyDescent="0.25">
      <c r="C131" s="22" t="s">
        <v>17</v>
      </c>
      <c r="D131" s="9" t="s">
        <v>18</v>
      </c>
      <c r="E131" s="9">
        <v>3.82E-5</v>
      </c>
      <c r="F131" s="9">
        <v>1.05</v>
      </c>
      <c r="G131" s="75">
        <f t="shared" si="36"/>
        <v>4.0110000000000001E-5</v>
      </c>
      <c r="H131" s="9"/>
      <c r="I131" s="9">
        <v>11202.041132631042</v>
      </c>
      <c r="J131" s="78">
        <f t="shared" si="37"/>
        <v>0.44931386982983113</v>
      </c>
      <c r="K131" s="9">
        <v>8834.9993152211991</v>
      </c>
      <c r="L131" s="78">
        <f t="shared" si="35"/>
        <v>0.35437182253352228</v>
      </c>
      <c r="M131" s="9">
        <v>9317.7146115397591</v>
      </c>
      <c r="N131" s="78">
        <f t="shared" si="38"/>
        <v>0.37373353306885976</v>
      </c>
      <c r="O131" s="9">
        <v>7789.6788574191478</v>
      </c>
      <c r="P131" s="78">
        <f t="shared" si="39"/>
        <v>0.31244401897108204</v>
      </c>
      <c r="Q131" s="7"/>
      <c r="R131" s="78"/>
      <c r="S131" s="7"/>
      <c r="T131" s="79"/>
    </row>
    <row r="132" spans="3:20" ht="13" x14ac:dyDescent="0.25">
      <c r="C132" s="22" t="s">
        <v>19</v>
      </c>
      <c r="D132" s="9" t="s">
        <v>20</v>
      </c>
      <c r="E132" s="9">
        <v>1.2999999999999999E-3</v>
      </c>
      <c r="F132" s="9">
        <v>1.05</v>
      </c>
      <c r="G132" s="75">
        <f t="shared" si="36"/>
        <v>1.3649999999999999E-3</v>
      </c>
      <c r="H132" s="9"/>
      <c r="I132" s="9">
        <v>26382.488611308501</v>
      </c>
      <c r="J132" s="78">
        <f t="shared" si="37"/>
        <v>36.012096954436103</v>
      </c>
      <c r="K132" s="9">
        <v>4725.7926066487207</v>
      </c>
      <c r="L132" s="78">
        <f t="shared" si="35"/>
        <v>6.4507069080755031</v>
      </c>
      <c r="M132" s="9">
        <v>21756.557325166301</v>
      </c>
      <c r="N132" s="78">
        <f t="shared" si="38"/>
        <v>29.697700748851997</v>
      </c>
      <c r="O132" s="9">
        <v>18005.302793527699</v>
      </c>
      <c r="P132" s="78">
        <f t="shared" si="39"/>
        <v>24.577238313165306</v>
      </c>
      <c r="Q132" s="7"/>
      <c r="R132" s="78"/>
      <c r="S132" s="7"/>
      <c r="T132" s="79"/>
    </row>
    <row r="133" spans="3:20" ht="13.5" thickBot="1" x14ac:dyDescent="0.3">
      <c r="C133" s="69" t="s">
        <v>63</v>
      </c>
      <c r="D133" s="15"/>
      <c r="E133" s="15"/>
      <c r="F133" s="15"/>
      <c r="G133" s="15"/>
      <c r="H133" s="15"/>
      <c r="I133" s="15"/>
      <c r="J133" s="80">
        <f>ROUND(SUM(J123:J132),0)</f>
        <v>290</v>
      </c>
      <c r="K133" s="80"/>
      <c r="L133" s="80">
        <f>ROUND(SUM(L123:L132),0)</f>
        <v>79</v>
      </c>
      <c r="M133" s="80"/>
      <c r="N133" s="80">
        <f>ROUND(SUM(N123:N132),0)</f>
        <v>239</v>
      </c>
      <c r="O133" s="80"/>
      <c r="P133" s="80">
        <f>ROUND(SUM(P123:P132),0)</f>
        <v>198</v>
      </c>
      <c r="Q133" s="80"/>
      <c r="R133" s="80"/>
      <c r="S133" s="80"/>
      <c r="T133" s="80"/>
    </row>
    <row r="134" spans="3:20" x14ac:dyDescent="0.25">
      <c r="R134" s="102"/>
    </row>
  </sheetData>
  <mergeCells count="8">
    <mergeCell ref="C121:T121"/>
    <mergeCell ref="C2:T2"/>
    <mergeCell ref="C20:T20"/>
    <mergeCell ref="C37:T37"/>
    <mergeCell ref="C53:T53"/>
    <mergeCell ref="C70:T70"/>
    <mergeCell ref="C87:T87"/>
    <mergeCell ref="C104:T10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448E3-DE4C-49AA-A311-18DE976B1C0A}">
  <dimension ref="B1:I57"/>
  <sheetViews>
    <sheetView topLeftCell="A53" workbookViewId="0">
      <selection activeCell="B45" sqref="B45:C57"/>
    </sheetView>
  </sheetViews>
  <sheetFormatPr defaultRowHeight="12.5" x14ac:dyDescent="0.25"/>
  <cols>
    <col min="2" max="2" width="21.1796875" customWidth="1"/>
    <col min="3" max="3" width="15.453125" customWidth="1"/>
    <col min="4" max="4" width="19.36328125" customWidth="1"/>
    <col min="5" max="5" width="20.1796875" customWidth="1"/>
    <col min="6" max="6" width="24.1796875" customWidth="1"/>
    <col min="7" max="7" width="22.90625" customWidth="1"/>
    <col min="8" max="8" width="18.6328125" customWidth="1"/>
  </cols>
  <sheetData>
    <row r="1" spans="2:8" ht="13" thickBot="1" x14ac:dyDescent="0.3"/>
    <row r="2" spans="2:8" ht="13" x14ac:dyDescent="0.3">
      <c r="B2" s="265" t="s">
        <v>90</v>
      </c>
      <c r="C2" s="266"/>
      <c r="D2" s="266"/>
      <c r="E2" s="266"/>
      <c r="F2" s="266"/>
      <c r="G2" s="266"/>
      <c r="H2" s="267"/>
    </row>
    <row r="3" spans="2:8" x14ac:dyDescent="0.25">
      <c r="B3" s="6" t="s">
        <v>69</v>
      </c>
      <c r="C3" s="7" t="s">
        <v>75</v>
      </c>
      <c r="D3" s="7" t="s">
        <v>67</v>
      </c>
      <c r="E3" s="7" t="s">
        <v>66</v>
      </c>
      <c r="F3" s="7" t="s">
        <v>73</v>
      </c>
      <c r="G3" s="7" t="s">
        <v>72</v>
      </c>
      <c r="H3" s="24" t="s">
        <v>68</v>
      </c>
    </row>
    <row r="4" spans="2:8" x14ac:dyDescent="0.25">
      <c r="B4" s="6" t="s">
        <v>70</v>
      </c>
      <c r="C4" s="7" t="s">
        <v>76</v>
      </c>
      <c r="D4" s="7">
        <v>2500</v>
      </c>
      <c r="E4" s="7">
        <v>10</v>
      </c>
      <c r="F4" s="7">
        <f>D4/E4</f>
        <v>250</v>
      </c>
      <c r="G4" s="39">
        <f>1/85</f>
        <v>1.1764705882352941E-2</v>
      </c>
      <c r="H4" s="10">
        <f>F4*G4</f>
        <v>2.9411764705882351</v>
      </c>
    </row>
    <row r="5" spans="2:8" x14ac:dyDescent="0.25">
      <c r="B5" s="6" t="s">
        <v>77</v>
      </c>
      <c r="C5" s="7" t="s">
        <v>74</v>
      </c>
      <c r="D5" s="7">
        <v>-350</v>
      </c>
      <c r="E5" s="7">
        <v>10</v>
      </c>
      <c r="F5" s="7">
        <f>D5/E5</f>
        <v>-35</v>
      </c>
      <c r="G5" s="39">
        <f>1/85</f>
        <v>1.1764705882352941E-2</v>
      </c>
      <c r="H5" s="10">
        <f t="shared" ref="H5:H11" si="0">F5*G5</f>
        <v>-0.41176470588235292</v>
      </c>
    </row>
    <row r="6" spans="2:8" ht="13.5" thickBot="1" x14ac:dyDescent="0.3">
      <c r="B6" s="40" t="s">
        <v>117</v>
      </c>
      <c r="C6" s="41"/>
      <c r="D6" s="41"/>
      <c r="E6" s="41"/>
      <c r="F6" s="41"/>
      <c r="G6" s="42"/>
      <c r="H6" s="49">
        <f>H4+H5</f>
        <v>2.5294117647058822</v>
      </c>
    </row>
    <row r="7" spans="2:8" ht="13" customHeight="1" x14ac:dyDescent="0.25">
      <c r="B7" s="43"/>
      <c r="C7" s="43"/>
      <c r="D7" s="43"/>
      <c r="E7" s="43"/>
      <c r="F7" s="43"/>
      <c r="G7" s="43"/>
      <c r="H7" s="43"/>
    </row>
    <row r="8" spans="2:8" ht="13" customHeight="1" thickBot="1" x14ac:dyDescent="0.3">
      <c r="B8" s="44"/>
      <c r="C8" s="44"/>
      <c r="D8" s="44"/>
      <c r="E8" s="44"/>
      <c r="F8" s="44"/>
      <c r="G8" s="44"/>
      <c r="H8" s="44"/>
    </row>
    <row r="9" spans="2:8" ht="12.5" customHeight="1" x14ac:dyDescent="0.3">
      <c r="B9" s="265" t="s">
        <v>91</v>
      </c>
      <c r="C9" s="266"/>
      <c r="D9" s="266"/>
      <c r="E9" s="266"/>
      <c r="F9" s="266"/>
      <c r="G9" s="266"/>
      <c r="H9" s="267"/>
    </row>
    <row r="10" spans="2:8" x14ac:dyDescent="0.25">
      <c r="B10" s="6" t="s">
        <v>71</v>
      </c>
      <c r="C10" s="7" t="s">
        <v>76</v>
      </c>
      <c r="D10" s="7">
        <v>32000</v>
      </c>
      <c r="E10" s="7">
        <v>10</v>
      </c>
      <c r="F10" s="7">
        <f>D10/E10</f>
        <v>3200</v>
      </c>
      <c r="G10" s="39">
        <f>1/85</f>
        <v>1.1764705882352941E-2</v>
      </c>
      <c r="H10" s="10">
        <f t="shared" si="0"/>
        <v>37.647058823529413</v>
      </c>
    </row>
    <row r="11" spans="2:8" x14ac:dyDescent="0.25">
      <c r="B11" s="6" t="s">
        <v>77</v>
      </c>
      <c r="C11" s="7" t="s">
        <v>74</v>
      </c>
      <c r="D11" s="7">
        <v>-3500</v>
      </c>
      <c r="E11" s="7">
        <v>10</v>
      </c>
      <c r="F11" s="7">
        <f>D11/10</f>
        <v>-350</v>
      </c>
      <c r="G11" s="39">
        <f>1/85</f>
        <v>1.1764705882352941E-2</v>
      </c>
      <c r="H11" s="10">
        <f t="shared" si="0"/>
        <v>-4.117647058823529</v>
      </c>
    </row>
    <row r="12" spans="2:8" ht="13.5" thickBot="1" x14ac:dyDescent="0.35">
      <c r="B12" s="40" t="s">
        <v>78</v>
      </c>
      <c r="C12" s="45"/>
      <c r="D12" s="45"/>
      <c r="E12" s="45"/>
      <c r="F12" s="45"/>
      <c r="G12" s="45"/>
      <c r="H12" s="50">
        <f>H10+H11</f>
        <v>33.529411764705884</v>
      </c>
    </row>
    <row r="14" spans="2:8" ht="13" thickBot="1" x14ac:dyDescent="0.3"/>
    <row r="15" spans="2:8" ht="13" x14ac:dyDescent="0.3">
      <c r="B15" s="265" t="s">
        <v>92</v>
      </c>
      <c r="C15" s="266"/>
      <c r="D15" s="266"/>
      <c r="E15" s="266"/>
      <c r="F15" s="266"/>
      <c r="G15" s="267"/>
    </row>
    <row r="16" spans="2:8" x14ac:dyDescent="0.25">
      <c r="B16" s="6" t="s">
        <v>79</v>
      </c>
      <c r="C16" s="7" t="s">
        <v>82</v>
      </c>
      <c r="D16" s="7" t="s">
        <v>83</v>
      </c>
      <c r="E16" s="7" t="s">
        <v>84</v>
      </c>
      <c r="F16" s="7" t="s">
        <v>72</v>
      </c>
      <c r="G16" s="24" t="s">
        <v>85</v>
      </c>
    </row>
    <row r="17" spans="2:9" x14ac:dyDescent="0.25">
      <c r="B17" s="12" t="s">
        <v>80</v>
      </c>
      <c r="C17" s="7">
        <v>82.35</v>
      </c>
      <c r="D17" s="7">
        <v>4.8</v>
      </c>
      <c r="E17" s="7">
        <f>C17*D17</f>
        <v>395.28</v>
      </c>
      <c r="F17" s="39">
        <f>1/85</f>
        <v>1.1764705882352941E-2</v>
      </c>
      <c r="G17" s="13">
        <f>E17*F17</f>
        <v>4.6503529411764699</v>
      </c>
      <c r="H17" s="4"/>
    </row>
    <row r="18" spans="2:9" x14ac:dyDescent="0.25">
      <c r="B18" s="12" t="s">
        <v>81</v>
      </c>
      <c r="C18" s="7">
        <v>82.35</v>
      </c>
      <c r="D18" s="7">
        <v>5.2</v>
      </c>
      <c r="E18" s="7">
        <f>C18*D18</f>
        <v>428.21999999999997</v>
      </c>
      <c r="F18" s="39">
        <f>1/85</f>
        <v>1.1764705882352941E-2</v>
      </c>
      <c r="G18" s="13">
        <f>E18*F18</f>
        <v>5.0378823529411765</v>
      </c>
    </row>
    <row r="19" spans="2:9" ht="13" thickBot="1" x14ac:dyDescent="0.3">
      <c r="B19" s="14" t="s">
        <v>65</v>
      </c>
      <c r="C19" s="7">
        <v>82.35</v>
      </c>
      <c r="D19" s="46">
        <v>4.5</v>
      </c>
      <c r="E19" s="46">
        <f>C19*D19</f>
        <v>370.57499999999999</v>
      </c>
      <c r="F19" s="47">
        <f>1/85</f>
        <v>1.1764705882352941E-2</v>
      </c>
      <c r="G19" s="16">
        <f>E19*F19</f>
        <v>4.3597058823529409</v>
      </c>
    </row>
    <row r="20" spans="2:9" ht="13" thickBot="1" x14ac:dyDescent="0.3"/>
    <row r="21" spans="2:9" ht="13" x14ac:dyDescent="0.3">
      <c r="B21" s="265" t="s">
        <v>528</v>
      </c>
      <c r="C21" s="266"/>
      <c r="D21" s="266"/>
      <c r="E21" s="266"/>
      <c r="F21" s="266"/>
      <c r="G21" s="267"/>
      <c r="H21" s="3"/>
    </row>
    <row r="22" spans="2:9" x14ac:dyDescent="0.25">
      <c r="B22" s="6" t="s">
        <v>79</v>
      </c>
      <c r="C22" s="7" t="s">
        <v>82</v>
      </c>
      <c r="D22" s="7" t="s">
        <v>83</v>
      </c>
      <c r="E22" s="7" t="s">
        <v>84</v>
      </c>
      <c r="F22" s="7" t="s">
        <v>72</v>
      </c>
      <c r="G22" s="24" t="s">
        <v>85</v>
      </c>
    </row>
    <row r="23" spans="2:9" x14ac:dyDescent="0.25">
      <c r="B23" s="12" t="s">
        <v>80</v>
      </c>
      <c r="C23" s="7">
        <v>1633</v>
      </c>
      <c r="D23" s="7">
        <v>4.8</v>
      </c>
      <c r="E23" s="7">
        <f>C23*D23</f>
        <v>7838.4</v>
      </c>
      <c r="F23" s="39">
        <f>1/85</f>
        <v>1.1764705882352941E-2</v>
      </c>
      <c r="G23" s="13">
        <f>E23*F23</f>
        <v>92.216470588235282</v>
      </c>
      <c r="H23" s="35" t="s">
        <v>86</v>
      </c>
    </row>
    <row r="24" spans="2:9" x14ac:dyDescent="0.25">
      <c r="B24" s="12" t="s">
        <v>81</v>
      </c>
      <c r="C24" s="7">
        <v>1476</v>
      </c>
      <c r="D24" s="7">
        <v>5.2</v>
      </c>
      <c r="E24" s="7">
        <f>C24*D24</f>
        <v>7675.2</v>
      </c>
      <c r="F24" s="39">
        <f>1/85</f>
        <v>1.1764705882352941E-2</v>
      </c>
      <c r="G24" s="13">
        <f>E24*F24</f>
        <v>90.296470588235294</v>
      </c>
      <c r="H24" s="35" t="s">
        <v>87</v>
      </c>
    </row>
    <row r="25" spans="2:9" ht="13" thickBot="1" x14ac:dyDescent="0.3">
      <c r="B25" s="14" t="s">
        <v>65</v>
      </c>
      <c r="C25" s="46">
        <v>1534</v>
      </c>
      <c r="D25" s="46">
        <v>4.5</v>
      </c>
      <c r="E25" s="46">
        <f>C25*D25</f>
        <v>6903</v>
      </c>
      <c r="F25" s="47">
        <f>1/85</f>
        <v>1.1764705882352941E-2</v>
      </c>
      <c r="G25" s="16">
        <f>E25*F25</f>
        <v>81.211764705882345</v>
      </c>
      <c r="H25" s="35" t="s">
        <v>88</v>
      </c>
    </row>
    <row r="26" spans="2:9" x14ac:dyDescent="0.25">
      <c r="B26" s="2"/>
      <c r="C26" s="2"/>
      <c r="D26" s="2"/>
      <c r="E26" s="2"/>
      <c r="F26" s="2"/>
      <c r="G26" s="2"/>
    </row>
    <row r="27" spans="2:9" ht="13" thickBot="1" x14ac:dyDescent="0.3"/>
    <row r="28" spans="2:9" ht="13" x14ac:dyDescent="0.3">
      <c r="B28" s="265" t="s">
        <v>529</v>
      </c>
      <c r="C28" s="266"/>
      <c r="D28" s="266"/>
      <c r="E28" s="266"/>
      <c r="F28" s="266"/>
      <c r="G28" s="267"/>
      <c r="H28" s="3"/>
    </row>
    <row r="29" spans="2:9" x14ac:dyDescent="0.25">
      <c r="B29" s="6" t="s">
        <v>79</v>
      </c>
      <c r="C29" s="7" t="s">
        <v>82</v>
      </c>
      <c r="D29" s="7" t="s">
        <v>83</v>
      </c>
      <c r="E29" s="7" t="s">
        <v>84</v>
      </c>
      <c r="F29" s="7" t="s">
        <v>72</v>
      </c>
      <c r="G29" s="24" t="s">
        <v>85</v>
      </c>
      <c r="H29" s="4"/>
    </row>
    <row r="30" spans="2:9" x14ac:dyDescent="0.25">
      <c r="B30" s="12" t="s">
        <v>80</v>
      </c>
      <c r="C30" s="7">
        <v>799</v>
      </c>
      <c r="D30" s="7">
        <v>4.8</v>
      </c>
      <c r="E30" s="7">
        <f>C30*D30</f>
        <v>3835.2</v>
      </c>
      <c r="F30" s="39">
        <f>1/85</f>
        <v>1.1764705882352941E-2</v>
      </c>
      <c r="G30" s="13">
        <f>E30*F30</f>
        <v>45.12</v>
      </c>
      <c r="I30" s="4"/>
    </row>
    <row r="31" spans="2:9" x14ac:dyDescent="0.25">
      <c r="B31" s="12" t="s">
        <v>81</v>
      </c>
      <c r="C31" s="7">
        <v>769</v>
      </c>
      <c r="D31" s="7">
        <v>5.2</v>
      </c>
      <c r="E31" s="7">
        <f>C31*D31</f>
        <v>3998.8</v>
      </c>
      <c r="F31" s="39">
        <f>1/85</f>
        <v>1.1764705882352941E-2</v>
      </c>
      <c r="G31" s="13">
        <f>E31*F31</f>
        <v>47.044705882352943</v>
      </c>
    </row>
    <row r="32" spans="2:9" ht="13" thickBot="1" x14ac:dyDescent="0.3">
      <c r="B32" s="14" t="s">
        <v>65</v>
      </c>
      <c r="C32" s="46">
        <v>745</v>
      </c>
      <c r="D32" s="46">
        <v>4.5</v>
      </c>
      <c r="E32" s="46">
        <f>C32*D32</f>
        <v>3352.5</v>
      </c>
      <c r="F32" s="47">
        <f>1/85</f>
        <v>1.1764705882352941E-2</v>
      </c>
      <c r="G32" s="16">
        <f>E32*F32</f>
        <v>39.441176470588232</v>
      </c>
    </row>
    <row r="34" spans="2:9" x14ac:dyDescent="0.25">
      <c r="I34" s="35" t="s">
        <v>89</v>
      </c>
    </row>
    <row r="35" spans="2:9" ht="13" thickBot="1" x14ac:dyDescent="0.3"/>
    <row r="36" spans="2:9" ht="13" x14ac:dyDescent="0.3">
      <c r="B36" s="265" t="s">
        <v>530</v>
      </c>
      <c r="C36" s="266"/>
      <c r="D36" s="266"/>
      <c r="E36" s="266"/>
      <c r="F36" s="266"/>
      <c r="G36" s="267"/>
      <c r="H36" s="3"/>
    </row>
    <row r="37" spans="2:9" x14ac:dyDescent="0.25">
      <c r="B37" s="6" t="s">
        <v>79</v>
      </c>
      <c r="C37" s="7" t="s">
        <v>82</v>
      </c>
      <c r="D37" s="7" t="s">
        <v>83</v>
      </c>
      <c r="E37" s="7" t="s">
        <v>84</v>
      </c>
      <c r="F37" s="7" t="s">
        <v>72</v>
      </c>
      <c r="G37" s="24" t="s">
        <v>85</v>
      </c>
    </row>
    <row r="38" spans="2:9" x14ac:dyDescent="0.25">
      <c r="B38" s="12" t="s">
        <v>80</v>
      </c>
      <c r="C38" s="7">
        <v>1633</v>
      </c>
      <c r="D38" s="7">
        <v>3</v>
      </c>
      <c r="E38" s="7">
        <f>C38*D38</f>
        <v>4899</v>
      </c>
      <c r="F38" s="39">
        <f>1/85</f>
        <v>1.1764705882352941E-2</v>
      </c>
      <c r="G38" s="13">
        <f>E38*F38</f>
        <v>57.635294117647057</v>
      </c>
    </row>
    <row r="39" spans="2:9" x14ac:dyDescent="0.25">
      <c r="B39" s="12" t="s">
        <v>81</v>
      </c>
      <c r="C39" s="7">
        <v>1476</v>
      </c>
      <c r="D39" s="7">
        <v>3</v>
      </c>
      <c r="E39" s="7">
        <f>C39*D39</f>
        <v>4428</v>
      </c>
      <c r="F39" s="39">
        <f>1/85</f>
        <v>1.1764705882352941E-2</v>
      </c>
      <c r="G39" s="13">
        <f>E39*F39</f>
        <v>52.094117647058823</v>
      </c>
    </row>
    <row r="40" spans="2:9" ht="13" thickBot="1" x14ac:dyDescent="0.3">
      <c r="B40" s="14" t="s">
        <v>65</v>
      </c>
      <c r="C40" s="46">
        <v>1534</v>
      </c>
      <c r="D40" s="46">
        <v>3</v>
      </c>
      <c r="E40" s="46">
        <f>C40*D40</f>
        <v>4602</v>
      </c>
      <c r="F40" s="47">
        <f>1/85</f>
        <v>1.1764705882352941E-2</v>
      </c>
      <c r="G40" s="16">
        <f>E40*F40</f>
        <v>54.141176470588235</v>
      </c>
    </row>
    <row r="43" spans="2:9" ht="13" thickBot="1" x14ac:dyDescent="0.3"/>
    <row r="44" spans="2:9" ht="13" x14ac:dyDescent="0.3">
      <c r="B44" s="274" t="s">
        <v>531</v>
      </c>
      <c r="C44" s="275"/>
    </row>
    <row r="45" spans="2:9" x14ac:dyDescent="0.25">
      <c r="B45" s="31" t="s">
        <v>533</v>
      </c>
      <c r="C45" s="13" t="s">
        <v>532</v>
      </c>
    </row>
    <row r="46" spans="2:9" x14ac:dyDescent="0.25">
      <c r="B46" s="31" t="s">
        <v>283</v>
      </c>
      <c r="C46" s="13">
        <f>H6+G17</f>
        <v>7.1797647058823522</v>
      </c>
    </row>
    <row r="47" spans="2:9" x14ac:dyDescent="0.25">
      <c r="B47" s="31" t="s">
        <v>221</v>
      </c>
      <c r="C47" s="13">
        <f>H12+G23</f>
        <v>125.74588235294117</v>
      </c>
    </row>
    <row r="48" spans="2:9" x14ac:dyDescent="0.25">
      <c r="B48" s="31" t="s">
        <v>284</v>
      </c>
      <c r="C48" s="13">
        <f>H12+G30</f>
        <v>78.649411764705889</v>
      </c>
    </row>
    <row r="49" spans="2:5" x14ac:dyDescent="0.25">
      <c r="B49" s="31" t="s">
        <v>285</v>
      </c>
      <c r="C49" s="13">
        <f>H12+G38</f>
        <v>91.164705882352933</v>
      </c>
      <c r="E49" s="4"/>
    </row>
    <row r="50" spans="2:5" x14ac:dyDescent="0.25">
      <c r="B50" s="31" t="s">
        <v>286</v>
      </c>
      <c r="C50" s="13">
        <f>H6+G18</f>
        <v>7.5672941176470587</v>
      </c>
    </row>
    <row r="51" spans="2:5" x14ac:dyDescent="0.25">
      <c r="B51" s="31" t="s">
        <v>287</v>
      </c>
      <c r="C51" s="13">
        <f>H12+G24</f>
        <v>123.82588235294118</v>
      </c>
    </row>
    <row r="52" spans="2:5" x14ac:dyDescent="0.25">
      <c r="B52" s="31" t="s">
        <v>288</v>
      </c>
      <c r="C52" s="13">
        <f>H12+G31</f>
        <v>80.574117647058827</v>
      </c>
    </row>
    <row r="53" spans="2:5" x14ac:dyDescent="0.25">
      <c r="B53" s="31" t="s">
        <v>289</v>
      </c>
      <c r="C53" s="13">
        <f>H12+G39</f>
        <v>85.623529411764707</v>
      </c>
    </row>
    <row r="54" spans="2:5" x14ac:dyDescent="0.25">
      <c r="B54" s="31" t="s">
        <v>290</v>
      </c>
      <c r="C54" s="13">
        <f>H6+G19</f>
        <v>6.8891176470588231</v>
      </c>
    </row>
    <row r="55" spans="2:5" x14ac:dyDescent="0.25">
      <c r="B55" s="31" t="s">
        <v>291</v>
      </c>
      <c r="C55" s="13">
        <f>H12+G25</f>
        <v>114.74117647058823</v>
      </c>
      <c r="E55" s="4"/>
    </row>
    <row r="56" spans="2:5" x14ac:dyDescent="0.25">
      <c r="B56" s="31" t="s">
        <v>292</v>
      </c>
      <c r="C56" s="13">
        <f>H12+G32</f>
        <v>72.970588235294116</v>
      </c>
      <c r="E56" s="4"/>
    </row>
    <row r="57" spans="2:5" ht="13" thickBot="1" x14ac:dyDescent="0.3">
      <c r="B57" s="30" t="s">
        <v>293</v>
      </c>
      <c r="C57" s="16">
        <f>H12+G40</f>
        <v>87.670588235294119</v>
      </c>
      <c r="E57" s="4"/>
    </row>
  </sheetData>
  <mergeCells count="7">
    <mergeCell ref="B15:G15"/>
    <mergeCell ref="B44:C44"/>
    <mergeCell ref="B2:H2"/>
    <mergeCell ref="B9:H9"/>
    <mergeCell ref="B21:G21"/>
    <mergeCell ref="B28:G28"/>
    <mergeCell ref="B36:G36"/>
  </mergeCells>
  <hyperlinks>
    <hyperlink ref="H23" r:id="rId1" display="https://www.bajajfinserv.in/what-is-electricity-charges-in-chennai" xr:uid="{595F5C23-80B1-4EA1-9ABE-BF4DBD55CC40}"/>
    <hyperlink ref="H24" r:id="rId2" display="https://www.bajajfinserv.in/what-is-electricity-charges-in-ahmedabad" xr:uid="{4429A97B-ECC0-4AA2-B0BB-E39C1D39105B}"/>
    <hyperlink ref="H25" r:id="rId3" display="https://housing.com/news/electricity-rates-in-delhi/" xr:uid="{A39FFA78-CE15-49A3-8CA0-D4E5CD17CB82}"/>
    <hyperlink ref="I34" r:id="rId4" display="https://www.solarsquare.in/blog/solar-panel-installation-cost/" xr:uid="{D4FB3AF9-1A98-45B2-A0D8-EF0AE8DCD319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AA297-19BA-4960-8806-8CD0B2217A6F}">
  <dimension ref="B1:J114"/>
  <sheetViews>
    <sheetView workbookViewId="0">
      <selection activeCell="D111" sqref="D111:H114"/>
    </sheetView>
  </sheetViews>
  <sheetFormatPr defaultRowHeight="12.5" x14ac:dyDescent="0.25"/>
  <cols>
    <col min="2" max="2" width="22.7265625" customWidth="1"/>
    <col min="3" max="3" width="16.6328125" customWidth="1"/>
    <col min="4" max="4" width="15.7265625" customWidth="1"/>
    <col min="5" max="5" width="20.1796875" customWidth="1"/>
    <col min="6" max="6" width="21.453125" customWidth="1"/>
    <col min="7" max="7" width="22.90625" customWidth="1"/>
    <col min="8" max="8" width="18.6328125" customWidth="1"/>
    <col min="9" max="9" width="13.81640625" customWidth="1"/>
  </cols>
  <sheetData>
    <row r="1" spans="2:8" ht="13" thickBot="1" x14ac:dyDescent="0.3"/>
    <row r="2" spans="2:8" ht="13" x14ac:dyDescent="0.3">
      <c r="B2" s="265" t="s">
        <v>90</v>
      </c>
      <c r="C2" s="266"/>
      <c r="D2" s="266"/>
      <c r="E2" s="266"/>
      <c r="F2" s="266"/>
      <c r="G2" s="266"/>
      <c r="H2" s="267"/>
    </row>
    <row r="3" spans="2:8" x14ac:dyDescent="0.25">
      <c r="B3" s="6" t="s">
        <v>69</v>
      </c>
      <c r="C3" s="7" t="s">
        <v>75</v>
      </c>
      <c r="D3" s="7" t="s">
        <v>67</v>
      </c>
      <c r="E3" s="7" t="s">
        <v>66</v>
      </c>
      <c r="F3" s="7" t="s">
        <v>73</v>
      </c>
      <c r="G3" s="7" t="s">
        <v>72</v>
      </c>
      <c r="H3" s="24" t="s">
        <v>68</v>
      </c>
    </row>
    <row r="4" spans="2:8" x14ac:dyDescent="0.25">
      <c r="B4" s="6" t="s">
        <v>70</v>
      </c>
      <c r="C4" s="7" t="s">
        <v>76</v>
      </c>
      <c r="D4" s="7">
        <v>2500</v>
      </c>
      <c r="E4" s="7">
        <v>10</v>
      </c>
      <c r="F4" s="7">
        <f>D4/E4</f>
        <v>250</v>
      </c>
      <c r="G4" s="39">
        <f>1/85</f>
        <v>1.1764705882352941E-2</v>
      </c>
      <c r="H4" s="10">
        <f>F4*G4</f>
        <v>2.9411764705882351</v>
      </c>
    </row>
    <row r="5" spans="2:8" x14ac:dyDescent="0.25">
      <c r="B5" s="6" t="s">
        <v>77</v>
      </c>
      <c r="C5" s="7" t="s">
        <v>74</v>
      </c>
      <c r="D5" s="7">
        <v>-350</v>
      </c>
      <c r="E5" s="7">
        <v>10</v>
      </c>
      <c r="F5" s="7">
        <f>D5/E5</f>
        <v>-35</v>
      </c>
      <c r="G5" s="39">
        <f>1/85</f>
        <v>1.1764705882352941E-2</v>
      </c>
      <c r="H5" s="10">
        <f t="shared" ref="H5:H11" si="0">F5*G5</f>
        <v>-0.41176470588235292</v>
      </c>
    </row>
    <row r="6" spans="2:8" ht="13.5" thickBot="1" x14ac:dyDescent="0.3">
      <c r="B6" s="40" t="s">
        <v>117</v>
      </c>
      <c r="C6" s="41"/>
      <c r="D6" s="41"/>
      <c r="E6" s="41"/>
      <c r="F6" s="41"/>
      <c r="G6" s="42"/>
      <c r="H6" s="49">
        <f>H4+H5</f>
        <v>2.5294117647058822</v>
      </c>
    </row>
    <row r="7" spans="2:8" ht="13" customHeight="1" x14ac:dyDescent="0.25">
      <c r="B7" s="43"/>
      <c r="C7" s="43"/>
      <c r="D7" s="43"/>
      <c r="E7" s="43"/>
      <c r="F7" s="43"/>
      <c r="G7" s="43"/>
      <c r="H7" s="43"/>
    </row>
    <row r="8" spans="2:8" ht="13" customHeight="1" thickBot="1" x14ac:dyDescent="0.3">
      <c r="B8" s="44"/>
      <c r="C8" s="44"/>
      <c r="D8" s="44"/>
      <c r="E8" s="44"/>
      <c r="F8" s="44"/>
      <c r="G8" s="44"/>
      <c r="H8" s="44"/>
    </row>
    <row r="9" spans="2:8" ht="12.5" customHeight="1" x14ac:dyDescent="0.3">
      <c r="B9" s="265" t="s">
        <v>91</v>
      </c>
      <c r="C9" s="266"/>
      <c r="D9" s="266"/>
      <c r="E9" s="266"/>
      <c r="F9" s="266"/>
      <c r="G9" s="266"/>
      <c r="H9" s="267"/>
    </row>
    <row r="10" spans="2:8" x14ac:dyDescent="0.25">
      <c r="B10" s="6" t="s">
        <v>71</v>
      </c>
      <c r="C10" s="7" t="s">
        <v>76</v>
      </c>
      <c r="D10" s="7">
        <v>32000</v>
      </c>
      <c r="E10" s="7">
        <v>10</v>
      </c>
      <c r="F10" s="7">
        <f>D10/E10</f>
        <v>3200</v>
      </c>
      <c r="G10" s="39">
        <f>1/85</f>
        <v>1.1764705882352941E-2</v>
      </c>
      <c r="H10" s="10">
        <f t="shared" si="0"/>
        <v>37.647058823529413</v>
      </c>
    </row>
    <row r="11" spans="2:8" x14ac:dyDescent="0.25">
      <c r="B11" s="6" t="s">
        <v>77</v>
      </c>
      <c r="C11" s="7" t="s">
        <v>74</v>
      </c>
      <c r="D11" s="7">
        <v>-3500</v>
      </c>
      <c r="E11" s="7">
        <v>10</v>
      </c>
      <c r="F11" s="7">
        <f>D11/10</f>
        <v>-350</v>
      </c>
      <c r="G11" s="39">
        <f>1/85</f>
        <v>1.1764705882352941E-2</v>
      </c>
      <c r="H11" s="10">
        <f t="shared" si="0"/>
        <v>-4.117647058823529</v>
      </c>
    </row>
    <row r="12" spans="2:8" ht="13.5" thickBot="1" x14ac:dyDescent="0.35">
      <c r="B12" s="40" t="s">
        <v>78</v>
      </c>
      <c r="C12" s="45"/>
      <c r="D12" s="45"/>
      <c r="E12" s="45"/>
      <c r="F12" s="45"/>
      <c r="G12" s="45"/>
      <c r="H12" s="50">
        <f>H10+H11</f>
        <v>33.529411764705884</v>
      </c>
    </row>
    <row r="14" spans="2:8" ht="13" thickBot="1" x14ac:dyDescent="0.3"/>
    <row r="15" spans="2:8" ht="13" x14ac:dyDescent="0.3">
      <c r="B15" s="265" t="s">
        <v>92</v>
      </c>
      <c r="C15" s="266"/>
      <c r="D15" s="266"/>
      <c r="E15" s="266"/>
      <c r="F15" s="266"/>
      <c r="G15" s="267"/>
    </row>
    <row r="16" spans="2:8" x14ac:dyDescent="0.25">
      <c r="B16" s="6" t="s">
        <v>79</v>
      </c>
      <c r="C16" s="7" t="s">
        <v>82</v>
      </c>
      <c r="D16" s="7" t="s">
        <v>83</v>
      </c>
      <c r="E16" s="7" t="s">
        <v>84</v>
      </c>
      <c r="F16" s="7" t="s">
        <v>72</v>
      </c>
      <c r="G16" s="24" t="s">
        <v>85</v>
      </c>
    </row>
    <row r="17" spans="2:10" x14ac:dyDescent="0.25">
      <c r="B17" s="12" t="s">
        <v>80</v>
      </c>
      <c r="C17" s="7">
        <v>66</v>
      </c>
      <c r="D17" s="7">
        <v>4.8</v>
      </c>
      <c r="E17" s="7">
        <f>C17*D17</f>
        <v>316.8</v>
      </c>
      <c r="F17" s="39">
        <f>1/85</f>
        <v>1.1764705882352941E-2</v>
      </c>
      <c r="G17" s="13">
        <f>E17*F17</f>
        <v>3.7270588235294118</v>
      </c>
      <c r="H17" s="4"/>
    </row>
    <row r="18" spans="2:10" x14ac:dyDescent="0.25">
      <c r="B18" s="12" t="s">
        <v>81</v>
      </c>
      <c r="C18" s="7">
        <v>66</v>
      </c>
      <c r="D18" s="7">
        <v>5.2</v>
      </c>
      <c r="E18" s="7">
        <f>C18*D18</f>
        <v>343.2</v>
      </c>
      <c r="F18" s="39">
        <f>1/85</f>
        <v>1.1764705882352941E-2</v>
      </c>
      <c r="G18" s="13">
        <f>E18*F18</f>
        <v>4.0376470588235289</v>
      </c>
    </row>
    <row r="19" spans="2:10" ht="13" thickBot="1" x14ac:dyDescent="0.3">
      <c r="B19" s="14" t="s">
        <v>65</v>
      </c>
      <c r="C19" s="46">
        <v>66</v>
      </c>
      <c r="D19" s="46">
        <v>4.5</v>
      </c>
      <c r="E19" s="46">
        <f>C19*D19</f>
        <v>297</v>
      </c>
      <c r="F19" s="47">
        <f>1/85</f>
        <v>1.1764705882352941E-2</v>
      </c>
      <c r="G19" s="16">
        <f>E19*F19</f>
        <v>3.4941176470588236</v>
      </c>
    </row>
    <row r="21" spans="2:10" ht="13" thickBot="1" x14ac:dyDescent="0.3"/>
    <row r="22" spans="2:10" ht="13" x14ac:dyDescent="0.3">
      <c r="B22" s="262" t="s">
        <v>169</v>
      </c>
      <c r="C22" s="263"/>
      <c r="D22" s="263"/>
      <c r="E22" s="263"/>
      <c r="F22" s="263"/>
      <c r="G22" s="263"/>
      <c r="H22" s="263"/>
      <c r="I22" s="264"/>
    </row>
    <row r="23" spans="2:10" x14ac:dyDescent="0.25">
      <c r="B23" s="22" t="s">
        <v>79</v>
      </c>
      <c r="C23" s="9" t="s">
        <v>134</v>
      </c>
      <c r="D23" s="19" t="s">
        <v>135</v>
      </c>
      <c r="E23" s="19" t="s">
        <v>136</v>
      </c>
      <c r="F23" s="19" t="s">
        <v>137</v>
      </c>
      <c r="G23" s="295" t="s">
        <v>138</v>
      </c>
      <c r="H23" s="295"/>
      <c r="I23" s="296"/>
    </row>
    <row r="24" spans="2:10" x14ac:dyDescent="0.25">
      <c r="B24" s="86" t="s">
        <v>80</v>
      </c>
      <c r="C24" s="9">
        <v>4.8</v>
      </c>
      <c r="D24" s="19" t="s">
        <v>139</v>
      </c>
      <c r="E24" s="87">
        <f>1/85</f>
        <v>1.1764705882352941E-2</v>
      </c>
      <c r="F24" s="21">
        <f>C24*E24</f>
        <v>5.6470588235294113E-2</v>
      </c>
      <c r="G24" s="93" t="s">
        <v>86</v>
      </c>
      <c r="H24" s="19"/>
      <c r="I24" s="20"/>
    </row>
    <row r="25" spans="2:10" x14ac:dyDescent="0.25">
      <c r="B25" s="86" t="s">
        <v>81</v>
      </c>
      <c r="C25" s="9">
        <v>5.2</v>
      </c>
      <c r="D25" s="19" t="s">
        <v>139</v>
      </c>
      <c r="E25" s="87">
        <f>1/85</f>
        <v>1.1764705882352941E-2</v>
      </c>
      <c r="F25" s="21">
        <f>C25*E25</f>
        <v>6.1176470588235297E-2</v>
      </c>
      <c r="G25" s="93" t="s">
        <v>87</v>
      </c>
      <c r="H25" s="19"/>
      <c r="I25" s="20"/>
    </row>
    <row r="26" spans="2:10" x14ac:dyDescent="0.25">
      <c r="B26" s="86" t="s">
        <v>65</v>
      </c>
      <c r="C26" s="9">
        <v>4.5</v>
      </c>
      <c r="D26" s="19" t="s">
        <v>139</v>
      </c>
      <c r="E26" s="87">
        <f>1/85</f>
        <v>1.1764705882352941E-2</v>
      </c>
      <c r="F26" s="21">
        <f>C26*E26</f>
        <v>5.2941176470588235E-2</v>
      </c>
      <c r="G26" s="93" t="s">
        <v>88</v>
      </c>
      <c r="H26" s="19"/>
      <c r="I26" s="20"/>
    </row>
    <row r="27" spans="2:10" x14ac:dyDescent="0.25">
      <c r="B27" s="18" t="s">
        <v>133</v>
      </c>
      <c r="C27" s="9">
        <v>4.42</v>
      </c>
      <c r="D27" s="19" t="s">
        <v>140</v>
      </c>
      <c r="E27" s="87">
        <f>1/33.24</f>
        <v>3.0084235860409144E-2</v>
      </c>
      <c r="F27" s="21">
        <f t="shared" ref="F27:F33" si="1">C27*E27</f>
        <v>0.13297232250300842</v>
      </c>
      <c r="G27" s="93" t="s">
        <v>141</v>
      </c>
      <c r="H27" s="19"/>
      <c r="I27" s="20"/>
    </row>
    <row r="28" spans="2:10" x14ac:dyDescent="0.25">
      <c r="B28" s="18" t="s">
        <v>149</v>
      </c>
      <c r="C28" s="21">
        <v>27.06</v>
      </c>
      <c r="D28" s="21" t="s">
        <v>146</v>
      </c>
      <c r="E28" s="87">
        <f>1/298.19</f>
        <v>3.3535665179918843E-3</v>
      </c>
      <c r="F28" s="21">
        <f t="shared" si="1"/>
        <v>9.0747509976860388E-2</v>
      </c>
      <c r="G28" s="292" t="s">
        <v>180</v>
      </c>
      <c r="H28" s="293"/>
      <c r="I28" s="294"/>
    </row>
    <row r="29" spans="2:10" x14ac:dyDescent="0.25">
      <c r="B29" s="94" t="s">
        <v>150</v>
      </c>
      <c r="C29" s="21">
        <v>7.59</v>
      </c>
      <c r="D29" s="21" t="s">
        <v>151</v>
      </c>
      <c r="E29" s="87">
        <f>1/121.23</f>
        <v>8.2487833044625914E-3</v>
      </c>
      <c r="F29" s="21">
        <f t="shared" si="1"/>
        <v>6.2608265280871073E-2</v>
      </c>
      <c r="G29" s="93" t="s">
        <v>152</v>
      </c>
      <c r="H29" s="21"/>
      <c r="I29" s="29"/>
    </row>
    <row r="30" spans="2:10" x14ac:dyDescent="0.25">
      <c r="B30" s="94" t="s">
        <v>154</v>
      </c>
      <c r="C30" s="21">
        <v>2204</v>
      </c>
      <c r="D30" s="21" t="s">
        <v>155</v>
      </c>
      <c r="E30" s="92">
        <f>1/25960</f>
        <v>3.8520801232665641E-5</v>
      </c>
      <c r="F30" s="21">
        <f t="shared" si="1"/>
        <v>8.4899845916795072E-2</v>
      </c>
      <c r="G30" s="292" t="s">
        <v>183</v>
      </c>
      <c r="H30" s="293"/>
      <c r="I30" s="294"/>
    </row>
    <row r="31" spans="2:10" x14ac:dyDescent="0.25">
      <c r="B31" s="18" t="s">
        <v>158</v>
      </c>
      <c r="C31" s="21">
        <v>10.64</v>
      </c>
      <c r="D31" s="19" t="s">
        <v>159</v>
      </c>
      <c r="E31" s="87">
        <f>1/55.78</f>
        <v>1.7927572606669058E-2</v>
      </c>
      <c r="F31" s="21">
        <f t="shared" si="1"/>
        <v>0.1907493725349588</v>
      </c>
      <c r="G31" s="292" t="s">
        <v>184</v>
      </c>
      <c r="H31" s="293"/>
      <c r="I31" s="294"/>
    </row>
    <row r="32" spans="2:10" x14ac:dyDescent="0.25">
      <c r="B32" s="18" t="s">
        <v>164</v>
      </c>
      <c r="C32" s="21">
        <v>1444.7</v>
      </c>
      <c r="D32" s="19" t="s">
        <v>161</v>
      </c>
      <c r="E32" s="92">
        <f>1/16520.4</f>
        <v>6.053122200430982E-5</v>
      </c>
      <c r="F32" s="21">
        <f t="shared" si="1"/>
        <v>8.7449456429626399E-2</v>
      </c>
      <c r="G32" s="298" t="s">
        <v>185</v>
      </c>
      <c r="H32" s="299"/>
      <c r="I32" s="299"/>
      <c r="J32" s="299"/>
    </row>
    <row r="33" spans="2:9" ht="13" thickBot="1" x14ac:dyDescent="0.3">
      <c r="B33" s="95" t="s">
        <v>166</v>
      </c>
      <c r="C33" s="60">
        <v>120</v>
      </c>
      <c r="D33" s="60" t="s">
        <v>167</v>
      </c>
      <c r="E33" s="96">
        <f>1/2103</f>
        <v>4.7551117451260106E-4</v>
      </c>
      <c r="F33" s="60">
        <f t="shared" si="1"/>
        <v>5.7061340941512127E-2</v>
      </c>
      <c r="G33" s="300" t="s">
        <v>186</v>
      </c>
      <c r="H33" s="301"/>
      <c r="I33" s="302"/>
    </row>
    <row r="34" spans="2:9" x14ac:dyDescent="0.25">
      <c r="B34" s="4"/>
      <c r="C34" s="5"/>
      <c r="D34" s="5"/>
      <c r="E34" s="97"/>
      <c r="F34" s="5"/>
      <c r="G34" s="35"/>
      <c r="H34" s="5"/>
      <c r="I34" s="5"/>
    </row>
    <row r="35" spans="2:9" ht="13" x14ac:dyDescent="0.3">
      <c r="B35" s="297" t="s">
        <v>170</v>
      </c>
      <c r="C35" s="297"/>
      <c r="D35" s="297"/>
      <c r="E35" s="297"/>
      <c r="F35" s="297"/>
      <c r="G35" s="297"/>
      <c r="H35" s="297"/>
      <c r="I35" s="297"/>
    </row>
    <row r="36" spans="2:9" x14ac:dyDescent="0.25">
      <c r="B36" s="22" t="s">
        <v>79</v>
      </c>
      <c r="C36" s="9" t="s">
        <v>134</v>
      </c>
      <c r="D36" s="19" t="s">
        <v>135</v>
      </c>
      <c r="E36" s="19" t="s">
        <v>136</v>
      </c>
      <c r="F36" s="19" t="s">
        <v>137</v>
      </c>
      <c r="G36" s="295" t="s">
        <v>138</v>
      </c>
      <c r="H36" s="295"/>
      <c r="I36" s="296"/>
    </row>
    <row r="37" spans="2:9" x14ac:dyDescent="0.25">
      <c r="B37" s="86" t="s">
        <v>80</v>
      </c>
      <c r="C37" s="9">
        <v>3</v>
      </c>
      <c r="D37" s="19" t="s">
        <v>139</v>
      </c>
      <c r="E37" s="87">
        <f>1/85</f>
        <v>1.1764705882352941E-2</v>
      </c>
      <c r="F37" s="21">
        <f>C37*E37</f>
        <v>3.5294117647058823E-2</v>
      </c>
      <c r="G37" s="276" t="s">
        <v>187</v>
      </c>
      <c r="H37" s="277"/>
      <c r="I37" s="278"/>
    </row>
    <row r="38" spans="2:9" x14ac:dyDescent="0.25">
      <c r="B38" s="86" t="s">
        <v>81</v>
      </c>
      <c r="C38" s="9">
        <v>3</v>
      </c>
      <c r="D38" s="19" t="s">
        <v>139</v>
      </c>
      <c r="E38" s="87">
        <f>1/85</f>
        <v>1.1764705882352941E-2</v>
      </c>
      <c r="F38" s="21">
        <f t="shared" ref="F38:F46" si="2">C38*E38</f>
        <v>3.5294117647058823E-2</v>
      </c>
      <c r="G38" s="279"/>
      <c r="H38" s="280"/>
      <c r="I38" s="281"/>
    </row>
    <row r="39" spans="2:9" x14ac:dyDescent="0.25">
      <c r="B39" s="86" t="s">
        <v>65</v>
      </c>
      <c r="C39" s="9">
        <v>3</v>
      </c>
      <c r="D39" s="19" t="s">
        <v>139</v>
      </c>
      <c r="E39" s="87">
        <f>1/85</f>
        <v>1.1764705882352941E-2</v>
      </c>
      <c r="F39" s="21">
        <f t="shared" si="2"/>
        <v>3.5294117647058823E-2</v>
      </c>
      <c r="G39" s="282"/>
      <c r="H39" s="283"/>
      <c r="I39" s="284"/>
    </row>
    <row r="40" spans="2:9" x14ac:dyDescent="0.25">
      <c r="B40" s="18" t="s">
        <v>133</v>
      </c>
      <c r="C40" s="9">
        <v>2.5</v>
      </c>
      <c r="D40" s="19" t="s">
        <v>140</v>
      </c>
      <c r="E40" s="87">
        <f>1/33.24</f>
        <v>3.0084235860409144E-2</v>
      </c>
      <c r="F40" s="21">
        <f t="shared" si="2"/>
        <v>7.5210589651022855E-2</v>
      </c>
      <c r="G40" s="292" t="s">
        <v>179</v>
      </c>
      <c r="H40" s="293"/>
      <c r="I40" s="294"/>
    </row>
    <row r="41" spans="2:9" x14ac:dyDescent="0.25">
      <c r="B41" s="18" t="s">
        <v>149</v>
      </c>
      <c r="C41" s="21">
        <v>11.86</v>
      </c>
      <c r="D41" s="21" t="s">
        <v>146</v>
      </c>
      <c r="E41" s="87">
        <f>1/298.19</f>
        <v>3.3535665179918843E-3</v>
      </c>
      <c r="F41" s="21">
        <f t="shared" si="2"/>
        <v>3.9773298903383748E-2</v>
      </c>
      <c r="G41" s="292" t="s">
        <v>181</v>
      </c>
      <c r="H41" s="293"/>
      <c r="I41" s="294"/>
    </row>
    <row r="42" spans="2:9" x14ac:dyDescent="0.25">
      <c r="B42" s="94" t="s">
        <v>150</v>
      </c>
      <c r="C42" s="21">
        <v>5.5</v>
      </c>
      <c r="D42" s="21" t="s">
        <v>151</v>
      </c>
      <c r="E42" s="87">
        <f>1/121.23</f>
        <v>8.2487833044625914E-3</v>
      </c>
      <c r="F42" s="21">
        <f t="shared" si="2"/>
        <v>4.536830817454425E-2</v>
      </c>
      <c r="G42" s="292" t="s">
        <v>182</v>
      </c>
      <c r="H42" s="293"/>
      <c r="I42" s="294"/>
    </row>
    <row r="43" spans="2:9" x14ac:dyDescent="0.25">
      <c r="B43" s="94" t="s">
        <v>154</v>
      </c>
      <c r="C43" s="21">
        <v>1327</v>
      </c>
      <c r="D43" s="21" t="s">
        <v>155</v>
      </c>
      <c r="E43" s="92">
        <f>1/25960</f>
        <v>3.8520801232665641E-5</v>
      </c>
      <c r="F43" s="21">
        <f t="shared" si="2"/>
        <v>5.1117103235747308E-2</v>
      </c>
      <c r="G43" s="93" t="s">
        <v>156</v>
      </c>
      <c r="H43" s="21"/>
      <c r="I43" s="29"/>
    </row>
    <row r="44" spans="2:9" x14ac:dyDescent="0.25">
      <c r="B44" s="18" t="s">
        <v>158</v>
      </c>
      <c r="C44" s="21">
        <v>5.3</v>
      </c>
      <c r="D44" s="19" t="s">
        <v>159</v>
      </c>
      <c r="E44" s="87">
        <f>1/55.78</f>
        <v>1.7927572606669058E-2</v>
      </c>
      <c r="F44" s="21">
        <f t="shared" si="2"/>
        <v>9.5016134815346001E-2</v>
      </c>
      <c r="G44" s="93" t="s">
        <v>160</v>
      </c>
      <c r="H44" s="19"/>
      <c r="I44" s="20"/>
    </row>
    <row r="45" spans="2:9" x14ac:dyDescent="0.25">
      <c r="B45" s="18" t="s">
        <v>164</v>
      </c>
      <c r="C45" s="21">
        <v>1012.37</v>
      </c>
      <c r="D45" s="19" t="s">
        <v>161</v>
      </c>
      <c r="E45" s="92">
        <f>1/16520.4</f>
        <v>6.053122200430982E-5</v>
      </c>
      <c r="F45" s="21">
        <f t="shared" si="2"/>
        <v>6.1279993220503134E-2</v>
      </c>
      <c r="G45" s="93" t="s">
        <v>163</v>
      </c>
      <c r="H45" s="19"/>
      <c r="I45" s="20"/>
    </row>
    <row r="46" spans="2:9" ht="13" thickBot="1" x14ac:dyDescent="0.3">
      <c r="B46" s="95" t="s">
        <v>166</v>
      </c>
      <c r="C46" s="60">
        <v>85</v>
      </c>
      <c r="D46" s="60" t="s">
        <v>167</v>
      </c>
      <c r="E46" s="96">
        <f>1/2103</f>
        <v>4.7551117451260106E-4</v>
      </c>
      <c r="F46" s="60">
        <f t="shared" si="2"/>
        <v>4.0418449833571089E-2</v>
      </c>
      <c r="G46" s="98" t="s">
        <v>168</v>
      </c>
      <c r="H46" s="60"/>
      <c r="I46" s="61"/>
    </row>
    <row r="47" spans="2:9" x14ac:dyDescent="0.25">
      <c r="B47" s="4"/>
      <c r="C47" s="5"/>
      <c r="D47" s="5"/>
      <c r="E47" s="97"/>
      <c r="F47" s="5"/>
      <c r="G47" s="35"/>
      <c r="H47" s="5"/>
      <c r="I47" s="5"/>
    </row>
    <row r="48" spans="2:9" x14ac:dyDescent="0.25">
      <c r="B48" s="4"/>
      <c r="C48" s="5"/>
      <c r="D48" s="5"/>
      <c r="E48" s="97"/>
      <c r="F48" s="5"/>
      <c r="G48" s="35"/>
      <c r="H48" s="5"/>
      <c r="I48" s="5"/>
    </row>
    <row r="49" spans="2:9" x14ac:dyDescent="0.25">
      <c r="B49" s="4"/>
      <c r="C49" s="5"/>
      <c r="D49" s="5"/>
      <c r="E49" s="97"/>
      <c r="F49" s="5"/>
      <c r="G49" s="35"/>
      <c r="H49" s="5"/>
      <c r="I49" s="5"/>
    </row>
    <row r="50" spans="2:9" x14ac:dyDescent="0.25">
      <c r="B50" s="4"/>
      <c r="C50" s="5"/>
      <c r="D50" s="5"/>
      <c r="E50" s="97"/>
      <c r="F50" s="5"/>
      <c r="G50" s="35"/>
      <c r="H50" s="5"/>
      <c r="I50" s="5"/>
    </row>
    <row r="51" spans="2:9" ht="13" thickBot="1" x14ac:dyDescent="0.3"/>
    <row r="52" spans="2:9" ht="13" x14ac:dyDescent="0.3">
      <c r="B52" s="268" t="s">
        <v>142</v>
      </c>
      <c r="C52" s="269"/>
      <c r="D52" s="269"/>
      <c r="E52" s="269"/>
      <c r="F52" s="269"/>
      <c r="G52" s="269"/>
      <c r="H52" s="270"/>
    </row>
    <row r="53" spans="2:9" ht="13" x14ac:dyDescent="0.3">
      <c r="B53" s="76" t="s">
        <v>79</v>
      </c>
      <c r="C53" s="63" t="s">
        <v>128</v>
      </c>
      <c r="D53" s="63" t="s">
        <v>132</v>
      </c>
      <c r="E53" s="74" t="s">
        <v>82</v>
      </c>
      <c r="F53" s="74" t="s">
        <v>143</v>
      </c>
      <c r="G53" s="74" t="s">
        <v>131</v>
      </c>
      <c r="H53" s="88" t="s">
        <v>144</v>
      </c>
    </row>
    <row r="54" spans="2:9" x14ac:dyDescent="0.25">
      <c r="B54" s="285" t="s">
        <v>171</v>
      </c>
      <c r="C54" s="21" t="s">
        <v>402</v>
      </c>
      <c r="D54" s="19" t="s">
        <v>366</v>
      </c>
      <c r="E54" s="11">
        <v>4948</v>
      </c>
      <c r="F54" s="9">
        <f>E54*F24</f>
        <v>279.41647058823526</v>
      </c>
      <c r="G54" s="21">
        <f>H12</f>
        <v>33.529411764705884</v>
      </c>
      <c r="H54" s="89">
        <f t="shared" ref="H54:H57" si="3">ROUND((F54+G54),0)</f>
        <v>313</v>
      </c>
    </row>
    <row r="55" spans="2:9" x14ac:dyDescent="0.25">
      <c r="B55" s="285"/>
      <c r="C55" s="21" t="s">
        <v>403</v>
      </c>
      <c r="D55" s="19" t="s">
        <v>367</v>
      </c>
      <c r="E55" s="11">
        <v>4948</v>
      </c>
      <c r="F55" s="9">
        <f>E55*F37</f>
        <v>174.63529411764705</v>
      </c>
      <c r="G55" s="21">
        <f>H12</f>
        <v>33.529411764705884</v>
      </c>
      <c r="H55" s="89">
        <f t="shared" si="3"/>
        <v>208</v>
      </c>
    </row>
    <row r="56" spans="2:9" x14ac:dyDescent="0.25">
      <c r="B56" s="286"/>
      <c r="C56" s="21" t="s">
        <v>220</v>
      </c>
      <c r="D56" s="19" t="s">
        <v>368</v>
      </c>
      <c r="E56" s="11">
        <v>4154</v>
      </c>
      <c r="F56" s="9">
        <f>E56*F25</f>
        <v>254.12705882352944</v>
      </c>
      <c r="G56" s="21">
        <f>H12</f>
        <v>33.529411764705884</v>
      </c>
      <c r="H56" s="89">
        <f t="shared" si="3"/>
        <v>288</v>
      </c>
    </row>
    <row r="57" spans="2:9" ht="13" thickBot="1" x14ac:dyDescent="0.3">
      <c r="B57" s="287"/>
      <c r="C57" s="70" t="s">
        <v>219</v>
      </c>
      <c r="D57" s="19" t="s">
        <v>369</v>
      </c>
      <c r="E57" s="73">
        <v>3496</v>
      </c>
      <c r="F57" s="60">
        <f>E57*F26</f>
        <v>185.08235294117648</v>
      </c>
      <c r="G57" s="70">
        <f>H12</f>
        <v>33.529411764705884</v>
      </c>
      <c r="H57" s="90">
        <f t="shared" si="3"/>
        <v>219</v>
      </c>
    </row>
    <row r="58" spans="2:9" x14ac:dyDescent="0.25">
      <c r="B58" s="100"/>
      <c r="C58" s="17"/>
      <c r="D58" s="4"/>
      <c r="E58" s="99"/>
      <c r="F58" s="5"/>
      <c r="G58" s="17"/>
      <c r="H58" s="101"/>
    </row>
    <row r="59" spans="2:9" x14ac:dyDescent="0.25">
      <c r="B59" s="100"/>
      <c r="C59" s="17"/>
      <c r="D59" s="4"/>
      <c r="E59" s="99"/>
      <c r="F59" s="5"/>
      <c r="G59" s="17"/>
      <c r="H59" s="101"/>
    </row>
    <row r="60" spans="2:9" ht="13" thickBot="1" x14ac:dyDescent="0.3">
      <c r="H60" s="17"/>
    </row>
    <row r="61" spans="2:9" ht="13" x14ac:dyDescent="0.3">
      <c r="B61" s="268" t="s">
        <v>145</v>
      </c>
      <c r="C61" s="269"/>
      <c r="D61" s="269"/>
      <c r="E61" s="269"/>
      <c r="F61" s="269"/>
      <c r="G61" s="269"/>
      <c r="H61" s="270"/>
    </row>
    <row r="62" spans="2:9" ht="13" x14ac:dyDescent="0.3">
      <c r="B62" s="76" t="s">
        <v>79</v>
      </c>
      <c r="C62" s="63" t="s">
        <v>128</v>
      </c>
      <c r="D62" s="63" t="s">
        <v>132</v>
      </c>
      <c r="E62" s="74" t="s">
        <v>82</v>
      </c>
      <c r="F62" s="74" t="s">
        <v>143</v>
      </c>
      <c r="G62" s="74" t="s">
        <v>131</v>
      </c>
      <c r="H62" s="88" t="s">
        <v>144</v>
      </c>
    </row>
    <row r="63" spans="2:9" x14ac:dyDescent="0.25">
      <c r="B63" s="285" t="s">
        <v>178</v>
      </c>
      <c r="C63" s="21" t="s">
        <v>402</v>
      </c>
      <c r="D63" s="19" t="s">
        <v>404</v>
      </c>
      <c r="E63" s="11">
        <v>4887</v>
      </c>
      <c r="F63" s="9">
        <f>E63*F27</f>
        <v>649.83574007220216</v>
      </c>
      <c r="G63" s="21">
        <f>H12</f>
        <v>33.529411764705884</v>
      </c>
      <c r="H63" s="89">
        <f t="shared" ref="H63:H66" si="4">ROUND((F63+G63),0)</f>
        <v>683</v>
      </c>
    </row>
    <row r="64" spans="2:9" x14ac:dyDescent="0.25">
      <c r="B64" s="285"/>
      <c r="C64" s="21" t="s">
        <v>403</v>
      </c>
      <c r="D64" s="19" t="s">
        <v>405</v>
      </c>
      <c r="E64" s="11">
        <v>4887</v>
      </c>
      <c r="F64" s="9">
        <f>E64*F40</f>
        <v>367.55415162454869</v>
      </c>
      <c r="G64" s="21">
        <f>H12</f>
        <v>33.529411764705884</v>
      </c>
      <c r="H64" s="89">
        <f t="shared" si="4"/>
        <v>401</v>
      </c>
    </row>
    <row r="65" spans="2:8" x14ac:dyDescent="0.25">
      <c r="B65" s="286"/>
      <c r="C65" s="21" t="s">
        <v>220</v>
      </c>
      <c r="D65" s="19" t="s">
        <v>406</v>
      </c>
      <c r="E65" s="11">
        <v>4096</v>
      </c>
      <c r="F65" s="9">
        <f>E65*F27</f>
        <v>544.65463297232247</v>
      </c>
      <c r="G65" s="21">
        <f>H12</f>
        <v>33.529411764705884</v>
      </c>
      <c r="H65" s="89">
        <f t="shared" si="4"/>
        <v>578</v>
      </c>
    </row>
    <row r="66" spans="2:8" ht="13" thickBot="1" x14ac:dyDescent="0.3">
      <c r="B66" s="287"/>
      <c r="C66" s="70" t="s">
        <v>219</v>
      </c>
      <c r="D66" s="19" t="s">
        <v>407</v>
      </c>
      <c r="E66" s="73">
        <v>3441</v>
      </c>
      <c r="F66" s="60">
        <f>E66*F27</f>
        <v>457.55776173285199</v>
      </c>
      <c r="G66" s="70">
        <f>H12</f>
        <v>33.529411764705884</v>
      </c>
      <c r="H66" s="90">
        <f t="shared" si="4"/>
        <v>491</v>
      </c>
    </row>
    <row r="68" spans="2:8" ht="13" thickBot="1" x14ac:dyDescent="0.3"/>
    <row r="69" spans="2:8" ht="13" x14ac:dyDescent="0.3">
      <c r="B69" s="268" t="s">
        <v>147</v>
      </c>
      <c r="C69" s="269"/>
      <c r="D69" s="269"/>
      <c r="E69" s="269"/>
      <c r="F69" s="269"/>
      <c r="G69" s="269"/>
      <c r="H69" s="270"/>
    </row>
    <row r="70" spans="2:8" ht="13" x14ac:dyDescent="0.3">
      <c r="B70" s="76" t="s">
        <v>79</v>
      </c>
      <c r="C70" s="63" t="s">
        <v>128</v>
      </c>
      <c r="D70" s="63" t="s">
        <v>132</v>
      </c>
      <c r="E70" s="74" t="s">
        <v>82</v>
      </c>
      <c r="F70" s="74" t="s">
        <v>143</v>
      </c>
      <c r="G70" s="74" t="s">
        <v>131</v>
      </c>
      <c r="H70" s="88" t="s">
        <v>144</v>
      </c>
    </row>
    <row r="71" spans="2:8" ht="12.5" customHeight="1" x14ac:dyDescent="0.25">
      <c r="B71" s="288" t="s">
        <v>177</v>
      </c>
      <c r="C71" s="21" t="s">
        <v>402</v>
      </c>
      <c r="D71" s="19" t="s">
        <v>408</v>
      </c>
      <c r="E71" s="11">
        <v>4269</v>
      </c>
      <c r="F71" s="9">
        <f>E71*F28</f>
        <v>387.40112009121702</v>
      </c>
      <c r="G71" s="21">
        <f>H12</f>
        <v>33.529411764705884</v>
      </c>
      <c r="H71" s="89">
        <f t="shared" ref="H71:H74" si="5">ROUND((F71+G71),0)</f>
        <v>421</v>
      </c>
    </row>
    <row r="72" spans="2:8" ht="12.5" customHeight="1" x14ac:dyDescent="0.25">
      <c r="B72" s="289"/>
      <c r="C72" s="21" t="s">
        <v>403</v>
      </c>
      <c r="D72" s="19" t="s">
        <v>409</v>
      </c>
      <c r="E72" s="11">
        <v>4269</v>
      </c>
      <c r="F72" s="9">
        <f>E72*F41</f>
        <v>169.79221301854523</v>
      </c>
      <c r="G72" s="21">
        <f>H12</f>
        <v>33.529411764705884</v>
      </c>
      <c r="H72" s="89">
        <f t="shared" si="5"/>
        <v>203</v>
      </c>
    </row>
    <row r="73" spans="2:8" x14ac:dyDescent="0.25">
      <c r="B73" s="290"/>
      <c r="C73" s="21" t="s">
        <v>220</v>
      </c>
      <c r="D73" s="19" t="s">
        <v>410</v>
      </c>
      <c r="E73" s="11">
        <v>3476</v>
      </c>
      <c r="F73" s="9">
        <f>E73*F28</f>
        <v>315.43834467956668</v>
      </c>
      <c r="G73" s="21">
        <f>H12</f>
        <v>33.529411764705884</v>
      </c>
      <c r="H73" s="89">
        <f t="shared" si="5"/>
        <v>349</v>
      </c>
    </row>
    <row r="74" spans="2:8" ht="13" thickBot="1" x14ac:dyDescent="0.3">
      <c r="B74" s="291"/>
      <c r="C74" s="70" t="s">
        <v>219</v>
      </c>
      <c r="D74" s="19" t="s">
        <v>411</v>
      </c>
      <c r="E74" s="73">
        <v>2824</v>
      </c>
      <c r="F74" s="60">
        <f>E74*F28</f>
        <v>256.27096817465372</v>
      </c>
      <c r="G74" s="70">
        <f>H12</f>
        <v>33.529411764705884</v>
      </c>
      <c r="H74" s="90">
        <f t="shared" si="5"/>
        <v>290</v>
      </c>
    </row>
    <row r="76" spans="2:8" ht="13" thickBot="1" x14ac:dyDescent="0.3"/>
    <row r="77" spans="2:8" ht="13" x14ac:dyDescent="0.3">
      <c r="B77" s="268" t="s">
        <v>148</v>
      </c>
      <c r="C77" s="269"/>
      <c r="D77" s="269"/>
      <c r="E77" s="269"/>
      <c r="F77" s="269"/>
      <c r="G77" s="269"/>
      <c r="H77" s="270"/>
    </row>
    <row r="78" spans="2:8" ht="13" x14ac:dyDescent="0.3">
      <c r="B78" s="76" t="s">
        <v>79</v>
      </c>
      <c r="C78" s="63" t="s">
        <v>128</v>
      </c>
      <c r="D78" s="63" t="s">
        <v>132</v>
      </c>
      <c r="E78" s="74" t="s">
        <v>82</v>
      </c>
      <c r="F78" s="74" t="s">
        <v>143</v>
      </c>
      <c r="G78" s="74" t="s">
        <v>131</v>
      </c>
      <c r="H78" s="88" t="s">
        <v>144</v>
      </c>
    </row>
    <row r="79" spans="2:8" x14ac:dyDescent="0.25">
      <c r="B79" s="285" t="s">
        <v>176</v>
      </c>
      <c r="C79" s="21" t="s">
        <v>402</v>
      </c>
      <c r="D79" s="19" t="s">
        <v>415</v>
      </c>
      <c r="E79" s="11">
        <v>3972</v>
      </c>
      <c r="F79" s="9">
        <f>E79*F29</f>
        <v>248.68002969561991</v>
      </c>
      <c r="G79" s="21">
        <f>H12</f>
        <v>33.529411764705884</v>
      </c>
      <c r="H79" s="89">
        <f t="shared" ref="H79:H82" si="6">ROUND((F79+G79),0)</f>
        <v>282</v>
      </c>
    </row>
    <row r="80" spans="2:8" x14ac:dyDescent="0.25">
      <c r="B80" s="285"/>
      <c r="C80" s="21" t="s">
        <v>403</v>
      </c>
      <c r="D80" s="19" t="s">
        <v>412</v>
      </c>
      <c r="E80" s="11">
        <v>3972</v>
      </c>
      <c r="F80" s="9">
        <f>E80*F42</f>
        <v>180.20292006928977</v>
      </c>
      <c r="G80" s="21">
        <f>H12</f>
        <v>33.529411764705884</v>
      </c>
      <c r="H80" s="89">
        <f t="shared" si="6"/>
        <v>214</v>
      </c>
    </row>
    <row r="81" spans="2:8" x14ac:dyDescent="0.25">
      <c r="B81" s="286"/>
      <c r="C81" s="21" t="s">
        <v>220</v>
      </c>
      <c r="D81" s="19" t="s">
        <v>413</v>
      </c>
      <c r="E81" s="11">
        <v>3278</v>
      </c>
      <c r="F81" s="9">
        <f>E81*F29</f>
        <v>205.22989359069538</v>
      </c>
      <c r="G81" s="21">
        <f>H12</f>
        <v>33.529411764705884</v>
      </c>
      <c r="H81" s="89">
        <f t="shared" si="6"/>
        <v>239</v>
      </c>
    </row>
    <row r="82" spans="2:8" ht="13" thickBot="1" x14ac:dyDescent="0.3">
      <c r="B82" s="287"/>
      <c r="C82" s="70" t="s">
        <v>219</v>
      </c>
      <c r="D82" s="19" t="s">
        <v>414</v>
      </c>
      <c r="E82" s="73">
        <v>2738</v>
      </c>
      <c r="F82" s="9">
        <f>E82*F29</f>
        <v>171.42143033902499</v>
      </c>
      <c r="G82" s="70">
        <f>H12</f>
        <v>33.529411764705884</v>
      </c>
      <c r="H82" s="90">
        <f t="shared" si="6"/>
        <v>205</v>
      </c>
    </row>
    <row r="84" spans="2:8" ht="13" thickBot="1" x14ac:dyDescent="0.3"/>
    <row r="85" spans="2:8" ht="13" x14ac:dyDescent="0.3">
      <c r="B85" s="268" t="s">
        <v>153</v>
      </c>
      <c r="C85" s="269"/>
      <c r="D85" s="269"/>
      <c r="E85" s="269"/>
      <c r="F85" s="269"/>
      <c r="G85" s="269"/>
      <c r="H85" s="270"/>
    </row>
    <row r="86" spans="2:8" ht="13" x14ac:dyDescent="0.3">
      <c r="B86" s="76" t="s">
        <v>79</v>
      </c>
      <c r="C86" s="63" t="s">
        <v>128</v>
      </c>
      <c r="D86" s="63" t="s">
        <v>132</v>
      </c>
      <c r="E86" s="74" t="s">
        <v>82</v>
      </c>
      <c r="F86" s="74" t="s">
        <v>143</v>
      </c>
      <c r="G86" s="74" t="s">
        <v>131</v>
      </c>
      <c r="H86" s="88" t="s">
        <v>144</v>
      </c>
    </row>
    <row r="87" spans="2:8" x14ac:dyDescent="0.25">
      <c r="B87" s="285" t="s">
        <v>175</v>
      </c>
      <c r="C87" s="21" t="s">
        <v>402</v>
      </c>
      <c r="D87" s="19" t="s">
        <v>416</v>
      </c>
      <c r="E87" s="11">
        <v>4634</v>
      </c>
      <c r="F87" s="9">
        <f>E87*F30</f>
        <v>393.42588597842837</v>
      </c>
      <c r="G87" s="21">
        <f>H12</f>
        <v>33.529411764705884</v>
      </c>
      <c r="H87" s="89">
        <f t="shared" ref="H87:H90" si="7">ROUND((F87+G87),0)</f>
        <v>427</v>
      </c>
    </row>
    <row r="88" spans="2:8" x14ac:dyDescent="0.25">
      <c r="B88" s="285"/>
      <c r="C88" s="21" t="s">
        <v>403</v>
      </c>
      <c r="D88" s="19" t="s">
        <v>417</v>
      </c>
      <c r="E88" s="11">
        <v>4634</v>
      </c>
      <c r="F88" s="9">
        <f>E88*F43</f>
        <v>236.87665639445302</v>
      </c>
      <c r="G88" s="21">
        <f>H12</f>
        <v>33.529411764705884</v>
      </c>
      <c r="H88" s="89">
        <f t="shared" si="7"/>
        <v>270</v>
      </c>
    </row>
    <row r="89" spans="2:8" x14ac:dyDescent="0.25">
      <c r="B89" s="286"/>
      <c r="C89" s="21" t="s">
        <v>220</v>
      </c>
      <c r="D89" s="19" t="s">
        <v>418</v>
      </c>
      <c r="E89" s="11">
        <v>3843</v>
      </c>
      <c r="F89" s="9">
        <f>E89*F30</f>
        <v>326.27010785824348</v>
      </c>
      <c r="G89" s="21">
        <f>H12</f>
        <v>33.529411764705884</v>
      </c>
      <c r="H89" s="89">
        <f t="shared" si="7"/>
        <v>360</v>
      </c>
    </row>
    <row r="90" spans="2:8" ht="13" thickBot="1" x14ac:dyDescent="0.3">
      <c r="B90" s="287"/>
      <c r="C90" s="70" t="s">
        <v>219</v>
      </c>
      <c r="D90" s="19" t="s">
        <v>419</v>
      </c>
      <c r="E90" s="73">
        <v>3189</v>
      </c>
      <c r="F90" s="9">
        <f>E90*F30</f>
        <v>270.74560862865951</v>
      </c>
      <c r="G90" s="70">
        <f>H12</f>
        <v>33.529411764705884</v>
      </c>
      <c r="H90" s="90">
        <f t="shared" si="7"/>
        <v>304</v>
      </c>
    </row>
    <row r="92" spans="2:8" ht="13" thickBot="1" x14ac:dyDescent="0.3"/>
    <row r="93" spans="2:8" ht="13" x14ac:dyDescent="0.3">
      <c r="B93" s="268" t="s">
        <v>157</v>
      </c>
      <c r="C93" s="269"/>
      <c r="D93" s="269"/>
      <c r="E93" s="269"/>
      <c r="F93" s="269"/>
      <c r="G93" s="269"/>
      <c r="H93" s="270"/>
    </row>
    <row r="94" spans="2:8" ht="13" x14ac:dyDescent="0.3">
      <c r="B94" s="76" t="s">
        <v>79</v>
      </c>
      <c r="C94" s="63" t="s">
        <v>128</v>
      </c>
      <c r="D94" s="63" t="s">
        <v>132</v>
      </c>
      <c r="E94" s="74" t="s">
        <v>82</v>
      </c>
      <c r="F94" s="74" t="s">
        <v>143</v>
      </c>
      <c r="G94" s="74" t="s">
        <v>131</v>
      </c>
      <c r="H94" s="88" t="s">
        <v>144</v>
      </c>
    </row>
    <row r="95" spans="2:8" x14ac:dyDescent="0.25">
      <c r="B95" s="285" t="s">
        <v>174</v>
      </c>
      <c r="C95" s="21" t="s">
        <v>402</v>
      </c>
      <c r="D95" s="19" t="s">
        <v>420</v>
      </c>
      <c r="E95" s="11">
        <v>4409</v>
      </c>
      <c r="F95" s="9">
        <f>E95*F31</f>
        <v>841.01398350663339</v>
      </c>
      <c r="G95" s="21">
        <f>H12</f>
        <v>33.529411764705884</v>
      </c>
      <c r="H95" s="89">
        <f t="shared" ref="H95:H98" si="8">ROUND((F95+G95),0)</f>
        <v>875</v>
      </c>
    </row>
    <row r="96" spans="2:8" x14ac:dyDescent="0.25">
      <c r="B96" s="285"/>
      <c r="C96" s="21" t="s">
        <v>403</v>
      </c>
      <c r="D96" s="19" t="s">
        <v>421</v>
      </c>
      <c r="E96" s="11">
        <v>4409</v>
      </c>
      <c r="F96" s="9">
        <f>E96*F44</f>
        <v>418.92613840086051</v>
      </c>
      <c r="G96" s="21">
        <f>H12</f>
        <v>33.529411764705884</v>
      </c>
      <c r="H96" s="89">
        <f t="shared" si="8"/>
        <v>452</v>
      </c>
    </row>
    <row r="97" spans="2:8" x14ac:dyDescent="0.25">
      <c r="B97" s="286"/>
      <c r="C97" s="21" t="s">
        <v>220</v>
      </c>
      <c r="D97" s="19" t="s">
        <v>422</v>
      </c>
      <c r="E97" s="11">
        <v>3616</v>
      </c>
      <c r="F97" s="9">
        <f>E97*F31</f>
        <v>689.74973108641097</v>
      </c>
      <c r="G97" s="21">
        <f>H12</f>
        <v>33.529411764705884</v>
      </c>
      <c r="H97" s="89">
        <f t="shared" si="8"/>
        <v>723</v>
      </c>
    </row>
    <row r="98" spans="2:8" ht="13" thickBot="1" x14ac:dyDescent="0.3">
      <c r="B98" s="287"/>
      <c r="C98" s="70" t="s">
        <v>219</v>
      </c>
      <c r="D98" s="19" t="s">
        <v>423</v>
      </c>
      <c r="E98" s="73">
        <v>2960</v>
      </c>
      <c r="F98" s="9">
        <f>E98*F31</f>
        <v>564.61814270347804</v>
      </c>
      <c r="G98" s="70">
        <f>H12</f>
        <v>33.529411764705884</v>
      </c>
      <c r="H98" s="90">
        <f t="shared" si="8"/>
        <v>598</v>
      </c>
    </row>
    <row r="100" spans="2:8" ht="13" thickBot="1" x14ac:dyDescent="0.3"/>
    <row r="101" spans="2:8" ht="13" x14ac:dyDescent="0.3">
      <c r="B101" s="268" t="s">
        <v>162</v>
      </c>
      <c r="C101" s="269"/>
      <c r="D101" s="269"/>
      <c r="E101" s="269"/>
      <c r="F101" s="269"/>
      <c r="G101" s="269"/>
      <c r="H101" s="270"/>
    </row>
    <row r="102" spans="2:8" ht="13" x14ac:dyDescent="0.3">
      <c r="B102" s="76" t="s">
        <v>79</v>
      </c>
      <c r="C102" s="63" t="s">
        <v>128</v>
      </c>
      <c r="D102" s="63" t="s">
        <v>132</v>
      </c>
      <c r="E102" s="74" t="s">
        <v>82</v>
      </c>
      <c r="F102" s="74" t="s">
        <v>143</v>
      </c>
      <c r="G102" s="74" t="s">
        <v>131</v>
      </c>
      <c r="H102" s="88" t="s">
        <v>144</v>
      </c>
    </row>
    <row r="103" spans="2:8" x14ac:dyDescent="0.25">
      <c r="B103" s="285" t="s">
        <v>173</v>
      </c>
      <c r="C103" s="21" t="s">
        <v>402</v>
      </c>
      <c r="D103" s="19" t="s">
        <v>424</v>
      </c>
      <c r="E103" s="11">
        <v>4534</v>
      </c>
      <c r="F103" s="9">
        <f>E103*F32</f>
        <v>396.4958354519261</v>
      </c>
      <c r="G103" s="21">
        <f>H12</f>
        <v>33.529411764705884</v>
      </c>
      <c r="H103" s="89">
        <f t="shared" ref="H103:H106" si="9">ROUND((F103+G103),0)</f>
        <v>430</v>
      </c>
    </row>
    <row r="104" spans="2:8" x14ac:dyDescent="0.25">
      <c r="B104" s="285"/>
      <c r="C104" s="21" t="s">
        <v>403</v>
      </c>
      <c r="D104" s="19" t="s">
        <v>425</v>
      </c>
      <c r="E104" s="11">
        <v>4534</v>
      </c>
      <c r="F104" s="9">
        <f>E104*F45</f>
        <v>277.84348926176119</v>
      </c>
      <c r="G104" s="21">
        <f>H12</f>
        <v>33.529411764705884</v>
      </c>
      <c r="H104" s="89">
        <f t="shared" si="9"/>
        <v>311</v>
      </c>
    </row>
    <row r="105" spans="2:8" x14ac:dyDescent="0.25">
      <c r="B105" s="286"/>
      <c r="C105" s="21" t="s">
        <v>220</v>
      </c>
      <c r="D105" s="19" t="s">
        <v>426</v>
      </c>
      <c r="E105" s="11">
        <v>3741</v>
      </c>
      <c r="F105" s="9">
        <f>E105*F32</f>
        <v>327.14841650323234</v>
      </c>
      <c r="G105" s="21">
        <f>H12</f>
        <v>33.529411764705884</v>
      </c>
      <c r="H105" s="89">
        <f t="shared" si="9"/>
        <v>361</v>
      </c>
    </row>
    <row r="106" spans="2:8" ht="13" thickBot="1" x14ac:dyDescent="0.3">
      <c r="B106" s="287"/>
      <c r="C106" s="70" t="s">
        <v>219</v>
      </c>
      <c r="D106" s="19" t="s">
        <v>427</v>
      </c>
      <c r="E106" s="73">
        <v>3079</v>
      </c>
      <c r="F106" s="9">
        <f>E106*F32</f>
        <v>269.25687634681969</v>
      </c>
      <c r="G106" s="70">
        <f>H12</f>
        <v>33.529411764705884</v>
      </c>
      <c r="H106" s="90">
        <f t="shared" si="9"/>
        <v>303</v>
      </c>
    </row>
    <row r="108" spans="2:8" ht="13" thickBot="1" x14ac:dyDescent="0.3"/>
    <row r="109" spans="2:8" ht="13" x14ac:dyDescent="0.3">
      <c r="B109" s="268" t="s">
        <v>165</v>
      </c>
      <c r="C109" s="269"/>
      <c r="D109" s="269"/>
      <c r="E109" s="269"/>
      <c r="F109" s="269"/>
      <c r="G109" s="269"/>
      <c r="H109" s="270"/>
    </row>
    <row r="110" spans="2:8" ht="13" x14ac:dyDescent="0.3">
      <c r="B110" s="76" t="s">
        <v>79</v>
      </c>
      <c r="C110" s="63" t="s">
        <v>128</v>
      </c>
      <c r="D110" s="63" t="s">
        <v>132</v>
      </c>
      <c r="E110" s="74" t="s">
        <v>82</v>
      </c>
      <c r="F110" s="74" t="s">
        <v>143</v>
      </c>
      <c r="G110" s="74" t="s">
        <v>131</v>
      </c>
      <c r="H110" s="88" t="s">
        <v>144</v>
      </c>
    </row>
    <row r="111" spans="2:8" x14ac:dyDescent="0.25">
      <c r="B111" s="285" t="s">
        <v>172</v>
      </c>
      <c r="C111" s="21" t="s">
        <v>402</v>
      </c>
      <c r="D111" s="19" t="s">
        <v>428</v>
      </c>
      <c r="E111" s="11">
        <v>4201</v>
      </c>
      <c r="F111" s="9">
        <f>E111*F33</f>
        <v>239.71469329529245</v>
      </c>
      <c r="G111" s="21">
        <f>H12</f>
        <v>33.529411764705884</v>
      </c>
      <c r="H111" s="89">
        <f t="shared" ref="H111:H114" si="10">ROUND((F111+G111),0)</f>
        <v>273</v>
      </c>
    </row>
    <row r="112" spans="2:8" x14ac:dyDescent="0.25">
      <c r="B112" s="285"/>
      <c r="C112" s="21" t="s">
        <v>403</v>
      </c>
      <c r="D112" s="19" t="s">
        <v>429</v>
      </c>
      <c r="E112" s="11">
        <v>4201</v>
      </c>
      <c r="F112" s="9">
        <f>E112*F46</f>
        <v>169.79790775083214</v>
      </c>
      <c r="G112" s="21">
        <f>H12</f>
        <v>33.529411764705884</v>
      </c>
      <c r="H112" s="89">
        <f t="shared" si="10"/>
        <v>203</v>
      </c>
    </row>
    <row r="113" spans="2:8" x14ac:dyDescent="0.25">
      <c r="B113" s="286"/>
      <c r="C113" s="21" t="s">
        <v>220</v>
      </c>
      <c r="D113" s="19" t="s">
        <v>430</v>
      </c>
      <c r="E113" s="11">
        <v>3450</v>
      </c>
      <c r="F113" s="9">
        <f>E113*F33</f>
        <v>196.86162624821685</v>
      </c>
      <c r="G113" s="21">
        <f>H12</f>
        <v>33.529411764705884</v>
      </c>
      <c r="H113" s="89">
        <f t="shared" si="10"/>
        <v>230</v>
      </c>
    </row>
    <row r="114" spans="2:8" ht="13" thickBot="1" x14ac:dyDescent="0.3">
      <c r="B114" s="287"/>
      <c r="C114" s="70" t="s">
        <v>219</v>
      </c>
      <c r="D114" s="19" t="s">
        <v>431</v>
      </c>
      <c r="E114" s="73">
        <v>2841</v>
      </c>
      <c r="F114" s="9">
        <f>E114*F33</f>
        <v>162.11126961483595</v>
      </c>
      <c r="G114" s="70">
        <f>H12</f>
        <v>33.529411764705884</v>
      </c>
      <c r="H114" s="90">
        <f t="shared" si="10"/>
        <v>196</v>
      </c>
    </row>
  </sheetData>
  <mergeCells count="32">
    <mergeCell ref="B103:B106"/>
    <mergeCell ref="B101:H101"/>
    <mergeCell ref="B111:B114"/>
    <mergeCell ref="B109:H109"/>
    <mergeCell ref="G42:I42"/>
    <mergeCell ref="B2:H2"/>
    <mergeCell ref="B9:H9"/>
    <mergeCell ref="B15:G15"/>
    <mergeCell ref="B22:I22"/>
    <mergeCell ref="G36:I36"/>
    <mergeCell ref="B35:I35"/>
    <mergeCell ref="G28:I28"/>
    <mergeCell ref="G30:I30"/>
    <mergeCell ref="G31:I31"/>
    <mergeCell ref="G32:J32"/>
    <mergeCell ref="G33:I33"/>
    <mergeCell ref="G23:I23"/>
    <mergeCell ref="G37:I39"/>
    <mergeCell ref="B95:B98"/>
    <mergeCell ref="B93:H93"/>
    <mergeCell ref="B54:B57"/>
    <mergeCell ref="B52:H52"/>
    <mergeCell ref="B71:B74"/>
    <mergeCell ref="B79:B82"/>
    <mergeCell ref="B77:H77"/>
    <mergeCell ref="B63:B66"/>
    <mergeCell ref="B61:H61"/>
    <mergeCell ref="B69:H69"/>
    <mergeCell ref="B85:H85"/>
    <mergeCell ref="G40:I40"/>
    <mergeCell ref="G41:I41"/>
    <mergeCell ref="B87:B90"/>
  </mergeCells>
  <phoneticPr fontId="10" type="noConversion"/>
  <hyperlinks>
    <hyperlink ref="G24" r:id="rId1" display="https://www.bajajfinserv.in/what-is-electricity-charges-in-chennai" xr:uid="{5A9170F7-B27C-43BA-B5B3-291ABF18DB9C}"/>
    <hyperlink ref="G25" r:id="rId2" display="https://www.bajajfinserv.in/what-is-electricity-charges-in-ahmedabad" xr:uid="{9B8F6226-96F1-4F04-A005-971C346E1831}"/>
    <hyperlink ref="G26" r:id="rId3" display="https://housing.com/news/electricity-rates-in-delhi/" xr:uid="{AC87067F-3DE3-4E39-AF3B-F45A9D6A0BE3}"/>
    <hyperlink ref="G27" r:id="rId4" display="https://www.boi.go.th/index.php?page=utility_costs" xr:uid="{75486383-344A-444B-A4DC-4FC16B7CD534}"/>
    <hyperlink ref="G28" r:id="rId5" xr:uid="{D5523DC7-5CCB-4B87-B502-C8DB8B1DD40B}"/>
    <hyperlink ref="G29" r:id="rId6" display="https://brightsolarsolution.online/electricity-bill-calculator/" xr:uid="{8A56B408-0A5C-4C64-B553-D68BC1CBA1F5}"/>
    <hyperlink ref="G30" r:id="rId7" xr:uid="{A43982E3-AF86-4273-89AB-389DAE8444C6}"/>
    <hyperlink ref="G31" r:id="rId8" location=":~:text=Rooftop%20solar%20costs%20PhP%202.50,PhP%203%2D6.2%20per%20kWh." xr:uid="{EF0D1FFE-235B-4EFF-AA2D-1E1B4D9815CA}"/>
    <hyperlink ref="G32" r:id="rId9" xr:uid="{86A25865-9789-4DC4-BAB6-99D8E6F791A8}"/>
    <hyperlink ref="G33" r:id="rId10" xr:uid="{DF66FBC7-04F7-4EF4-93F1-64CE0A6935D1}"/>
    <hyperlink ref="G42" r:id="rId11" xr:uid="{B0A5DF82-66C6-4130-A1F0-EB769B8795A3}"/>
    <hyperlink ref="G43" r:id="rId12" display="https://news.tuoitre.vn/vietnams-electricity-prices-rise-48-marking-4th-hike-since-2023-103250510145117726.htm" xr:uid="{D2AC128F-FDEB-4B47-A573-FFE4AA93E1D0}"/>
    <hyperlink ref="G44" r:id="rId13" display="https://www.sunstar.com.ph/cebu/power-rates-further-drop-in-metro-cebu" xr:uid="{FF88E5DA-0450-4741-AFB8-3E60BD691F87}"/>
    <hyperlink ref="G45" r:id="rId14" display="https://www.ceicdata.com/en/indonesia/average-price-electricity/electricity-average-price-industrial" xr:uid="{35DC10DC-5529-48C3-9E09-463CA327F0CD}"/>
    <hyperlink ref="G46" r:id="rId15" display="https://moep.gov.mm/en/ignite/page/593" xr:uid="{9F7C2349-9C30-4A8C-B4BF-42D9B33B2C05}"/>
    <hyperlink ref="G40" r:id="rId16" location=":~:text=Center%20Investments%20%2D%20SolarQuarter-,Thailand%20Targets%20Lower%20Electricity%20Prices%2C%20Renewable%20Energy,to%20Attract%20Data%20Center%20Investments&amp;text=Thailand%27s%20government%20plans%20to%20expand,growth%20and%20carbon%20reduction%20goals." display="https://solarquarter.com/2025/03/21/thailand-targets-lower-electricity-prices-renewable-energy-expansion-to-attract-data-center-investments/#:~:text=Center%20Investments%20%2D%20SolarQuarter-,Thailand%20Targets%20Lower%20Electricity%20Prices%2C%20Renewable%20Energy,to%20Attract%20Data%20Center%20Investments&amp;text=Thailand%27s%20government%20plans%20to%20expand,growth%20and%20carbon%20reduction%20goals." xr:uid="{14323491-1433-4D0B-9D6B-D9F84FB84DFB}"/>
    <hyperlink ref="G41" r:id="rId17" xr:uid="{2A6B8694-F196-46C6-ABE6-78DDD378E976}"/>
    <hyperlink ref="G37" r:id="rId18" location=":~:text=The%20average%20cost%20of%20rooftop,Renewable%20Energy%2C%20industry%20reports)." xr:uid="{8AEF95F5-79BA-478A-874C-28ADB8E81109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86F75-13E5-4A31-8402-5A228BCF4F04}">
  <dimension ref="C1:S41"/>
  <sheetViews>
    <sheetView topLeftCell="I9" workbookViewId="0">
      <selection activeCell="R17" sqref="R17"/>
    </sheetView>
  </sheetViews>
  <sheetFormatPr defaultRowHeight="12.5" x14ac:dyDescent="0.25"/>
  <cols>
    <col min="1" max="2" width="8.7265625" style="179"/>
    <col min="3" max="3" width="25.7265625" style="179" customWidth="1"/>
    <col min="4" max="4" width="22.08984375" style="179" customWidth="1"/>
    <col min="5" max="5" width="16.7265625" style="179" customWidth="1"/>
    <col min="6" max="6" width="17.6328125" style="179" customWidth="1"/>
    <col min="7" max="8" width="12.81640625" style="179" customWidth="1"/>
    <col min="9" max="9" width="10.1796875" style="179" customWidth="1"/>
    <col min="10" max="10" width="19.90625" style="179" customWidth="1"/>
    <col min="11" max="11" width="21.81640625" style="179" customWidth="1"/>
    <col min="12" max="12" width="21.1796875" style="179" customWidth="1"/>
    <col min="13" max="13" width="16.90625" style="179" customWidth="1"/>
    <col min="14" max="14" width="11.6328125" style="179" customWidth="1"/>
    <col min="15" max="15" width="8.7265625" style="179"/>
    <col min="16" max="16" width="9.7265625" style="179" customWidth="1"/>
    <col min="17" max="16384" width="8.7265625" style="179"/>
  </cols>
  <sheetData>
    <row r="1" spans="3:16" ht="13" x14ac:dyDescent="0.3">
      <c r="C1" s="203"/>
      <c r="D1" s="204"/>
      <c r="E1" s="204"/>
      <c r="F1" s="204"/>
      <c r="G1" s="204"/>
      <c r="H1" s="266" t="s">
        <v>101</v>
      </c>
      <c r="I1" s="266"/>
      <c r="J1" s="266"/>
      <c r="K1" s="266"/>
      <c r="L1" s="266"/>
      <c r="M1" s="266"/>
      <c r="N1" s="266"/>
      <c r="O1" s="266"/>
      <c r="P1" s="267"/>
    </row>
    <row r="2" spans="3:16" ht="13" x14ac:dyDescent="0.3">
      <c r="C2" s="205"/>
      <c r="D2" s="206"/>
      <c r="E2" s="206"/>
      <c r="F2" s="206"/>
      <c r="G2" s="206"/>
      <c r="H2" s="303" t="s">
        <v>534</v>
      </c>
      <c r="I2" s="303"/>
      <c r="J2" s="303"/>
      <c r="K2" s="303"/>
      <c r="L2" s="303"/>
      <c r="M2" s="303"/>
      <c r="N2" s="51"/>
      <c r="O2" s="303" t="s">
        <v>535</v>
      </c>
      <c r="P2" s="304"/>
    </row>
    <row r="3" spans="3:16" ht="13" x14ac:dyDescent="0.3">
      <c r="C3" s="205"/>
      <c r="D3" s="206"/>
      <c r="E3" s="206"/>
      <c r="F3" s="206"/>
      <c r="G3" s="206"/>
      <c r="H3" s="51" t="s">
        <v>93</v>
      </c>
      <c r="I3" s="51" t="s">
        <v>96</v>
      </c>
      <c r="J3" s="51" t="s">
        <v>94</v>
      </c>
      <c r="K3" s="51" t="s">
        <v>97</v>
      </c>
      <c r="L3" s="51" t="s">
        <v>95</v>
      </c>
      <c r="M3" s="51" t="s">
        <v>126</v>
      </c>
      <c r="N3" s="51"/>
      <c r="O3" s="51" t="s">
        <v>24</v>
      </c>
      <c r="P3" s="177" t="s">
        <v>127</v>
      </c>
    </row>
    <row r="4" spans="3:16" ht="13" x14ac:dyDescent="0.3">
      <c r="C4" s="207" t="s">
        <v>0</v>
      </c>
      <c r="D4" s="51" t="s">
        <v>1</v>
      </c>
      <c r="E4" s="208" t="s">
        <v>21</v>
      </c>
      <c r="F4" s="208" t="s">
        <v>62</v>
      </c>
      <c r="G4" s="209" t="s">
        <v>22</v>
      </c>
      <c r="H4" s="206"/>
      <c r="I4" s="206"/>
      <c r="J4" s="206"/>
      <c r="K4" s="206"/>
      <c r="L4" s="206"/>
      <c r="M4" s="206"/>
      <c r="N4" s="206"/>
      <c r="O4" s="206"/>
      <c r="P4" s="210"/>
    </row>
    <row r="5" spans="3:16" ht="13" x14ac:dyDescent="0.3">
      <c r="C5" s="205" t="s">
        <v>2</v>
      </c>
      <c r="D5" s="206" t="s">
        <v>3</v>
      </c>
      <c r="E5" s="211">
        <v>0.10249999999999999</v>
      </c>
      <c r="F5" s="211">
        <v>1.05</v>
      </c>
      <c r="G5" s="212">
        <f>E5*F5</f>
        <v>0.107625</v>
      </c>
      <c r="H5" s="206">
        <v>20.392514126758901</v>
      </c>
      <c r="I5" s="213">
        <f>G5*H5</f>
        <v>2.1947443328924265</v>
      </c>
      <c r="J5" s="214">
        <v>27.744504932926102</v>
      </c>
      <c r="K5" s="215">
        <f>G5*J5</f>
        <v>2.9860023434061715</v>
      </c>
      <c r="L5" s="214">
        <v>26.733346794317001</v>
      </c>
      <c r="M5" s="216">
        <f>G5*L5</f>
        <v>2.8771764487383673</v>
      </c>
      <c r="N5" s="217"/>
      <c r="O5" s="176">
        <v>1192.26478700199</v>
      </c>
      <c r="P5" s="218">
        <f>O5*G5</f>
        <v>128.31749770108917</v>
      </c>
    </row>
    <row r="6" spans="3:16" ht="13" x14ac:dyDescent="0.3">
      <c r="C6" s="205" t="s">
        <v>4</v>
      </c>
      <c r="D6" s="206" t="s">
        <v>5</v>
      </c>
      <c r="E6" s="211">
        <v>31.4</v>
      </c>
      <c r="F6" s="211">
        <v>1.05</v>
      </c>
      <c r="G6" s="212">
        <f t="shared" ref="G6:G14" si="0">E6*F6</f>
        <v>32.97</v>
      </c>
      <c r="H6" s="206">
        <v>9.3908771467702504E-8</v>
      </c>
      <c r="I6" s="213">
        <f t="shared" ref="I6:I14" si="1">G6*H6</f>
        <v>3.0961721952901513E-6</v>
      </c>
      <c r="J6" s="219">
        <v>1.07994491383778E-7</v>
      </c>
      <c r="K6" s="220">
        <f t="shared" ref="K6:K14" si="2">G6*J6</f>
        <v>3.5605783809231606E-6</v>
      </c>
      <c r="L6" s="214">
        <v>1.0133382984495099E-7</v>
      </c>
      <c r="M6" s="216">
        <f t="shared" ref="M6:M14" si="3">G6*L6</f>
        <v>3.3409763699880343E-6</v>
      </c>
      <c r="N6" s="217"/>
      <c r="O6" s="176">
        <v>1.5354830416907799E-4</v>
      </c>
      <c r="P6" s="218">
        <f t="shared" ref="P6:P14" si="4">O6*G6</f>
        <v>5.0624875884545013E-3</v>
      </c>
    </row>
    <row r="7" spans="3:16" ht="13" x14ac:dyDescent="0.3">
      <c r="C7" s="205" t="s">
        <v>6</v>
      </c>
      <c r="D7" s="206" t="s">
        <v>7</v>
      </c>
      <c r="E7" s="211">
        <v>902616</v>
      </c>
      <c r="F7" s="211">
        <v>1.05</v>
      </c>
      <c r="G7" s="212">
        <f t="shared" si="0"/>
        <v>947746.8</v>
      </c>
      <c r="H7" s="206">
        <v>2.09998219493751E-8</v>
      </c>
      <c r="I7" s="213">
        <f t="shared" si="1"/>
        <v>1.9902514053090015E-2</v>
      </c>
      <c r="J7" s="219">
        <v>2.29027966773788E-8</v>
      </c>
      <c r="K7" s="221">
        <f t="shared" si="2"/>
        <v>2.1706052262036393E-2</v>
      </c>
      <c r="L7" s="214">
        <v>2.2936432317898301E-8</v>
      </c>
      <c r="M7" s="216">
        <f t="shared" si="3"/>
        <v>2.17379303327047E-2</v>
      </c>
      <c r="N7" s="217"/>
      <c r="O7" s="176">
        <v>3.2249123247235602E-6</v>
      </c>
      <c r="P7" s="218">
        <f t="shared" si="4"/>
        <v>3.0564003360373153</v>
      </c>
    </row>
    <row r="8" spans="3:16" ht="13" x14ac:dyDescent="0.3">
      <c r="C8" s="205" t="s">
        <v>8</v>
      </c>
      <c r="D8" s="206" t="s">
        <v>7</v>
      </c>
      <c r="E8" s="211">
        <v>163447</v>
      </c>
      <c r="F8" s="211">
        <v>1.05</v>
      </c>
      <c r="G8" s="212">
        <f t="shared" si="0"/>
        <v>171619.35</v>
      </c>
      <c r="H8" s="206">
        <v>2.8950609233014E-7</v>
      </c>
      <c r="I8" s="213">
        <f t="shared" si="1"/>
        <v>4.9684847386738611E-2</v>
      </c>
      <c r="J8" s="219">
        <v>3.3659575160955702E-7</v>
      </c>
      <c r="K8" s="221">
        <f t="shared" si="2"/>
        <v>5.776634410399363E-2</v>
      </c>
      <c r="L8" s="214">
        <v>3.3726106660180298E-7</v>
      </c>
      <c r="M8" s="216">
        <f t="shared" si="3"/>
        <v>5.788052503050814E-2</v>
      </c>
      <c r="N8" s="217"/>
      <c r="O8" s="176">
        <v>8.7379143520346203E-7</v>
      </c>
      <c r="P8" s="218">
        <f t="shared" si="4"/>
        <v>0.14995951814518527</v>
      </c>
    </row>
    <row r="9" spans="3:16" ht="13" x14ac:dyDescent="0.3">
      <c r="C9" s="205" t="s">
        <v>9</v>
      </c>
      <c r="D9" s="206" t="s">
        <v>10</v>
      </c>
      <c r="E9" s="211">
        <v>784126</v>
      </c>
      <c r="F9" s="211">
        <v>1.05</v>
      </c>
      <c r="G9" s="212">
        <f t="shared" si="0"/>
        <v>823332.3</v>
      </c>
      <c r="H9" s="206">
        <v>4.6458576080454501E-7</v>
      </c>
      <c r="I9" s="213">
        <f t="shared" si="1"/>
        <v>0.38250846299045593</v>
      </c>
      <c r="J9" s="219">
        <v>5.5539928472044097E-7</v>
      </c>
      <c r="K9" s="221">
        <f t="shared" si="2"/>
        <v>0.45727817050723557</v>
      </c>
      <c r="L9" s="214">
        <v>5.4660275820702696E-7</v>
      </c>
      <c r="M9" s="216">
        <f t="shared" si="3"/>
        <v>0.45003570610093541</v>
      </c>
      <c r="N9" s="217"/>
      <c r="O9" s="176">
        <v>9.5651994346794501E-5</v>
      </c>
      <c r="P9" s="218">
        <f t="shared" si="4"/>
        <v>78.753376505133318</v>
      </c>
    </row>
    <row r="10" spans="3:16" ht="13" x14ac:dyDescent="0.3">
      <c r="C10" s="205" t="s">
        <v>11</v>
      </c>
      <c r="D10" s="206" t="s">
        <v>12</v>
      </c>
      <c r="E10" s="211">
        <v>1.19</v>
      </c>
      <c r="F10" s="211">
        <v>1.05</v>
      </c>
      <c r="G10" s="212">
        <f t="shared" si="0"/>
        <v>1.2495000000000001</v>
      </c>
      <c r="H10" s="206">
        <v>5.6701114595977001E-2</v>
      </c>
      <c r="I10" s="213">
        <f t="shared" si="1"/>
        <v>7.0848042687673266E-2</v>
      </c>
      <c r="J10" s="219">
        <v>7.6895726342250004E-2</v>
      </c>
      <c r="K10" s="221">
        <f t="shared" si="2"/>
        <v>9.608121006464139E-2</v>
      </c>
      <c r="L10" s="214">
        <v>7.2371102782633603E-2</v>
      </c>
      <c r="M10" s="216">
        <f t="shared" si="3"/>
        <v>9.0427692926900685E-2</v>
      </c>
      <c r="N10" s="217"/>
      <c r="O10" s="176">
        <v>2.9490945544724201</v>
      </c>
      <c r="P10" s="218">
        <f t="shared" si="4"/>
        <v>3.6848936458132893</v>
      </c>
    </row>
    <row r="11" spans="3:16" ht="13" x14ac:dyDescent="0.3">
      <c r="C11" s="205" t="s">
        <v>13</v>
      </c>
      <c r="D11" s="206" t="s">
        <v>14</v>
      </c>
      <c r="E11" s="211">
        <v>0.34399999999999997</v>
      </c>
      <c r="F11" s="211">
        <v>1.05</v>
      </c>
      <c r="G11" s="212">
        <f t="shared" si="0"/>
        <v>0.36119999999999997</v>
      </c>
      <c r="H11" s="206">
        <v>0.105070989428155</v>
      </c>
      <c r="I11" s="213">
        <f t="shared" si="1"/>
        <v>3.7951641381449581E-2</v>
      </c>
      <c r="J11" s="214">
        <v>0.14142821620846799</v>
      </c>
      <c r="K11" s="215">
        <f t="shared" si="2"/>
        <v>5.1083871694498635E-2</v>
      </c>
      <c r="L11" s="214">
        <v>0.13306249418625199</v>
      </c>
      <c r="M11" s="216">
        <f t="shared" si="3"/>
        <v>4.8062172900074217E-2</v>
      </c>
      <c r="N11" s="217"/>
      <c r="O11" s="176">
        <v>7.2922651052577399</v>
      </c>
      <c r="P11" s="218">
        <f t="shared" si="4"/>
        <v>2.6339661560190955</v>
      </c>
    </row>
    <row r="12" spans="3:16" ht="13" x14ac:dyDescent="0.3">
      <c r="C12" s="205" t="s">
        <v>15</v>
      </c>
      <c r="D12" s="206" t="s">
        <v>16</v>
      </c>
      <c r="E12" s="211">
        <v>1.92</v>
      </c>
      <c r="F12" s="211">
        <v>1.05</v>
      </c>
      <c r="G12" s="212">
        <f t="shared" si="0"/>
        <v>2.016</v>
      </c>
      <c r="H12" s="206">
        <v>2.0814496385122099E-2</v>
      </c>
      <c r="I12" s="213">
        <f t="shared" si="1"/>
        <v>4.1962024712406155E-2</v>
      </c>
      <c r="J12" s="214">
        <v>2.54504878127663E-2</v>
      </c>
      <c r="K12" s="215">
        <f t="shared" si="2"/>
        <v>5.1308183430536863E-2</v>
      </c>
      <c r="L12" s="214">
        <v>2.6914326811441899E-2</v>
      </c>
      <c r="M12" s="216">
        <f t="shared" si="3"/>
        <v>5.4259282851866868E-2</v>
      </c>
      <c r="N12" s="217"/>
      <c r="O12" s="176">
        <v>0.40786390116020199</v>
      </c>
      <c r="P12" s="218">
        <f t="shared" si="4"/>
        <v>0.82225362473896724</v>
      </c>
    </row>
    <row r="13" spans="3:16" ht="13" x14ac:dyDescent="0.3">
      <c r="C13" s="205" t="s">
        <v>17</v>
      </c>
      <c r="D13" s="206" t="s">
        <v>18</v>
      </c>
      <c r="E13" s="222">
        <v>3.82E-5</v>
      </c>
      <c r="F13" s="211">
        <v>1.05</v>
      </c>
      <c r="G13" s="212">
        <f t="shared" si="0"/>
        <v>4.0110000000000001E-5</v>
      </c>
      <c r="H13" s="206">
        <v>212.90312750471867</v>
      </c>
      <c r="I13" s="213">
        <f t="shared" si="1"/>
        <v>8.5395444442142657E-3</v>
      </c>
      <c r="J13" s="214">
        <v>235.75735846669457</v>
      </c>
      <c r="K13" s="215">
        <f t="shared" si="2"/>
        <v>9.4562276480991189E-3</v>
      </c>
      <c r="L13" s="214">
        <v>241.42979643539084</v>
      </c>
      <c r="M13" s="216">
        <f t="shared" si="3"/>
        <v>9.6837491350235273E-3</v>
      </c>
      <c r="N13" s="217"/>
      <c r="O13" s="176">
        <v>48651.230089165118</v>
      </c>
      <c r="P13" s="218">
        <f t="shared" si="4"/>
        <v>1.9514008388764128</v>
      </c>
    </row>
    <row r="14" spans="3:16" ht="13" x14ac:dyDescent="0.3">
      <c r="C14" s="205" t="s">
        <v>19</v>
      </c>
      <c r="D14" s="206" t="s">
        <v>20</v>
      </c>
      <c r="E14" s="211">
        <v>1.2999999999999999E-3</v>
      </c>
      <c r="F14" s="211">
        <v>1.05</v>
      </c>
      <c r="G14" s="212">
        <f t="shared" si="0"/>
        <v>1.3649999999999999E-3</v>
      </c>
      <c r="H14" s="206">
        <v>247.30315757518301</v>
      </c>
      <c r="I14" s="213">
        <f t="shared" si="1"/>
        <v>0.33756881009012479</v>
      </c>
      <c r="J14" s="214">
        <v>325.36117062356902</v>
      </c>
      <c r="K14" s="215">
        <f t="shared" si="2"/>
        <v>0.44411799790117168</v>
      </c>
      <c r="L14" s="214">
        <v>309.86887828022498</v>
      </c>
      <c r="M14" s="216">
        <f t="shared" si="3"/>
        <v>0.42297101885250704</v>
      </c>
      <c r="N14" s="217"/>
      <c r="O14" s="176">
        <v>18792.398861338501</v>
      </c>
      <c r="P14" s="218">
        <f t="shared" si="4"/>
        <v>25.651624445727052</v>
      </c>
    </row>
    <row r="15" spans="3:16" ht="13.5" thickBot="1" x14ac:dyDescent="0.35">
      <c r="C15" s="223" t="s">
        <v>104</v>
      </c>
      <c r="D15" s="224"/>
      <c r="E15" s="224"/>
      <c r="F15" s="224"/>
      <c r="G15" s="224"/>
      <c r="H15" s="224"/>
      <c r="I15" s="225">
        <f>SUM(I5:I14)</f>
        <v>3.1437133168107745</v>
      </c>
      <c r="J15" s="226"/>
      <c r="K15" s="225">
        <f>SUM(K5:K14)</f>
        <v>4.1748039615967656</v>
      </c>
      <c r="L15" s="226"/>
      <c r="M15" s="225">
        <f>SUM(M5:M14)</f>
        <v>4.0322378678452573</v>
      </c>
      <c r="N15" s="226"/>
      <c r="O15" s="227"/>
      <c r="P15" s="228">
        <f>SUM(P5:P14)</f>
        <v>245.02643525916824</v>
      </c>
    </row>
    <row r="16" spans="3:16" ht="13" x14ac:dyDescent="0.3">
      <c r="C16" s="229"/>
      <c r="I16" s="229"/>
      <c r="J16" s="229"/>
      <c r="K16" s="229"/>
      <c r="L16" s="229"/>
      <c r="M16" s="229"/>
      <c r="N16" s="229"/>
      <c r="P16" s="229"/>
    </row>
    <row r="17" spans="3:19" ht="13" thickBot="1" x14ac:dyDescent="0.3"/>
    <row r="18" spans="3:19" ht="13" x14ac:dyDescent="0.3">
      <c r="C18" s="265" t="s">
        <v>105</v>
      </c>
      <c r="D18" s="266"/>
      <c r="E18" s="266"/>
      <c r="F18" s="267"/>
      <c r="G18" s="178"/>
      <c r="I18" s="305"/>
      <c r="J18" s="305"/>
      <c r="K18" s="305"/>
      <c r="L18" s="305"/>
      <c r="M18" s="305"/>
      <c r="N18" s="305"/>
      <c r="O18" s="305"/>
      <c r="P18" s="305"/>
    </row>
    <row r="19" spans="3:19" ht="13" x14ac:dyDescent="0.25">
      <c r="C19" s="230" t="s">
        <v>98</v>
      </c>
      <c r="D19" s="208" t="s">
        <v>99</v>
      </c>
      <c r="E19" s="208" t="s">
        <v>100</v>
      </c>
      <c r="F19" s="231" t="s">
        <v>25</v>
      </c>
      <c r="G19" s="232"/>
      <c r="I19" s="232"/>
      <c r="J19" s="232"/>
      <c r="K19" s="232"/>
      <c r="L19" s="232"/>
      <c r="M19" s="232"/>
      <c r="N19" s="232"/>
      <c r="O19" s="232"/>
      <c r="P19" s="232"/>
    </row>
    <row r="20" spans="3:19" ht="13" x14ac:dyDescent="0.25">
      <c r="C20" s="233" t="s">
        <v>201</v>
      </c>
      <c r="D20" s="211">
        <v>350</v>
      </c>
      <c r="E20" s="234">
        <f>1/85</f>
        <v>1.1764705882352941E-2</v>
      </c>
      <c r="F20" s="235">
        <f>D20*E20</f>
        <v>4.117647058823529</v>
      </c>
      <c r="G20" s="236"/>
      <c r="O20" s="237"/>
      <c r="P20" s="237"/>
      <c r="S20" s="238"/>
    </row>
    <row r="21" spans="3:19" ht="13.5" thickBot="1" x14ac:dyDescent="0.3">
      <c r="C21" s="239" t="s">
        <v>26</v>
      </c>
      <c r="D21" s="240">
        <v>650</v>
      </c>
      <c r="E21" s="241">
        <f>1/85</f>
        <v>1.1764705882352941E-2</v>
      </c>
      <c r="F21" s="242">
        <f>D21*E21</f>
        <v>7.6470588235294112</v>
      </c>
      <c r="G21" s="243"/>
      <c r="P21" s="237"/>
    </row>
    <row r="22" spans="3:19" ht="13" thickBot="1" x14ac:dyDescent="0.3">
      <c r="G22" s="243"/>
      <c r="P22" s="237"/>
    </row>
    <row r="23" spans="3:19" ht="13" x14ac:dyDescent="0.3">
      <c r="C23" s="268" t="s">
        <v>116</v>
      </c>
      <c r="D23" s="269"/>
      <c r="E23" s="269"/>
      <c r="F23" s="269"/>
      <c r="G23" s="269"/>
      <c r="H23" s="269"/>
      <c r="I23" s="269"/>
      <c r="J23" s="269"/>
      <c r="K23" s="269"/>
      <c r="L23" s="269"/>
      <c r="M23" s="269"/>
      <c r="N23" s="270"/>
      <c r="O23" s="178"/>
      <c r="P23" s="237"/>
    </row>
    <row r="24" spans="3:19" ht="13" x14ac:dyDescent="0.3">
      <c r="C24" s="244" t="s">
        <v>103</v>
      </c>
      <c r="D24" s="245" t="s">
        <v>107</v>
      </c>
      <c r="E24" s="245" t="s">
        <v>108</v>
      </c>
      <c r="F24" s="246" t="s">
        <v>109</v>
      </c>
      <c r="G24" s="245"/>
      <c r="H24" s="245" t="s">
        <v>110</v>
      </c>
      <c r="I24" s="245" t="s">
        <v>111</v>
      </c>
      <c r="J24" s="246" t="s">
        <v>112</v>
      </c>
      <c r="K24" s="245"/>
      <c r="L24" s="245" t="s">
        <v>113</v>
      </c>
      <c r="M24" s="245" t="s">
        <v>114</v>
      </c>
      <c r="N24" s="247" t="s">
        <v>115</v>
      </c>
      <c r="P24" s="237"/>
    </row>
    <row r="25" spans="3:19" ht="13" x14ac:dyDescent="0.25">
      <c r="C25" s="248" t="s">
        <v>102</v>
      </c>
      <c r="D25" s="249">
        <f>I15</f>
        <v>3.1437133168107745</v>
      </c>
      <c r="E25" s="249">
        <f>F20</f>
        <v>4.117647058823529</v>
      </c>
      <c r="F25" s="250">
        <f>D25+E25</f>
        <v>7.2613603756343039</v>
      </c>
      <c r="G25" s="249"/>
      <c r="H25" s="249">
        <f>K15</f>
        <v>4.1748039615967656</v>
      </c>
      <c r="I25" s="249">
        <f>F20</f>
        <v>4.117647058823529</v>
      </c>
      <c r="J25" s="250">
        <f>H25+I25</f>
        <v>8.2924510204202946</v>
      </c>
      <c r="K25" s="249"/>
      <c r="L25" s="249">
        <f>M15</f>
        <v>4.0322378678452573</v>
      </c>
      <c r="M25" s="249">
        <f>F20</f>
        <v>4.117647058823529</v>
      </c>
      <c r="N25" s="251">
        <f>L25+M25</f>
        <v>8.1498849266687863</v>
      </c>
      <c r="P25" s="237"/>
    </row>
    <row r="26" spans="3:19" ht="13.5" thickBot="1" x14ac:dyDescent="0.3">
      <c r="C26" s="252" t="s">
        <v>23</v>
      </c>
      <c r="D26" s="253">
        <f>P15</f>
        <v>245.02643525916824</v>
      </c>
      <c r="E26" s="253">
        <f>F21</f>
        <v>7.6470588235294112</v>
      </c>
      <c r="F26" s="254">
        <f>D26+E26</f>
        <v>252.67349408269766</v>
      </c>
      <c r="G26" s="253"/>
      <c r="H26" s="253">
        <f>P15</f>
        <v>245.02643525916824</v>
      </c>
      <c r="I26" s="253">
        <f>F21</f>
        <v>7.6470588235294112</v>
      </c>
      <c r="J26" s="254">
        <f>H26+I26</f>
        <v>252.67349408269766</v>
      </c>
      <c r="K26" s="253"/>
      <c r="L26" s="253">
        <f>P15</f>
        <v>245.02643525916824</v>
      </c>
      <c r="M26" s="253">
        <f>F21</f>
        <v>7.6470588235294112</v>
      </c>
      <c r="N26" s="255">
        <f>L26+M26</f>
        <v>252.67349408269766</v>
      </c>
      <c r="P26" s="237"/>
    </row>
    <row r="27" spans="3:19" x14ac:dyDescent="0.25">
      <c r="G27" s="243"/>
      <c r="P27" s="237"/>
    </row>
    <row r="28" spans="3:19" x14ac:dyDescent="0.25">
      <c r="G28" s="243"/>
      <c r="P28" s="237"/>
    </row>
    <row r="32" spans="3:19" x14ac:dyDescent="0.25">
      <c r="G32" s="237"/>
      <c r="H32" s="237"/>
      <c r="I32" s="237"/>
      <c r="J32" s="237"/>
    </row>
    <row r="33" spans="7:10" x14ac:dyDescent="0.25">
      <c r="G33" s="237"/>
      <c r="H33" s="237"/>
      <c r="I33" s="237"/>
      <c r="J33" s="237"/>
    </row>
    <row r="34" spans="7:10" x14ac:dyDescent="0.25">
      <c r="G34" s="237"/>
      <c r="H34" s="237"/>
      <c r="I34" s="237"/>
      <c r="J34" s="237"/>
    </row>
    <row r="35" spans="7:10" x14ac:dyDescent="0.25">
      <c r="G35" s="237"/>
      <c r="H35" s="237"/>
      <c r="I35" s="237"/>
      <c r="J35" s="237"/>
    </row>
    <row r="36" spans="7:10" x14ac:dyDescent="0.25">
      <c r="G36" s="237"/>
      <c r="H36" s="237"/>
      <c r="I36" s="237"/>
      <c r="J36" s="237"/>
    </row>
    <row r="37" spans="7:10" x14ac:dyDescent="0.25">
      <c r="G37" s="237"/>
      <c r="H37" s="237"/>
      <c r="I37" s="237"/>
      <c r="J37" s="237"/>
    </row>
    <row r="38" spans="7:10" x14ac:dyDescent="0.25">
      <c r="G38" s="237"/>
      <c r="H38" s="237"/>
      <c r="I38" s="237"/>
      <c r="J38" s="237"/>
    </row>
    <row r="39" spans="7:10" x14ac:dyDescent="0.25">
      <c r="G39" s="237"/>
      <c r="H39" s="237"/>
      <c r="I39" s="237"/>
      <c r="J39" s="237"/>
    </row>
    <row r="40" spans="7:10" x14ac:dyDescent="0.25">
      <c r="G40" s="237"/>
      <c r="H40" s="237"/>
      <c r="I40" s="237"/>
      <c r="J40" s="237"/>
    </row>
    <row r="41" spans="7:10" x14ac:dyDescent="0.25">
      <c r="G41" s="237"/>
      <c r="H41" s="237"/>
      <c r="I41" s="237"/>
      <c r="J41" s="237"/>
    </row>
  </sheetData>
  <mergeCells count="6">
    <mergeCell ref="C23:N23"/>
    <mergeCell ref="O2:P2"/>
    <mergeCell ref="H1:P1"/>
    <mergeCell ref="I18:P18"/>
    <mergeCell ref="H2:M2"/>
    <mergeCell ref="C18:F1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9DBED-B30D-4314-BC59-9C1BECDECF69}">
  <dimension ref="A2:O342"/>
  <sheetViews>
    <sheetView topLeftCell="A84" workbookViewId="0">
      <selection activeCell="M327" sqref="M327:O327"/>
    </sheetView>
  </sheetViews>
  <sheetFormatPr defaultRowHeight="12.5" x14ac:dyDescent="0.25"/>
  <cols>
    <col min="3" max="3" width="25.7265625" customWidth="1"/>
    <col min="4" max="4" width="22.08984375" customWidth="1"/>
    <col min="5" max="5" width="16.7265625" customWidth="1"/>
    <col min="6" max="6" width="17.6328125" customWidth="1"/>
    <col min="7" max="7" width="19.1796875" customWidth="1"/>
    <col min="8" max="8" width="15.90625" customWidth="1"/>
    <col min="9" max="9" width="25.7265625" customWidth="1"/>
    <col min="10" max="10" width="11.6328125" customWidth="1"/>
    <col min="11" max="11" width="18.6328125" customWidth="1"/>
    <col min="12" max="12" width="14.453125" customWidth="1"/>
    <col min="13" max="13" width="8.1796875" customWidth="1"/>
    <col min="14" max="14" width="11.36328125" customWidth="1"/>
    <col min="15" max="15" width="7" customWidth="1"/>
  </cols>
  <sheetData>
    <row r="2" spans="2:15" x14ac:dyDescent="0.25">
      <c r="B2" t="s">
        <v>447</v>
      </c>
      <c r="C2" s="35" t="s">
        <v>122</v>
      </c>
      <c r="D2" s="35"/>
    </row>
    <row r="3" spans="2:15" x14ac:dyDescent="0.25">
      <c r="C3" s="35"/>
      <c r="D3" s="35"/>
    </row>
    <row r="4" spans="2:15" x14ac:dyDescent="0.25">
      <c r="C4" s="35"/>
      <c r="D4" s="35"/>
    </row>
    <row r="5" spans="2:15" ht="13" thickBot="1" x14ac:dyDescent="0.3">
      <c r="C5" s="35"/>
      <c r="D5" s="35"/>
      <c r="L5" s="327"/>
      <c r="M5" s="327"/>
    </row>
    <row r="6" spans="2:15" ht="13" x14ac:dyDescent="0.3">
      <c r="C6" s="35"/>
      <c r="D6" s="35"/>
      <c r="G6" s="262" t="s">
        <v>445</v>
      </c>
      <c r="H6" s="263"/>
      <c r="I6" s="263"/>
      <c r="J6" s="147" t="s">
        <v>446</v>
      </c>
      <c r="L6" s="145" t="s">
        <v>441</v>
      </c>
      <c r="M6" s="38" t="s">
        <v>440</v>
      </c>
      <c r="N6" s="38" t="s">
        <v>453</v>
      </c>
      <c r="O6" s="159" t="s">
        <v>454</v>
      </c>
    </row>
    <row r="7" spans="2:15" x14ac:dyDescent="0.25">
      <c r="C7" s="35"/>
      <c r="D7" s="35"/>
      <c r="G7" s="91"/>
      <c r="H7" s="27" t="s">
        <v>444</v>
      </c>
      <c r="I7" s="27" t="s">
        <v>120</v>
      </c>
      <c r="J7" s="328"/>
      <c r="L7" s="160" t="s">
        <v>447</v>
      </c>
      <c r="M7" s="161">
        <f>J10</f>
        <v>297.29000000000002</v>
      </c>
      <c r="N7" s="167"/>
      <c r="O7" s="168"/>
    </row>
    <row r="8" spans="2:15" x14ac:dyDescent="0.25">
      <c r="C8" s="35"/>
      <c r="D8" s="35"/>
      <c r="G8" s="91" t="s">
        <v>442</v>
      </c>
      <c r="H8" s="27">
        <v>179.8</v>
      </c>
      <c r="I8" s="27">
        <v>145.06</v>
      </c>
      <c r="J8" s="329"/>
      <c r="L8" s="160" t="s">
        <v>448</v>
      </c>
      <c r="M8" s="161">
        <f>I18</f>
        <v>124.18</v>
      </c>
      <c r="N8" s="162">
        <f>J19</f>
        <v>69.64</v>
      </c>
      <c r="O8" s="168"/>
    </row>
    <row r="9" spans="2:15" x14ac:dyDescent="0.25">
      <c r="C9" s="35"/>
      <c r="D9" s="35"/>
      <c r="G9" s="91" t="s">
        <v>443</v>
      </c>
      <c r="H9" s="27">
        <v>312.75</v>
      </c>
      <c r="I9" s="27">
        <v>287.22000000000003</v>
      </c>
      <c r="J9" s="330"/>
      <c r="L9" s="163" t="s">
        <v>457</v>
      </c>
      <c r="M9" s="161">
        <f>J44</f>
        <v>36.22</v>
      </c>
      <c r="N9" s="164">
        <f>J45</f>
        <v>23.29</v>
      </c>
      <c r="O9" s="165">
        <f>J46</f>
        <v>28.55</v>
      </c>
    </row>
    <row r="10" spans="2:15" ht="13.5" thickBot="1" x14ac:dyDescent="0.35">
      <c r="C10" s="35"/>
      <c r="D10" s="35"/>
      <c r="G10" s="146" t="s">
        <v>124</v>
      </c>
      <c r="H10" s="325">
        <f>(H8+I8+H9+I9)/4</f>
        <v>231.20750000000001</v>
      </c>
      <c r="I10" s="325"/>
      <c r="J10" s="148">
        <v>297.29000000000002</v>
      </c>
      <c r="L10" s="160" t="s">
        <v>462</v>
      </c>
      <c r="M10" s="161">
        <f>J77</f>
        <v>154.74</v>
      </c>
      <c r="N10" s="162"/>
      <c r="O10" s="165">
        <f>J78</f>
        <v>28.12</v>
      </c>
    </row>
    <row r="11" spans="2:15" x14ac:dyDescent="0.25">
      <c r="C11" s="35"/>
      <c r="D11" s="35"/>
      <c r="L11" s="160" t="s">
        <v>465</v>
      </c>
      <c r="M11" s="161">
        <f>J90</f>
        <v>168.9</v>
      </c>
      <c r="N11" s="162"/>
      <c r="O11" s="165">
        <f>J91</f>
        <v>48.64</v>
      </c>
    </row>
    <row r="12" spans="2:15" x14ac:dyDescent="0.25">
      <c r="C12" s="35"/>
      <c r="D12" s="35"/>
      <c r="L12" s="160" t="s">
        <v>473</v>
      </c>
      <c r="M12" s="164">
        <f>I104</f>
        <v>313.16000000000003</v>
      </c>
      <c r="N12" s="167"/>
      <c r="O12" s="168"/>
    </row>
    <row r="13" spans="2:15" x14ac:dyDescent="0.25">
      <c r="C13" s="35"/>
      <c r="D13" s="35"/>
      <c r="L13" s="160" t="s">
        <v>476</v>
      </c>
      <c r="M13" s="167"/>
      <c r="N13" s="167"/>
      <c r="O13" s="166">
        <f>H116</f>
        <v>25.7</v>
      </c>
    </row>
    <row r="14" spans="2:15" ht="13" x14ac:dyDescent="0.25">
      <c r="L14" s="169" t="s">
        <v>478</v>
      </c>
      <c r="M14" s="170">
        <f>(M7+M8+M9+M10+M11+M12)/6</f>
        <v>182.41499999999999</v>
      </c>
      <c r="N14" s="170">
        <f>(N8+N9)/2</f>
        <v>46.465000000000003</v>
      </c>
      <c r="O14" s="66">
        <f>(O9+O10+O11+O13)/4</f>
        <v>32.752499999999998</v>
      </c>
    </row>
    <row r="15" spans="2:15" ht="13.5" thickBot="1" x14ac:dyDescent="0.35">
      <c r="C15" s="35" t="s">
        <v>123</v>
      </c>
      <c r="L15" s="310" t="s">
        <v>479</v>
      </c>
      <c r="M15" s="311"/>
      <c r="N15" s="311"/>
      <c r="O15" s="154">
        <f>ROUND((M14+N14+O14),0)</f>
        <v>262</v>
      </c>
    </row>
    <row r="16" spans="2:15" ht="13" x14ac:dyDescent="0.3">
      <c r="G16" s="274" t="s">
        <v>449</v>
      </c>
      <c r="H16" s="314"/>
      <c r="I16" s="314"/>
      <c r="J16" s="275"/>
    </row>
    <row r="17" spans="2:10" ht="13" x14ac:dyDescent="0.3">
      <c r="B17" t="s">
        <v>448</v>
      </c>
      <c r="G17" s="62" t="s">
        <v>195</v>
      </c>
      <c r="H17" s="63" t="s">
        <v>139</v>
      </c>
      <c r="I17" s="63" t="s">
        <v>25</v>
      </c>
      <c r="J17" s="150" t="s">
        <v>452</v>
      </c>
    </row>
    <row r="18" spans="2:10" ht="13" x14ac:dyDescent="0.3">
      <c r="G18" s="62" t="s">
        <v>440</v>
      </c>
      <c r="H18" s="64">
        <v>10800</v>
      </c>
      <c r="I18" s="64">
        <v>124.18</v>
      </c>
      <c r="J18" s="142">
        <v>167.15</v>
      </c>
    </row>
    <row r="19" spans="2:10" ht="13" x14ac:dyDescent="0.3">
      <c r="G19" s="62" t="s">
        <v>451</v>
      </c>
      <c r="H19" s="64">
        <v>4500</v>
      </c>
      <c r="I19" s="64">
        <v>51.74</v>
      </c>
      <c r="J19" s="142">
        <v>69.64</v>
      </c>
    </row>
    <row r="20" spans="2:10" ht="13" thickBot="1" x14ac:dyDescent="0.3">
      <c r="G20" s="331" t="s">
        <v>450</v>
      </c>
      <c r="H20" s="332"/>
      <c r="I20" s="332"/>
      <c r="J20" s="333"/>
    </row>
    <row r="31" spans="2:10" x14ac:dyDescent="0.25">
      <c r="B31" t="s">
        <v>455</v>
      </c>
      <c r="C31" s="35" t="s">
        <v>125</v>
      </c>
    </row>
    <row r="41" spans="7:10" ht="13" thickBot="1" x14ac:dyDescent="0.3"/>
    <row r="42" spans="7:10" ht="13" x14ac:dyDescent="0.3">
      <c r="G42" s="274" t="s">
        <v>460</v>
      </c>
      <c r="H42" s="314"/>
      <c r="I42" s="314"/>
      <c r="J42" s="275"/>
    </row>
    <row r="43" spans="7:10" ht="13" x14ac:dyDescent="0.3">
      <c r="G43" s="62" t="s">
        <v>195</v>
      </c>
      <c r="H43" s="63" t="s">
        <v>139</v>
      </c>
      <c r="I43" s="63" t="s">
        <v>25</v>
      </c>
      <c r="J43" s="150" t="s">
        <v>452</v>
      </c>
    </row>
    <row r="44" spans="7:10" ht="13" x14ac:dyDescent="0.3">
      <c r="G44" s="62" t="s">
        <v>440</v>
      </c>
      <c r="H44" s="64">
        <v>2450</v>
      </c>
      <c r="I44" s="64">
        <v>28.17</v>
      </c>
      <c r="J44" s="151">
        <v>36.22</v>
      </c>
    </row>
    <row r="45" spans="7:10" ht="13" x14ac:dyDescent="0.3">
      <c r="G45" s="62" t="s">
        <v>451</v>
      </c>
      <c r="H45" s="64">
        <v>1575</v>
      </c>
      <c r="I45" s="64">
        <v>18.11</v>
      </c>
      <c r="J45" s="151">
        <v>23.29</v>
      </c>
    </row>
    <row r="46" spans="7:10" ht="13.5" thickBot="1" x14ac:dyDescent="0.35">
      <c r="G46" s="72" t="s">
        <v>456</v>
      </c>
      <c r="H46" s="152">
        <v>1931</v>
      </c>
      <c r="I46" s="152">
        <v>22.2</v>
      </c>
      <c r="J46" s="153">
        <v>28.55</v>
      </c>
    </row>
    <row r="48" spans="7:10" x14ac:dyDescent="0.25">
      <c r="J48" s="4"/>
    </row>
    <row r="72" spans="2:10" x14ac:dyDescent="0.25">
      <c r="B72" t="s">
        <v>458</v>
      </c>
      <c r="C72" s="35" t="s">
        <v>459</v>
      </c>
    </row>
    <row r="74" spans="2:10" ht="13" thickBot="1" x14ac:dyDescent="0.3"/>
    <row r="75" spans="2:10" ht="13" x14ac:dyDescent="0.3">
      <c r="G75" s="274" t="s">
        <v>461</v>
      </c>
      <c r="H75" s="314"/>
      <c r="I75" s="314"/>
      <c r="J75" s="275"/>
    </row>
    <row r="76" spans="2:10" ht="13" x14ac:dyDescent="0.3">
      <c r="G76" s="62" t="s">
        <v>195</v>
      </c>
      <c r="H76" s="63" t="s">
        <v>139</v>
      </c>
      <c r="I76" s="63" t="s">
        <v>25</v>
      </c>
      <c r="J76" s="150" t="s">
        <v>452</v>
      </c>
    </row>
    <row r="77" spans="2:10" ht="13" x14ac:dyDescent="0.3">
      <c r="G77" s="62" t="s">
        <v>440</v>
      </c>
      <c r="H77" s="64">
        <v>9874</v>
      </c>
      <c r="I77" s="64">
        <v>113.53</v>
      </c>
      <c r="J77" s="151">
        <v>154.74</v>
      </c>
    </row>
    <row r="78" spans="2:10" ht="13.5" thickBot="1" x14ac:dyDescent="0.35">
      <c r="G78" s="72" t="s">
        <v>456</v>
      </c>
      <c r="H78" s="152">
        <v>1794</v>
      </c>
      <c r="I78" s="152">
        <v>20.63</v>
      </c>
      <c r="J78" s="153">
        <v>28.12</v>
      </c>
    </row>
    <row r="83" spans="2:10" x14ac:dyDescent="0.25">
      <c r="C83" s="35"/>
    </row>
    <row r="84" spans="2:10" x14ac:dyDescent="0.25">
      <c r="B84" t="s">
        <v>463</v>
      </c>
      <c r="C84" s="35" t="s">
        <v>464</v>
      </c>
    </row>
    <row r="85" spans="2:10" x14ac:dyDescent="0.25">
      <c r="C85" s="35"/>
    </row>
    <row r="86" spans="2:10" x14ac:dyDescent="0.25">
      <c r="C86" s="35"/>
    </row>
    <row r="87" spans="2:10" ht="13" thickBot="1" x14ac:dyDescent="0.3">
      <c r="C87" s="35"/>
    </row>
    <row r="88" spans="2:10" ht="13" x14ac:dyDescent="0.3">
      <c r="C88" s="35"/>
      <c r="G88" s="274" t="s">
        <v>461</v>
      </c>
      <c r="H88" s="314"/>
      <c r="I88" s="314"/>
      <c r="J88" s="275"/>
    </row>
    <row r="89" spans="2:10" ht="13" x14ac:dyDescent="0.3">
      <c r="C89" s="35"/>
      <c r="G89" s="62" t="s">
        <v>195</v>
      </c>
      <c r="H89" s="63" t="s">
        <v>139</v>
      </c>
      <c r="I89" s="63" t="s">
        <v>25</v>
      </c>
      <c r="J89" s="150" t="s">
        <v>452</v>
      </c>
    </row>
    <row r="90" spans="2:10" ht="13" x14ac:dyDescent="0.3">
      <c r="C90" s="35"/>
      <c r="G90" s="62" t="s">
        <v>440</v>
      </c>
      <c r="H90" s="64">
        <v>9790</v>
      </c>
      <c r="I90" s="64">
        <v>112.57</v>
      </c>
      <c r="J90" s="151">
        <v>168.9</v>
      </c>
    </row>
    <row r="91" spans="2:10" ht="13.5" thickBot="1" x14ac:dyDescent="0.35">
      <c r="C91" s="35"/>
      <c r="G91" s="72" t="s">
        <v>456</v>
      </c>
      <c r="H91" s="152">
        <v>32.42</v>
      </c>
      <c r="I91" s="152">
        <v>20.63</v>
      </c>
      <c r="J91" s="153">
        <v>48.64</v>
      </c>
    </row>
    <row r="92" spans="2:10" x14ac:dyDescent="0.25">
      <c r="C92" s="35"/>
    </row>
    <row r="93" spans="2:10" x14ac:dyDescent="0.25">
      <c r="C93" s="35"/>
    </row>
    <row r="94" spans="2:10" x14ac:dyDescent="0.25">
      <c r="C94" s="35"/>
    </row>
    <row r="95" spans="2:10" x14ac:dyDescent="0.25">
      <c r="C95" s="35"/>
    </row>
    <row r="96" spans="2:10" x14ac:dyDescent="0.25">
      <c r="C96" s="35"/>
    </row>
    <row r="97" spans="2:9" x14ac:dyDescent="0.25">
      <c r="C97" s="35"/>
    </row>
    <row r="98" spans="2:9" x14ac:dyDescent="0.25">
      <c r="C98" s="35" t="s">
        <v>467</v>
      </c>
    </row>
    <row r="99" spans="2:9" ht="13" thickBot="1" x14ac:dyDescent="0.3">
      <c r="C99" s="35"/>
    </row>
    <row r="100" spans="2:9" ht="13" x14ac:dyDescent="0.3">
      <c r="B100" t="s">
        <v>466</v>
      </c>
      <c r="C100" s="35"/>
      <c r="G100" s="262" t="s">
        <v>471</v>
      </c>
      <c r="H100" s="263"/>
      <c r="I100" s="155" t="s">
        <v>472</v>
      </c>
    </row>
    <row r="101" spans="2:9" x14ac:dyDescent="0.25">
      <c r="C101" s="35"/>
      <c r="G101" s="26" t="s">
        <v>440</v>
      </c>
      <c r="H101" s="8"/>
      <c r="I101" s="25"/>
    </row>
    <row r="102" spans="2:9" x14ac:dyDescent="0.25">
      <c r="C102" s="35"/>
      <c r="G102" s="26" t="s">
        <v>468</v>
      </c>
      <c r="H102" s="27">
        <v>197.03</v>
      </c>
      <c r="I102" s="25"/>
    </row>
    <row r="103" spans="2:9" x14ac:dyDescent="0.25">
      <c r="C103" s="35"/>
      <c r="G103" s="26" t="s">
        <v>469</v>
      </c>
      <c r="H103" s="27">
        <v>248.11</v>
      </c>
      <c r="I103" s="25"/>
    </row>
    <row r="104" spans="2:9" ht="13.5" thickBot="1" x14ac:dyDescent="0.35">
      <c r="C104" s="35"/>
      <c r="G104" s="146" t="s">
        <v>470</v>
      </c>
      <c r="H104" s="104">
        <f>(H102+H103)/2</f>
        <v>222.57</v>
      </c>
      <c r="I104" s="148">
        <v>313.16000000000003</v>
      </c>
    </row>
    <row r="105" spans="2:9" x14ac:dyDescent="0.25">
      <c r="C105" s="35"/>
    </row>
    <row r="106" spans="2:9" x14ac:dyDescent="0.25">
      <c r="C106" s="35"/>
    </row>
    <row r="107" spans="2:9" x14ac:dyDescent="0.25">
      <c r="C107" s="35"/>
    </row>
    <row r="108" spans="2:9" x14ac:dyDescent="0.25">
      <c r="C108" s="35"/>
    </row>
    <row r="109" spans="2:9" x14ac:dyDescent="0.25">
      <c r="C109" s="35"/>
    </row>
    <row r="110" spans="2:9" x14ac:dyDescent="0.25">
      <c r="C110" s="35"/>
    </row>
    <row r="111" spans="2:9" x14ac:dyDescent="0.25">
      <c r="C111" s="35"/>
    </row>
    <row r="112" spans="2:9" x14ac:dyDescent="0.25">
      <c r="C112" s="35"/>
    </row>
    <row r="113" spans="2:15" x14ac:dyDescent="0.25">
      <c r="C113" s="35"/>
    </row>
    <row r="114" spans="2:15" ht="13" thickBot="1" x14ac:dyDescent="0.3">
      <c r="C114" s="35"/>
    </row>
    <row r="115" spans="2:15" ht="13" x14ac:dyDescent="0.3">
      <c r="B115" t="s">
        <v>477</v>
      </c>
      <c r="C115" s="35"/>
      <c r="G115" s="157" t="s">
        <v>474</v>
      </c>
      <c r="H115" s="158" t="s">
        <v>475</v>
      </c>
    </row>
    <row r="116" spans="2:15" ht="13.5" thickBot="1" x14ac:dyDescent="0.35">
      <c r="C116" s="35"/>
      <c r="G116" s="156">
        <v>19.5</v>
      </c>
      <c r="H116" s="148">
        <v>25.7</v>
      </c>
    </row>
    <row r="117" spans="2:15" x14ac:dyDescent="0.25">
      <c r="C117" s="35"/>
    </row>
    <row r="118" spans="2:15" x14ac:dyDescent="0.25">
      <c r="C118" s="35"/>
    </row>
    <row r="120" spans="2:15" x14ac:dyDescent="0.25">
      <c r="B120" t="s">
        <v>481</v>
      </c>
      <c r="C120" s="321" t="s">
        <v>432</v>
      </c>
      <c r="D120" s="321"/>
      <c r="E120" s="321"/>
      <c r="F120" s="321"/>
      <c r="G120" s="321"/>
      <c r="H120" s="321"/>
      <c r="I120" s="321"/>
    </row>
    <row r="122" spans="2:15" ht="13" thickBot="1" x14ac:dyDescent="0.3"/>
    <row r="123" spans="2:15" ht="13" x14ac:dyDescent="0.3">
      <c r="G123" s="274" t="s">
        <v>482</v>
      </c>
      <c r="H123" s="314"/>
      <c r="I123" s="275"/>
      <c r="L123" s="145" t="s">
        <v>441</v>
      </c>
      <c r="M123" s="38" t="s">
        <v>440</v>
      </c>
      <c r="N123" s="38" t="s">
        <v>453</v>
      </c>
      <c r="O123" s="159" t="s">
        <v>454</v>
      </c>
    </row>
    <row r="124" spans="2:15" ht="13" x14ac:dyDescent="0.3">
      <c r="G124" s="62" t="s">
        <v>195</v>
      </c>
      <c r="H124" s="63" t="s">
        <v>25</v>
      </c>
      <c r="I124" s="150" t="s">
        <v>452</v>
      </c>
      <c r="L124" s="160" t="s">
        <v>480</v>
      </c>
      <c r="M124" s="161">
        <f>I125</f>
        <v>24.4</v>
      </c>
      <c r="N124" s="171">
        <f>I126</f>
        <v>95.89</v>
      </c>
      <c r="O124" s="172">
        <f>I127</f>
        <v>113.4</v>
      </c>
    </row>
    <row r="125" spans="2:15" ht="13" x14ac:dyDescent="0.3">
      <c r="G125" s="62" t="s">
        <v>440</v>
      </c>
      <c r="H125" s="64">
        <f>(15.8+20)/2</f>
        <v>17.899999999999999</v>
      </c>
      <c r="I125" s="151">
        <v>24.4</v>
      </c>
      <c r="L125" s="160" t="s">
        <v>484</v>
      </c>
      <c r="M125" s="161"/>
      <c r="N125" s="162"/>
      <c r="O125" s="168">
        <f>H135</f>
        <v>71.83</v>
      </c>
    </row>
    <row r="126" spans="2:15" ht="13" x14ac:dyDescent="0.3">
      <c r="G126" s="62" t="s">
        <v>453</v>
      </c>
      <c r="H126" s="64">
        <f>(64.2+76.5)/2</f>
        <v>70.349999999999994</v>
      </c>
      <c r="I126" s="151">
        <v>95.89</v>
      </c>
      <c r="L126" s="169" t="s">
        <v>478</v>
      </c>
      <c r="M126" s="137">
        <f>M124</f>
        <v>24.4</v>
      </c>
      <c r="N126" s="137">
        <f>N124</f>
        <v>95.89</v>
      </c>
      <c r="O126" s="66">
        <f>(O124+O125)/2</f>
        <v>92.615000000000009</v>
      </c>
    </row>
    <row r="127" spans="2:15" ht="13.5" thickBot="1" x14ac:dyDescent="0.35">
      <c r="G127" s="62" t="s">
        <v>456</v>
      </c>
      <c r="H127" s="64">
        <f>(81.7+84.7)/2</f>
        <v>83.2</v>
      </c>
      <c r="I127" s="151">
        <v>113.4</v>
      </c>
      <c r="L127" s="310" t="s">
        <v>479</v>
      </c>
      <c r="M127" s="311"/>
      <c r="N127" s="311"/>
      <c r="O127" s="50">
        <f>ROUND((M126+N126+O126),0)</f>
        <v>213</v>
      </c>
    </row>
    <row r="128" spans="2:15" ht="13.5" thickBot="1" x14ac:dyDescent="0.35">
      <c r="G128" s="324" t="s">
        <v>485</v>
      </c>
      <c r="H128" s="325"/>
      <c r="I128" s="326"/>
    </row>
    <row r="131" spans="2:14" x14ac:dyDescent="0.25">
      <c r="D131" s="35" t="s">
        <v>433</v>
      </c>
    </row>
    <row r="132" spans="2:14" x14ac:dyDescent="0.25">
      <c r="D132" s="35"/>
    </row>
    <row r="133" spans="2:14" ht="13" thickBot="1" x14ac:dyDescent="0.3">
      <c r="D133" s="35"/>
    </row>
    <row r="134" spans="2:14" ht="13" x14ac:dyDescent="0.3">
      <c r="B134" t="s">
        <v>483</v>
      </c>
      <c r="D134" s="35"/>
      <c r="G134" s="157" t="s">
        <v>474</v>
      </c>
      <c r="H134" s="158" t="s">
        <v>475</v>
      </c>
    </row>
    <row r="135" spans="2:14" ht="13.5" thickBot="1" x14ac:dyDescent="0.35">
      <c r="D135" s="35"/>
      <c r="G135" s="156">
        <v>54.5</v>
      </c>
      <c r="H135" s="148">
        <v>71.83</v>
      </c>
    </row>
    <row r="136" spans="2:14" x14ac:dyDescent="0.25">
      <c r="D136" s="35"/>
    </row>
    <row r="137" spans="2:14" x14ac:dyDescent="0.25">
      <c r="D137" s="35"/>
    </row>
    <row r="138" spans="2:14" x14ac:dyDescent="0.25">
      <c r="D138" s="35"/>
    </row>
    <row r="139" spans="2:14" x14ac:dyDescent="0.25">
      <c r="D139" s="35"/>
    </row>
    <row r="140" spans="2:14" x14ac:dyDescent="0.25">
      <c r="B140" t="s">
        <v>486</v>
      </c>
      <c r="C140" s="35" t="s">
        <v>434</v>
      </c>
    </row>
    <row r="141" spans="2:14" x14ac:dyDescent="0.25">
      <c r="D141" s="35"/>
    </row>
    <row r="143" spans="2:14" ht="13" thickBot="1" x14ac:dyDescent="0.3"/>
    <row r="144" spans="2:14" ht="13" x14ac:dyDescent="0.3">
      <c r="G144" s="274" t="s">
        <v>487</v>
      </c>
      <c r="H144" s="314"/>
      <c r="I144" s="275"/>
      <c r="K144" s="145" t="s">
        <v>441</v>
      </c>
      <c r="L144" s="38" t="s">
        <v>440</v>
      </c>
      <c r="M144" s="38" t="s">
        <v>453</v>
      </c>
      <c r="N144" s="159" t="s">
        <v>454</v>
      </c>
    </row>
    <row r="145" spans="2:14" ht="13" x14ac:dyDescent="0.3">
      <c r="G145" s="62" t="s">
        <v>195</v>
      </c>
      <c r="H145" s="63" t="s">
        <v>25</v>
      </c>
      <c r="I145" s="150" t="s">
        <v>452</v>
      </c>
      <c r="K145" s="160" t="s">
        <v>491</v>
      </c>
      <c r="L145" s="161">
        <f>I146</f>
        <v>13.87</v>
      </c>
      <c r="M145" s="164">
        <f>I147</f>
        <v>42.99</v>
      </c>
      <c r="N145" s="165">
        <f>I148</f>
        <v>15.25</v>
      </c>
    </row>
    <row r="146" spans="2:14" ht="13" x14ac:dyDescent="0.3">
      <c r="G146" s="62" t="s">
        <v>440</v>
      </c>
      <c r="H146" s="64">
        <v>10</v>
      </c>
      <c r="I146" s="151">
        <v>13.87</v>
      </c>
      <c r="K146" s="160" t="s">
        <v>492</v>
      </c>
      <c r="L146" s="161">
        <f>I157</f>
        <v>58.88</v>
      </c>
      <c r="M146" s="162"/>
      <c r="N146" s="165">
        <f>I159</f>
        <v>38.67</v>
      </c>
    </row>
    <row r="147" spans="2:14" ht="13" x14ac:dyDescent="0.3">
      <c r="G147" s="62" t="s">
        <v>453</v>
      </c>
      <c r="H147" s="64">
        <v>31</v>
      </c>
      <c r="I147" s="151">
        <v>42.99</v>
      </c>
      <c r="K147" s="160" t="s">
        <v>493</v>
      </c>
      <c r="L147" s="161"/>
      <c r="M147" s="162"/>
      <c r="N147" s="166">
        <f>H164</f>
        <v>67.48</v>
      </c>
    </row>
    <row r="148" spans="2:14" ht="13.5" thickBot="1" x14ac:dyDescent="0.35">
      <c r="G148" s="72" t="s">
        <v>456</v>
      </c>
      <c r="H148" s="152">
        <v>11</v>
      </c>
      <c r="I148" s="153">
        <v>15.25</v>
      </c>
      <c r="K148" s="169" t="s">
        <v>478</v>
      </c>
      <c r="L148" s="137">
        <f>(L145+L146)/2</f>
        <v>36.375</v>
      </c>
      <c r="M148" s="137">
        <f>M145</f>
        <v>42.99</v>
      </c>
      <c r="N148" s="68">
        <f>(N145+N146+N147)/3</f>
        <v>40.466666666666669</v>
      </c>
    </row>
    <row r="149" spans="2:14" ht="13.5" thickBot="1" x14ac:dyDescent="0.35">
      <c r="K149" s="310" t="s">
        <v>479</v>
      </c>
      <c r="L149" s="311"/>
      <c r="M149" s="311"/>
      <c r="N149" s="50">
        <f>ROUND((L148+M148+N148),0)</f>
        <v>120</v>
      </c>
    </row>
    <row r="154" spans="2:14" ht="13" thickBot="1" x14ac:dyDescent="0.3">
      <c r="B154" t="s">
        <v>489</v>
      </c>
      <c r="C154" s="35" t="s">
        <v>433</v>
      </c>
    </row>
    <row r="155" spans="2:14" ht="13" x14ac:dyDescent="0.3">
      <c r="G155" s="274" t="s">
        <v>488</v>
      </c>
      <c r="H155" s="314"/>
      <c r="I155" s="275"/>
    </row>
    <row r="156" spans="2:14" ht="13" x14ac:dyDescent="0.3">
      <c r="G156" s="62" t="s">
        <v>195</v>
      </c>
      <c r="H156" s="63" t="s">
        <v>25</v>
      </c>
      <c r="I156" s="150" t="s">
        <v>452</v>
      </c>
    </row>
    <row r="157" spans="2:14" ht="13" x14ac:dyDescent="0.3">
      <c r="G157" s="62" t="s">
        <v>440</v>
      </c>
      <c r="H157" s="64">
        <v>45.79</v>
      </c>
      <c r="I157" s="151">
        <v>58.88</v>
      </c>
    </row>
    <row r="158" spans="2:14" ht="13" x14ac:dyDescent="0.3">
      <c r="G158" s="62" t="s">
        <v>453</v>
      </c>
      <c r="H158" s="64"/>
      <c r="I158" s="151"/>
    </row>
    <row r="159" spans="2:14" ht="13.5" thickBot="1" x14ac:dyDescent="0.35">
      <c r="G159" s="72" t="s">
        <v>456</v>
      </c>
      <c r="H159" s="152">
        <v>30.07</v>
      </c>
      <c r="I159" s="153">
        <v>38.67</v>
      </c>
    </row>
    <row r="162" spans="2:14" ht="13" thickBot="1" x14ac:dyDescent="0.3">
      <c r="B162" t="s">
        <v>490</v>
      </c>
    </row>
    <row r="163" spans="2:14" ht="13" x14ac:dyDescent="0.3">
      <c r="G163" s="157" t="s">
        <v>474</v>
      </c>
      <c r="H163" s="158" t="s">
        <v>475</v>
      </c>
    </row>
    <row r="164" spans="2:14" ht="13.5" thickBot="1" x14ac:dyDescent="0.35">
      <c r="G164" s="156">
        <v>51.2</v>
      </c>
      <c r="H164" s="148">
        <v>67.48</v>
      </c>
    </row>
    <row r="167" spans="2:14" x14ac:dyDescent="0.25">
      <c r="B167" t="s">
        <v>494</v>
      </c>
      <c r="C167" s="321" t="s">
        <v>435</v>
      </c>
      <c r="D167" s="321"/>
      <c r="E167" s="321"/>
      <c r="F167" s="321"/>
      <c r="G167" s="321"/>
      <c r="H167" s="321"/>
    </row>
    <row r="169" spans="2:14" ht="13" thickBot="1" x14ac:dyDescent="0.3"/>
    <row r="170" spans="2:14" ht="13" x14ac:dyDescent="0.3">
      <c r="G170" s="274" t="s">
        <v>495</v>
      </c>
      <c r="H170" s="314"/>
      <c r="I170" s="275"/>
      <c r="K170" s="145" t="s">
        <v>441</v>
      </c>
      <c r="L170" s="38" t="s">
        <v>440</v>
      </c>
      <c r="M170" s="38" t="s">
        <v>453</v>
      </c>
      <c r="N170" s="159" t="s">
        <v>454</v>
      </c>
    </row>
    <row r="171" spans="2:14" ht="13" x14ac:dyDescent="0.3">
      <c r="G171" s="62" t="s">
        <v>195</v>
      </c>
      <c r="H171" s="63" t="s">
        <v>25</v>
      </c>
      <c r="I171" s="150" t="s">
        <v>452</v>
      </c>
      <c r="K171" s="160" t="s">
        <v>497</v>
      </c>
      <c r="L171" s="161">
        <f>I172</f>
        <v>278.35000000000002</v>
      </c>
      <c r="M171" s="164">
        <f>I173</f>
        <v>116.08</v>
      </c>
      <c r="N171" s="165">
        <f>I174</f>
        <v>112.34</v>
      </c>
    </row>
    <row r="172" spans="2:14" ht="13" x14ac:dyDescent="0.3">
      <c r="G172" s="62" t="s">
        <v>440</v>
      </c>
      <c r="H172" s="64">
        <v>223</v>
      </c>
      <c r="I172" s="151">
        <v>278.35000000000002</v>
      </c>
      <c r="K172" s="160" t="s">
        <v>500</v>
      </c>
      <c r="L172" s="308">
        <v>426.32</v>
      </c>
      <c r="M172" s="309"/>
      <c r="N172" s="165"/>
    </row>
    <row r="173" spans="2:14" ht="13" x14ac:dyDescent="0.3">
      <c r="G173" s="62" t="s">
        <v>453</v>
      </c>
      <c r="H173" s="64">
        <v>93</v>
      </c>
      <c r="I173" s="151">
        <v>116.08</v>
      </c>
      <c r="K173" s="169" t="s">
        <v>478</v>
      </c>
      <c r="L173" s="137">
        <f>(L171+L172+M171)/3</f>
        <v>273.58333333333337</v>
      </c>
      <c r="M173" s="137"/>
      <c r="N173" s="68">
        <f>N171</f>
        <v>112.34</v>
      </c>
    </row>
    <row r="174" spans="2:14" ht="13.5" thickBot="1" x14ac:dyDescent="0.35">
      <c r="G174" s="72" t="s">
        <v>456</v>
      </c>
      <c r="H174" s="152">
        <v>90</v>
      </c>
      <c r="I174" s="153">
        <v>112.34</v>
      </c>
      <c r="K174" s="310" t="s">
        <v>479</v>
      </c>
      <c r="L174" s="311"/>
      <c r="M174" s="311"/>
      <c r="N174" s="50">
        <f>ROUND((L173+M173+N173),0)</f>
        <v>386</v>
      </c>
    </row>
    <row r="181" spans="2:9" x14ac:dyDescent="0.25">
      <c r="B181" t="s">
        <v>496</v>
      </c>
      <c r="C181" s="35" t="s">
        <v>498</v>
      </c>
    </row>
    <row r="182" spans="2:9" ht="13" thickBot="1" x14ac:dyDescent="0.3"/>
    <row r="183" spans="2:9" ht="13" x14ac:dyDescent="0.3">
      <c r="G183" s="274" t="s">
        <v>499</v>
      </c>
      <c r="H183" s="314"/>
      <c r="I183" s="275"/>
    </row>
    <row r="184" spans="2:9" ht="13" x14ac:dyDescent="0.3">
      <c r="G184" s="62" t="s">
        <v>195</v>
      </c>
      <c r="H184" s="63" t="s">
        <v>25</v>
      </c>
      <c r="I184" s="150" t="s">
        <v>452</v>
      </c>
    </row>
    <row r="185" spans="2:9" ht="13" x14ac:dyDescent="0.3">
      <c r="G185" s="62" t="s">
        <v>440</v>
      </c>
      <c r="H185" s="306">
        <f>(406.06+268.72)/2</f>
        <v>337.39</v>
      </c>
      <c r="I185" s="322">
        <v>426.32</v>
      </c>
    </row>
    <row r="186" spans="2:9" ht="13" x14ac:dyDescent="0.3">
      <c r="G186" s="62" t="s">
        <v>453</v>
      </c>
      <c r="H186" s="307"/>
      <c r="I186" s="323"/>
    </row>
    <row r="187" spans="2:9" ht="13.5" thickBot="1" x14ac:dyDescent="0.35">
      <c r="G187" s="72" t="s">
        <v>456</v>
      </c>
      <c r="H187" s="152"/>
      <c r="I187" s="153"/>
    </row>
    <row r="192" spans="2:9" x14ac:dyDescent="0.25">
      <c r="B192" t="s">
        <v>501</v>
      </c>
      <c r="C192" s="35" t="s">
        <v>437</v>
      </c>
    </row>
    <row r="194" spans="1:14" ht="13" thickBot="1" x14ac:dyDescent="0.3"/>
    <row r="195" spans="1:14" ht="13" x14ac:dyDescent="0.3">
      <c r="G195" s="274" t="s">
        <v>502</v>
      </c>
      <c r="H195" s="314"/>
      <c r="I195" s="275"/>
      <c r="K195" s="145" t="s">
        <v>441</v>
      </c>
      <c r="L195" s="38" t="s">
        <v>440</v>
      </c>
      <c r="M195" s="38" t="s">
        <v>453</v>
      </c>
      <c r="N195" s="159" t="s">
        <v>454</v>
      </c>
    </row>
    <row r="196" spans="1:14" ht="13" x14ac:dyDescent="0.3">
      <c r="G196" s="62" t="s">
        <v>195</v>
      </c>
      <c r="H196" s="63" t="s">
        <v>25</v>
      </c>
      <c r="I196" s="150" t="s">
        <v>452</v>
      </c>
      <c r="K196" s="160" t="s">
        <v>505</v>
      </c>
      <c r="L196" s="161">
        <f>I197</f>
        <v>63.4</v>
      </c>
      <c r="M196" s="164">
        <f>I198</f>
        <v>55.32</v>
      </c>
      <c r="N196" s="165">
        <f>I199</f>
        <v>68.650000000000006</v>
      </c>
    </row>
    <row r="197" spans="1:14" ht="13" x14ac:dyDescent="0.3">
      <c r="G197" s="62" t="s">
        <v>440</v>
      </c>
      <c r="H197" s="74">
        <v>47.1</v>
      </c>
      <c r="I197" s="149">
        <v>63.4</v>
      </c>
      <c r="K197" s="160" t="s">
        <v>506</v>
      </c>
      <c r="L197" s="161">
        <f>I209</f>
        <v>65.66</v>
      </c>
      <c r="M197" s="173"/>
      <c r="N197" s="165"/>
    </row>
    <row r="198" spans="1:14" ht="13" x14ac:dyDescent="0.3">
      <c r="G198" s="62" t="s">
        <v>453</v>
      </c>
      <c r="H198" s="74">
        <v>41.1</v>
      </c>
      <c r="I198" s="149">
        <v>55.32</v>
      </c>
      <c r="K198" s="160" t="s">
        <v>507</v>
      </c>
      <c r="L198" s="161">
        <f>I219</f>
        <v>65.819999999999993</v>
      </c>
      <c r="M198" s="161">
        <f>I220</f>
        <v>88.57</v>
      </c>
      <c r="N198" s="165">
        <f>I221</f>
        <v>84.53</v>
      </c>
    </row>
    <row r="199" spans="1:14" ht="13.5" thickBot="1" x14ac:dyDescent="0.35">
      <c r="G199" s="72" t="s">
        <v>456</v>
      </c>
      <c r="H199" s="152">
        <v>51</v>
      </c>
      <c r="I199" s="153">
        <v>68.650000000000006</v>
      </c>
      <c r="K199" s="169" t="s">
        <v>478</v>
      </c>
      <c r="L199" s="137">
        <f>(L196+L197+L198)/3</f>
        <v>64.959999999999994</v>
      </c>
      <c r="M199" s="137">
        <f>(M196+M198)/2</f>
        <v>71.944999999999993</v>
      </c>
      <c r="N199" s="68">
        <f>(N196+N198)/2</f>
        <v>76.59</v>
      </c>
    </row>
    <row r="200" spans="1:14" ht="13.5" thickBot="1" x14ac:dyDescent="0.35">
      <c r="K200" s="310" t="s">
        <v>479</v>
      </c>
      <c r="L200" s="311"/>
      <c r="M200" s="311"/>
      <c r="N200" s="50">
        <f>ROUND((L199+M199+N199),0)</f>
        <v>213</v>
      </c>
    </row>
    <row r="206" spans="1:14" ht="13" thickBot="1" x14ac:dyDescent="0.3"/>
    <row r="207" spans="1:14" ht="13" x14ac:dyDescent="0.3">
      <c r="A207" t="s">
        <v>503</v>
      </c>
      <c r="B207" s="35" t="s">
        <v>436</v>
      </c>
      <c r="G207" s="274" t="s">
        <v>504</v>
      </c>
      <c r="H207" s="314"/>
      <c r="I207" s="275"/>
    </row>
    <row r="208" spans="1:14" ht="13" x14ac:dyDescent="0.3">
      <c r="G208" s="62" t="s">
        <v>195</v>
      </c>
      <c r="H208" s="63" t="s">
        <v>25</v>
      </c>
      <c r="I208" s="150" t="s">
        <v>452</v>
      </c>
    </row>
    <row r="209" spans="1:9" ht="13" x14ac:dyDescent="0.3">
      <c r="G209" s="62" t="s">
        <v>440</v>
      </c>
      <c r="H209" s="74">
        <v>48.1</v>
      </c>
      <c r="I209" s="149">
        <v>65.66</v>
      </c>
    </row>
    <row r="210" spans="1:9" ht="13" x14ac:dyDescent="0.3">
      <c r="G210" s="62" t="s">
        <v>453</v>
      </c>
      <c r="H210" s="74"/>
      <c r="I210" s="149"/>
    </row>
    <row r="211" spans="1:9" ht="13.5" thickBot="1" x14ac:dyDescent="0.35">
      <c r="G211" s="72" t="s">
        <v>456</v>
      </c>
      <c r="H211" s="152"/>
      <c r="I211" s="153"/>
    </row>
    <row r="213" spans="1:9" x14ac:dyDescent="0.25">
      <c r="A213" t="s">
        <v>503</v>
      </c>
      <c r="B213" s="35" t="s">
        <v>437</v>
      </c>
    </row>
    <row r="216" spans="1:9" ht="13" thickBot="1" x14ac:dyDescent="0.3"/>
    <row r="217" spans="1:9" ht="13" x14ac:dyDescent="0.3">
      <c r="G217" s="274" t="s">
        <v>502</v>
      </c>
      <c r="H217" s="314"/>
      <c r="I217" s="275"/>
    </row>
    <row r="218" spans="1:9" ht="13" x14ac:dyDescent="0.3">
      <c r="G218" s="62" t="s">
        <v>195</v>
      </c>
      <c r="H218" s="63" t="s">
        <v>25</v>
      </c>
      <c r="I218" s="150" t="s">
        <v>452</v>
      </c>
    </row>
    <row r="219" spans="1:9" ht="13" x14ac:dyDescent="0.3">
      <c r="G219" s="62" t="s">
        <v>440</v>
      </c>
      <c r="H219" s="74">
        <v>48.9</v>
      </c>
      <c r="I219" s="149">
        <v>65.819999999999993</v>
      </c>
    </row>
    <row r="220" spans="1:9" ht="13" x14ac:dyDescent="0.3">
      <c r="G220" s="62" t="s">
        <v>453</v>
      </c>
      <c r="H220" s="74">
        <v>65.8</v>
      </c>
      <c r="I220" s="149">
        <v>88.57</v>
      </c>
    </row>
    <row r="221" spans="1:9" ht="13.5" thickBot="1" x14ac:dyDescent="0.35">
      <c r="G221" s="72" t="s">
        <v>456</v>
      </c>
      <c r="H221" s="152">
        <v>62.8</v>
      </c>
      <c r="I221" s="153">
        <v>84.53</v>
      </c>
    </row>
    <row r="231" spans="1:14" x14ac:dyDescent="0.25">
      <c r="A231" t="s">
        <v>508</v>
      </c>
      <c r="B231" s="35" t="s">
        <v>438</v>
      </c>
    </row>
    <row r="234" spans="1:14" ht="13" thickBot="1" x14ac:dyDescent="0.3"/>
    <row r="235" spans="1:14" ht="13" x14ac:dyDescent="0.3">
      <c r="G235" s="274" t="s">
        <v>509</v>
      </c>
      <c r="H235" s="314"/>
      <c r="I235" s="275"/>
      <c r="K235" s="145" t="s">
        <v>441</v>
      </c>
      <c r="L235" s="38" t="s">
        <v>440</v>
      </c>
      <c r="M235" s="38" t="s">
        <v>453</v>
      </c>
      <c r="N235" s="159" t="s">
        <v>454</v>
      </c>
    </row>
    <row r="236" spans="1:14" ht="13" x14ac:dyDescent="0.3">
      <c r="G236" s="62" t="s">
        <v>195</v>
      </c>
      <c r="H236" s="63" t="s">
        <v>25</v>
      </c>
      <c r="I236" s="150" t="s">
        <v>452</v>
      </c>
      <c r="K236" s="160" t="s">
        <v>511</v>
      </c>
      <c r="L236" s="161">
        <f>I237</f>
        <v>604.23</v>
      </c>
      <c r="M236" s="164">
        <f>I238</f>
        <v>105.33</v>
      </c>
      <c r="N236" s="165"/>
    </row>
    <row r="237" spans="1:14" ht="13" x14ac:dyDescent="0.3">
      <c r="G237" s="62" t="s">
        <v>440</v>
      </c>
      <c r="H237" s="74">
        <f>565.04*0.76</f>
        <v>429.43039999999996</v>
      </c>
      <c r="I237" s="149">
        <v>604.23</v>
      </c>
      <c r="K237" s="160" t="s">
        <v>512</v>
      </c>
      <c r="L237" s="308"/>
      <c r="M237" s="309"/>
      <c r="N237" s="165">
        <f>H276</f>
        <v>56.01</v>
      </c>
    </row>
    <row r="238" spans="1:14" ht="13" x14ac:dyDescent="0.3">
      <c r="G238" s="62" t="s">
        <v>453</v>
      </c>
      <c r="H238" s="74">
        <v>75</v>
      </c>
      <c r="I238" s="149">
        <v>105.33</v>
      </c>
      <c r="K238" s="169" t="s">
        <v>478</v>
      </c>
      <c r="L238" s="137">
        <f>L236</f>
        <v>604.23</v>
      </c>
      <c r="M238" s="137">
        <f>M236</f>
        <v>105.33</v>
      </c>
      <c r="N238" s="68">
        <f>N237</f>
        <v>56.01</v>
      </c>
    </row>
    <row r="239" spans="1:14" ht="13.5" thickBot="1" x14ac:dyDescent="0.35">
      <c r="G239" s="62" t="s">
        <v>456</v>
      </c>
      <c r="H239" s="64"/>
      <c r="I239" s="151"/>
      <c r="K239" s="310" t="s">
        <v>479</v>
      </c>
      <c r="L239" s="311"/>
      <c r="M239" s="311"/>
      <c r="N239" s="50">
        <f>ROUND((L238+M238+N238),0)</f>
        <v>766</v>
      </c>
    </row>
    <row r="240" spans="1:14" ht="13.5" customHeight="1" x14ac:dyDescent="0.25">
      <c r="G240" s="315" t="s">
        <v>510</v>
      </c>
      <c r="H240" s="316"/>
      <c r="I240" s="317"/>
    </row>
    <row r="241" spans="1:9" ht="13" thickBot="1" x14ac:dyDescent="0.3">
      <c r="G241" s="318"/>
      <c r="H241" s="319"/>
      <c r="I241" s="320"/>
    </row>
    <row r="252" spans="1:9" x14ac:dyDescent="0.25">
      <c r="A252" s="35" t="s">
        <v>439</v>
      </c>
    </row>
    <row r="274" spans="1:15" ht="13" thickBot="1" x14ac:dyDescent="0.3">
      <c r="A274" t="s">
        <v>490</v>
      </c>
    </row>
    <row r="275" spans="1:15" ht="13" x14ac:dyDescent="0.3">
      <c r="G275" s="157" t="s">
        <v>474</v>
      </c>
      <c r="H275" s="158" t="s">
        <v>475</v>
      </c>
    </row>
    <row r="276" spans="1:15" ht="13.5" thickBot="1" x14ac:dyDescent="0.35">
      <c r="G276" s="156">
        <v>42.5</v>
      </c>
      <c r="H276" s="148">
        <v>56.01</v>
      </c>
    </row>
    <row r="280" spans="1:15" x14ac:dyDescent="0.25">
      <c r="A280" t="s">
        <v>513</v>
      </c>
      <c r="B280" s="35" t="s">
        <v>514</v>
      </c>
    </row>
    <row r="283" spans="1:15" ht="13" thickBot="1" x14ac:dyDescent="0.3"/>
    <row r="284" spans="1:15" ht="13" x14ac:dyDescent="0.3">
      <c r="H284" s="274" t="s">
        <v>515</v>
      </c>
      <c r="I284" s="314"/>
      <c r="J284" s="275"/>
      <c r="L284" s="145" t="s">
        <v>441</v>
      </c>
      <c r="M284" s="38" t="s">
        <v>440</v>
      </c>
      <c r="N284" s="38" t="s">
        <v>453</v>
      </c>
      <c r="O284" s="159" t="s">
        <v>454</v>
      </c>
    </row>
    <row r="285" spans="1:15" ht="13" x14ac:dyDescent="0.3">
      <c r="H285" s="62" t="s">
        <v>195</v>
      </c>
      <c r="I285" s="63" t="s">
        <v>25</v>
      </c>
      <c r="J285" s="150" t="s">
        <v>452</v>
      </c>
      <c r="L285" s="160" t="s">
        <v>519</v>
      </c>
      <c r="M285" s="161">
        <f>J286</f>
        <v>343.48</v>
      </c>
      <c r="N285" s="164">
        <f>J287</f>
        <v>44.74</v>
      </c>
      <c r="O285" s="165">
        <f>J288</f>
        <v>28.56</v>
      </c>
    </row>
    <row r="286" spans="1:15" ht="13" x14ac:dyDescent="0.3">
      <c r="H286" s="62" t="s">
        <v>440</v>
      </c>
      <c r="I286" s="74">
        <v>260.62</v>
      </c>
      <c r="J286" s="149">
        <v>343.48</v>
      </c>
      <c r="L286" s="160" t="s">
        <v>520</v>
      </c>
      <c r="M286" s="161">
        <f>J299</f>
        <v>238.47</v>
      </c>
      <c r="N286" s="173"/>
      <c r="O286" s="165"/>
    </row>
    <row r="287" spans="1:15" ht="13" x14ac:dyDescent="0.3">
      <c r="H287" s="62" t="s">
        <v>453</v>
      </c>
      <c r="I287" s="74">
        <v>33.950000000000003</v>
      </c>
      <c r="J287" s="149">
        <v>44.74</v>
      </c>
      <c r="L287" s="160" t="s">
        <v>521</v>
      </c>
      <c r="M287" s="161"/>
      <c r="N287" s="161"/>
      <c r="O287" s="165">
        <f>I310</f>
        <v>61.72</v>
      </c>
    </row>
    <row r="288" spans="1:15" ht="13.5" thickBot="1" x14ac:dyDescent="0.35">
      <c r="H288" s="72" t="s">
        <v>456</v>
      </c>
      <c r="I288" s="152">
        <v>21.67</v>
      </c>
      <c r="J288" s="153">
        <v>28.56</v>
      </c>
      <c r="L288" s="169" t="s">
        <v>478</v>
      </c>
      <c r="M288" s="137">
        <f>(M285+M286)/2</f>
        <v>290.97500000000002</v>
      </c>
      <c r="N288" s="137">
        <f>N285</f>
        <v>44.74</v>
      </c>
      <c r="O288" s="68">
        <f>(O285+O287)/2</f>
        <v>45.14</v>
      </c>
    </row>
    <row r="289" spans="1:15" ht="13.5" thickBot="1" x14ac:dyDescent="0.35">
      <c r="L289" s="310" t="s">
        <v>479</v>
      </c>
      <c r="M289" s="311"/>
      <c r="N289" s="311"/>
      <c r="O289" s="50">
        <f>ROUND((M288+N288+O288),0)</f>
        <v>381</v>
      </c>
    </row>
    <row r="294" spans="1:15" x14ac:dyDescent="0.25">
      <c r="A294" t="s">
        <v>518</v>
      </c>
      <c r="B294" s="35" t="s">
        <v>516</v>
      </c>
    </row>
    <row r="296" spans="1:15" ht="13" thickBot="1" x14ac:dyDescent="0.3"/>
    <row r="297" spans="1:15" ht="13" x14ac:dyDescent="0.3">
      <c r="H297" s="274" t="s">
        <v>517</v>
      </c>
      <c r="I297" s="314"/>
      <c r="J297" s="275"/>
    </row>
    <row r="298" spans="1:15" ht="13" x14ac:dyDescent="0.3">
      <c r="H298" s="62" t="s">
        <v>195</v>
      </c>
      <c r="I298" s="63" t="s">
        <v>25</v>
      </c>
      <c r="J298" s="150" t="s">
        <v>452</v>
      </c>
    </row>
    <row r="299" spans="1:15" ht="13" x14ac:dyDescent="0.3">
      <c r="H299" s="62" t="s">
        <v>440</v>
      </c>
      <c r="I299" s="74">
        <f>(161.42+220.68)/2</f>
        <v>191.05</v>
      </c>
      <c r="J299" s="149">
        <v>238.47</v>
      </c>
    </row>
    <row r="300" spans="1:15" ht="13" x14ac:dyDescent="0.3">
      <c r="H300" s="62" t="s">
        <v>453</v>
      </c>
      <c r="I300" s="74"/>
      <c r="J300" s="149"/>
    </row>
    <row r="301" spans="1:15" ht="13.5" thickBot="1" x14ac:dyDescent="0.35">
      <c r="H301" s="72" t="s">
        <v>456</v>
      </c>
      <c r="I301" s="152"/>
      <c r="J301" s="153"/>
    </row>
    <row r="308" spans="1:9" ht="13" thickBot="1" x14ac:dyDescent="0.3"/>
    <row r="309" spans="1:9" ht="13" x14ac:dyDescent="0.3">
      <c r="A309" t="s">
        <v>518</v>
      </c>
      <c r="H309" s="157" t="s">
        <v>474</v>
      </c>
      <c r="I309" s="158" t="s">
        <v>475</v>
      </c>
    </row>
    <row r="310" spans="1:9" ht="13.5" thickBot="1" x14ac:dyDescent="0.35">
      <c r="H310" s="156">
        <v>48</v>
      </c>
      <c r="I310" s="148">
        <v>61.72</v>
      </c>
    </row>
    <row r="318" spans="1:9" x14ac:dyDescent="0.25">
      <c r="A318" t="s">
        <v>522</v>
      </c>
      <c r="B318" s="35" t="s">
        <v>523</v>
      </c>
    </row>
    <row r="323" spans="8:15" ht="13" thickBot="1" x14ac:dyDescent="0.3"/>
    <row r="324" spans="8:15" ht="13" x14ac:dyDescent="0.3">
      <c r="H324" s="274" t="s">
        <v>524</v>
      </c>
      <c r="I324" s="314"/>
      <c r="J324" s="275"/>
      <c r="L324" s="145" t="s">
        <v>441</v>
      </c>
      <c r="M324" s="38" t="s">
        <v>440</v>
      </c>
      <c r="N324" s="38" t="s">
        <v>453</v>
      </c>
      <c r="O324" s="159" t="s">
        <v>454</v>
      </c>
    </row>
    <row r="325" spans="8:15" ht="13" x14ac:dyDescent="0.3">
      <c r="H325" s="62" t="s">
        <v>195</v>
      </c>
      <c r="I325" s="63" t="s">
        <v>25</v>
      </c>
      <c r="J325" s="150" t="s">
        <v>452</v>
      </c>
      <c r="L325" s="160" t="s">
        <v>526</v>
      </c>
      <c r="M325" s="308">
        <f>J326</f>
        <v>105.04</v>
      </c>
      <c r="N325" s="309"/>
      <c r="O325" s="165">
        <f>J328</f>
        <v>15.7</v>
      </c>
    </row>
    <row r="326" spans="8:15" ht="13" x14ac:dyDescent="0.3">
      <c r="H326" s="62" t="s">
        <v>440</v>
      </c>
      <c r="I326" s="306">
        <v>70.900000000000006</v>
      </c>
      <c r="J326" s="149">
        <v>105.04</v>
      </c>
      <c r="L326" s="160" t="s">
        <v>527</v>
      </c>
      <c r="M326" s="308"/>
      <c r="N326" s="309"/>
      <c r="O326" s="165">
        <f>I342</f>
        <v>15.68</v>
      </c>
    </row>
    <row r="327" spans="8:15" ht="13" x14ac:dyDescent="0.3">
      <c r="H327" s="62" t="s">
        <v>453</v>
      </c>
      <c r="I327" s="307"/>
      <c r="J327" s="149"/>
      <c r="L327" s="169" t="s">
        <v>478</v>
      </c>
      <c r="M327" s="312">
        <f>M325</f>
        <v>105.04</v>
      </c>
      <c r="N327" s="313"/>
      <c r="O327" s="68">
        <f>(O325+O326)/2</f>
        <v>15.69</v>
      </c>
    </row>
    <row r="328" spans="8:15" ht="13.5" thickBot="1" x14ac:dyDescent="0.35">
      <c r="H328" s="72" t="s">
        <v>456</v>
      </c>
      <c r="I328" s="152">
        <v>10.6</v>
      </c>
      <c r="J328" s="153">
        <v>15.7</v>
      </c>
      <c r="L328" s="310" t="s">
        <v>479</v>
      </c>
      <c r="M328" s="311"/>
      <c r="N328" s="311"/>
      <c r="O328" s="50">
        <f>ROUND((M327+N327+O327),0)</f>
        <v>121</v>
      </c>
    </row>
    <row r="339" spans="1:9" x14ac:dyDescent="0.25">
      <c r="A339" t="s">
        <v>525</v>
      </c>
    </row>
    <row r="340" spans="1:9" ht="13" thickBot="1" x14ac:dyDescent="0.3"/>
    <row r="341" spans="1:9" ht="13" x14ac:dyDescent="0.3">
      <c r="H341" s="157" t="s">
        <v>474</v>
      </c>
      <c r="I341" s="158" t="s">
        <v>475</v>
      </c>
    </row>
    <row r="342" spans="1:9" ht="13.5" thickBot="1" x14ac:dyDescent="0.35">
      <c r="H342" s="156">
        <v>11.9</v>
      </c>
      <c r="I342" s="148">
        <v>15.68</v>
      </c>
    </row>
  </sheetData>
  <mergeCells count="42">
    <mergeCell ref="G75:J75"/>
    <mergeCell ref="G88:J88"/>
    <mergeCell ref="L5:M5"/>
    <mergeCell ref="G16:J16"/>
    <mergeCell ref="G100:H100"/>
    <mergeCell ref="L15:N15"/>
    <mergeCell ref="G6:I6"/>
    <mergeCell ref="H10:I10"/>
    <mergeCell ref="J7:J9"/>
    <mergeCell ref="G20:J20"/>
    <mergeCell ref="G42:J42"/>
    <mergeCell ref="G128:I128"/>
    <mergeCell ref="G144:I144"/>
    <mergeCell ref="G155:I155"/>
    <mergeCell ref="K149:M149"/>
    <mergeCell ref="C120:I120"/>
    <mergeCell ref="G123:I123"/>
    <mergeCell ref="L127:N127"/>
    <mergeCell ref="K174:M174"/>
    <mergeCell ref="G183:I183"/>
    <mergeCell ref="H185:H186"/>
    <mergeCell ref="I185:I186"/>
    <mergeCell ref="L172:M172"/>
    <mergeCell ref="G195:I195"/>
    <mergeCell ref="G207:I207"/>
    <mergeCell ref="G217:I217"/>
    <mergeCell ref="C167:H167"/>
    <mergeCell ref="G170:I170"/>
    <mergeCell ref="H284:J284"/>
    <mergeCell ref="H297:J297"/>
    <mergeCell ref="L289:N289"/>
    <mergeCell ref="H324:J324"/>
    <mergeCell ref="K200:M200"/>
    <mergeCell ref="G235:I235"/>
    <mergeCell ref="G240:I241"/>
    <mergeCell ref="L237:M237"/>
    <mergeCell ref="K239:M239"/>
    <mergeCell ref="I326:I327"/>
    <mergeCell ref="M326:N326"/>
    <mergeCell ref="L328:N328"/>
    <mergeCell ref="M325:N325"/>
    <mergeCell ref="M327:N327"/>
  </mergeCells>
  <phoneticPr fontId="10" type="noConversion"/>
  <hyperlinks>
    <hyperlink ref="C15" r:id="rId1" display="https://pubmed.ncbi.nlm.nih.gov/33707391/" xr:uid="{5A334EE7-A607-4A9D-BA9C-180638F74067}"/>
    <hyperlink ref="C31" r:id="rId2" location=":~:text=The%20average%20total%20cost%20for,for%20one%20episode%20of%20Chikungunya." display="https://pmc.ncbi.nlm.nih.gov/articles/PMC9731033/ - :~:text=The%20average%20total%20cost%20for,for%20one%20episode%20of%20Chikungunya." xr:uid="{C2699480-7E3C-4E39-81C0-A35C7C1F5A3A}"/>
    <hyperlink ref="C2" r:id="rId3" display="https://www.sciencedirect.com/science/article/pii/S1201971219300979" xr:uid="{311B9B73-B216-4637-B960-60B6F341E900}"/>
    <hyperlink ref="C120" r:id="rId4" display="https://journals.plos.org/plosntds/article?id=10.1371/journal.pntd.0005961" xr:uid="{B44D9819-DFC3-4934-8006-C380BDC0984E}"/>
    <hyperlink ref="D131" r:id="rId5" display="https://www.niid.health.gov.lk/wp-content/uploads/2024/07/dengue-cost-article.pdf" xr:uid="{E841DDBE-7B76-44C8-89CD-8CAEDFFCF77D}"/>
    <hyperlink ref="C140" r:id="rId6" display="https://pmc.ncbi.nlm.nih.gov/articles/PMC8274749/pdf/tpmd201179.pdf" xr:uid="{F683930F-6F7F-411B-848D-0930DECDF4BE}"/>
    <hyperlink ref="C167" r:id="rId7" display="https://journals.plos.org/plosntds/article?id=10.1371/journal.pntd.0011820" xr:uid="{B7E7D2C7-C361-47C7-AE0D-6878E627581F}"/>
    <hyperlink ref="B207" r:id="rId8" display="https://pmc.ncbi.nlm.nih.gov/articles/PMC5545619/pdf/08mjms24032017_oa6.pdf" xr:uid="{F86AA840-6E0A-47A0-9044-3887CE670331}"/>
    <hyperlink ref="C192" r:id="rId9" display="https://europepmc.org/backend/ptpmcrender.fcgi?accid=PMC5179203&amp;blobtype=pdf" xr:uid="{E405AEA3-3CE7-4A45-A876-44C3F34624A0}"/>
    <hyperlink ref="B231" r:id="rId10" location=":~:text=We%20estimated%20an%20annual%20average,in%20the%20Philippines%20is%20substantial." display="https://pmc.ncbi.nlm.nih.gov/articles/PMC4347342/ - :~:text=We%20estimated%20an%20annual%20average,in%20the%20Philippines%20is%20substantial." xr:uid="{F4D648DF-78C4-4803-AD89-3689F06A45DF}"/>
    <hyperlink ref="A252" r:id="rId11" location=":~:text=The%20average%20annual%20direct%20medical,direct%20costs%20and%20indirect%20costs." display="https://www.herdin.ph/index.php?view=research&amp;cid=51836 - :~:text=The%20average%20annual%20direct%20medical,direct%20costs%20and%20indirect%20costs." xr:uid="{6E230346-14BC-45D7-8953-52C222AA8CF7}"/>
    <hyperlink ref="C72" r:id="rId12" display="https://www.jmedsciences.com/doi/pdf/10.5005/jp-journals-10045-0040" xr:uid="{37BE90CF-38F2-4034-9EAD-20B5FA062D20}"/>
    <hyperlink ref="C84" r:id="rId13" display="https://iris.who.int/bitstream/handle/10665/170981/db2010v34p32.pdf?sequence=1&amp;isAllowed=y" xr:uid="{D9867FAE-6732-484C-9B4A-583B27CCAFF8}"/>
    <hyperlink ref="C98" r:id="rId14" display="https://pmc.ncbi.nlm.nih.gov/articles/PMC4257651/" xr:uid="{3B969FA2-442D-42FE-AA4D-366E26A84FF5}"/>
    <hyperlink ref="C154" r:id="rId15" display="https://www.niid.health.gov.lk/wp-content/uploads/2024/07/dengue-cost-article.pdf" xr:uid="{51C3167A-5300-45AE-9A2D-AF3BB60C54A1}"/>
    <hyperlink ref="C181" r:id="rId16" display="https://www.bids.org.bd/page/researches?rid=222" xr:uid="{BD1A4162-59E4-451C-9709-E9CB58C925B9}"/>
    <hyperlink ref="B213" r:id="rId17" display="https://europepmc.org/backend/ptpmcrender.fcgi?accid=PMC5179203&amp;blobtype=pdf" xr:uid="{8CAD219B-813B-4132-AC55-DE5A69D3463D}"/>
    <hyperlink ref="B280" r:id="rId18" display="https://pubmed.ncbi.nlm.nih.gov/32901596/" xr:uid="{E119BC63-D430-4CF8-A040-6451793619BC}"/>
    <hyperlink ref="B294" r:id="rId19" display="https://e-journal.unair.ac.id/JFIKI/article/view/33382" xr:uid="{8823367E-6A1B-4F8D-9C3D-C67434787C3C}"/>
    <hyperlink ref="B318" r:id="rId20" display="https://pmc.ncbi.nlm.nih.gov/articles/PMC3578748/" xr:uid="{71A11D62-6541-4B08-A518-CCF720D7B88D}"/>
  </hyperlinks>
  <pageMargins left="0.7" right="0.7" top="0.75" bottom="0.75" header="0.3" footer="0.3"/>
  <drawing r:id="rId2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345C0-7392-490C-9099-FA8E437D4EDB}">
  <dimension ref="C3:N26"/>
  <sheetViews>
    <sheetView topLeftCell="C12" workbookViewId="0">
      <selection activeCell="J26" sqref="J26"/>
    </sheetView>
  </sheetViews>
  <sheetFormatPr defaultRowHeight="12.5" x14ac:dyDescent="0.25"/>
  <cols>
    <col min="3" max="3" width="12.08984375" customWidth="1"/>
    <col min="5" max="5" width="16.453125" customWidth="1"/>
    <col min="6" max="6" width="16.90625" customWidth="1"/>
    <col min="7" max="7" width="11.81640625" customWidth="1"/>
    <col min="8" max="8" width="16.6328125" customWidth="1"/>
    <col min="9" max="9" width="13.26953125" customWidth="1"/>
    <col min="10" max="10" width="16.36328125" customWidth="1"/>
    <col min="11" max="11" width="12.26953125" customWidth="1"/>
    <col min="12" max="12" width="11.7265625" customWidth="1"/>
    <col min="13" max="13" width="16.08984375" style="2" customWidth="1"/>
    <col min="14" max="14" width="17" style="2" customWidth="1"/>
  </cols>
  <sheetData>
    <row r="3" spans="3:14" ht="13" thickBot="1" x14ac:dyDescent="0.3"/>
    <row r="4" spans="3:14" ht="13" x14ac:dyDescent="0.3">
      <c r="E4" s="114"/>
      <c r="F4" s="337" t="s">
        <v>191</v>
      </c>
      <c r="G4" s="338"/>
      <c r="H4" s="338"/>
      <c r="I4" s="338"/>
      <c r="J4" s="338"/>
      <c r="K4" s="338"/>
      <c r="L4" s="338"/>
      <c r="M4" s="338"/>
      <c r="N4" s="339"/>
    </row>
    <row r="5" spans="3:14" ht="13" x14ac:dyDescent="0.3">
      <c r="E5" s="115"/>
      <c r="F5" s="334" t="s">
        <v>61</v>
      </c>
      <c r="G5" s="335"/>
      <c r="H5" s="335"/>
      <c r="I5" s="335" t="s">
        <v>64</v>
      </c>
      <c r="J5" s="335"/>
      <c r="K5" s="335"/>
      <c r="L5" s="335" t="s">
        <v>65</v>
      </c>
      <c r="M5" s="335"/>
      <c r="N5" s="336"/>
    </row>
    <row r="6" spans="3:14" ht="13" x14ac:dyDescent="0.3">
      <c r="E6" s="116" t="s">
        <v>121</v>
      </c>
      <c r="F6" s="111" t="s">
        <v>221</v>
      </c>
      <c r="G6" s="111" t="s">
        <v>284</v>
      </c>
      <c r="H6" s="111" t="s">
        <v>285</v>
      </c>
      <c r="I6" s="67" t="s">
        <v>287</v>
      </c>
      <c r="J6" s="67" t="s">
        <v>288</v>
      </c>
      <c r="K6" s="67" t="s">
        <v>289</v>
      </c>
      <c r="L6" s="67" t="s">
        <v>291</v>
      </c>
      <c r="M6" s="67" t="s">
        <v>292</v>
      </c>
      <c r="N6" s="67" t="s">
        <v>293</v>
      </c>
    </row>
    <row r="7" spans="3:14" ht="13" x14ac:dyDescent="0.3">
      <c r="C7" s="115" t="s">
        <v>106</v>
      </c>
      <c r="E7" s="115" t="s">
        <v>106</v>
      </c>
      <c r="F7" s="138">
        <f>ROUND(125.858823529412,0)</f>
        <v>126</v>
      </c>
      <c r="G7" s="138">
        <f>ROUND(78.7058823529412,0)</f>
        <v>79</v>
      </c>
      <c r="H7" s="138">
        <f>ROUND(91.2352941176471,0)</f>
        <v>91</v>
      </c>
      <c r="I7" s="138">
        <f>ROUND(123.887058823529,0)</f>
        <v>124</v>
      </c>
      <c r="J7" s="138">
        <f>ROUND(80.635294117647,0)</f>
        <v>81</v>
      </c>
      <c r="K7" s="138">
        <f>ROUND(85.6588235294118,0)</f>
        <v>86</v>
      </c>
      <c r="L7" s="138">
        <f>ROUND(114.794117647059,0)</f>
        <v>115</v>
      </c>
      <c r="M7" s="138">
        <f>ROUND(73.0764705882353,0)</f>
        <v>73</v>
      </c>
      <c r="N7" s="138">
        <f>ROUND(87.7058823529412,0)</f>
        <v>88</v>
      </c>
    </row>
    <row r="8" spans="3:14" x14ac:dyDescent="0.25">
      <c r="C8" s="115" t="s">
        <v>129</v>
      </c>
      <c r="E8" s="115" t="s">
        <v>129</v>
      </c>
      <c r="F8" s="119">
        <v>283.12447720510744</v>
      </c>
      <c r="G8" s="33">
        <v>142.56767034712371</v>
      </c>
      <c r="H8" s="33">
        <v>27.990256697972264</v>
      </c>
      <c r="I8" s="33">
        <v>350.0356291157791</v>
      </c>
      <c r="J8" s="33">
        <v>186.26766475460909</v>
      </c>
      <c r="K8" s="33">
        <v>26.304976730140364</v>
      </c>
      <c r="L8" s="33">
        <v>348.68504492502535</v>
      </c>
      <c r="M8" s="11">
        <v>173.74466627614385</v>
      </c>
      <c r="N8" s="32">
        <v>28.633037808158605</v>
      </c>
    </row>
    <row r="9" spans="3:14" ht="13" thickBot="1" x14ac:dyDescent="0.3">
      <c r="C9" s="117" t="s">
        <v>60</v>
      </c>
      <c r="E9" s="117" t="s">
        <v>60</v>
      </c>
      <c r="F9" s="119">
        <v>0</v>
      </c>
      <c r="G9" s="33">
        <v>0</v>
      </c>
      <c r="H9" s="33">
        <v>0</v>
      </c>
      <c r="I9" s="33">
        <v>0</v>
      </c>
      <c r="J9" s="33">
        <v>0</v>
      </c>
      <c r="K9" s="33">
        <v>0</v>
      </c>
      <c r="L9" s="33">
        <v>0</v>
      </c>
      <c r="M9" s="33">
        <v>0</v>
      </c>
      <c r="N9" s="34">
        <v>0</v>
      </c>
    </row>
    <row r="10" spans="3:14" ht="15.5" thickBot="1" x14ac:dyDescent="0.45">
      <c r="E10" s="118" t="s">
        <v>198</v>
      </c>
      <c r="F10" s="120">
        <f>ROUND((F7+F8+F9),0)</f>
        <v>409</v>
      </c>
      <c r="G10" s="120">
        <f t="shared" ref="G10:H10" si="0">ROUND((G7+G8+G9),0)</f>
        <v>222</v>
      </c>
      <c r="H10" s="120">
        <f t="shared" si="0"/>
        <v>119</v>
      </c>
      <c r="I10" s="113">
        <f t="shared" ref="I10:N10" si="1">I7+I8</f>
        <v>474.0356291157791</v>
      </c>
      <c r="J10" s="113">
        <f t="shared" si="1"/>
        <v>267.26766475460909</v>
      </c>
      <c r="K10" s="113">
        <f t="shared" si="1"/>
        <v>112.30497673014037</v>
      </c>
      <c r="L10" s="113">
        <f t="shared" si="1"/>
        <v>463.68504492502535</v>
      </c>
      <c r="M10" s="113">
        <f t="shared" si="1"/>
        <v>246.74466627614385</v>
      </c>
      <c r="N10" s="121">
        <f t="shared" si="1"/>
        <v>116.6330378081586</v>
      </c>
    </row>
    <row r="11" spans="3:14" x14ac:dyDescent="0.25">
      <c r="F11" s="110"/>
      <c r="G11" s="110"/>
      <c r="H11" s="110"/>
      <c r="I11" s="110"/>
      <c r="J11" s="110"/>
      <c r="K11" s="110"/>
      <c r="L11" s="110"/>
      <c r="M11" s="110"/>
      <c r="N11" s="110"/>
    </row>
    <row r="12" spans="3:14" ht="13" thickBot="1" x14ac:dyDescent="0.3">
      <c r="F12" s="110"/>
      <c r="G12" s="110"/>
      <c r="H12" s="110"/>
      <c r="I12" s="110"/>
      <c r="J12" s="110"/>
      <c r="K12" s="110"/>
      <c r="L12" s="110"/>
      <c r="M12" s="110"/>
      <c r="N12" s="110"/>
    </row>
    <row r="13" spans="3:14" ht="13" x14ac:dyDescent="0.3">
      <c r="E13" s="337" t="s">
        <v>196</v>
      </c>
      <c r="F13" s="338"/>
      <c r="G13" s="338"/>
      <c r="H13" s="339"/>
      <c r="I13" s="110"/>
      <c r="J13" s="337" t="s">
        <v>197</v>
      </c>
      <c r="K13" s="338"/>
      <c r="L13" s="338"/>
      <c r="M13" s="339"/>
      <c r="N13" s="110"/>
    </row>
    <row r="14" spans="3:14" ht="13" x14ac:dyDescent="0.3">
      <c r="E14" s="111" t="s">
        <v>195</v>
      </c>
      <c r="F14" s="122" t="s">
        <v>192</v>
      </c>
      <c r="G14" s="122" t="s">
        <v>193</v>
      </c>
      <c r="H14" s="123" t="s">
        <v>194</v>
      </c>
      <c r="I14" s="110"/>
      <c r="J14" s="111" t="s">
        <v>195</v>
      </c>
      <c r="K14" s="122" t="s">
        <v>192</v>
      </c>
      <c r="L14" s="122" t="s">
        <v>193</v>
      </c>
      <c r="M14" s="123" t="s">
        <v>194</v>
      </c>
      <c r="N14" s="110"/>
    </row>
    <row r="15" spans="3:14" ht="15.5" x14ac:dyDescent="0.4">
      <c r="E15" s="26" t="s">
        <v>211</v>
      </c>
      <c r="F15" s="33">
        <v>7</v>
      </c>
      <c r="G15" s="33">
        <v>8</v>
      </c>
      <c r="H15" s="34">
        <v>7</v>
      </c>
      <c r="I15" s="110"/>
      <c r="J15" s="26" t="s">
        <v>211</v>
      </c>
      <c r="K15" s="33">
        <v>7</v>
      </c>
      <c r="L15" s="33">
        <v>8</v>
      </c>
      <c r="M15" s="34">
        <v>7</v>
      </c>
      <c r="N15" s="99"/>
    </row>
    <row r="16" spans="3:14" ht="15.5" x14ac:dyDescent="0.4">
      <c r="E16" s="26" t="s">
        <v>212</v>
      </c>
      <c r="F16" s="33">
        <v>14</v>
      </c>
      <c r="G16" s="33">
        <v>20</v>
      </c>
      <c r="H16" s="34">
        <v>19</v>
      </c>
      <c r="I16" s="110"/>
      <c r="J16" s="26" t="s">
        <v>212</v>
      </c>
      <c r="K16" s="33">
        <v>14</v>
      </c>
      <c r="L16" s="33">
        <v>20</v>
      </c>
      <c r="M16" s="34">
        <v>19</v>
      </c>
      <c r="N16" s="99"/>
    </row>
    <row r="17" spans="5:14" ht="15.5" x14ac:dyDescent="0.4">
      <c r="E17" s="26" t="s">
        <v>213</v>
      </c>
      <c r="F17" s="33">
        <v>4</v>
      </c>
      <c r="G17" s="33">
        <v>4</v>
      </c>
      <c r="H17" s="34">
        <v>4</v>
      </c>
      <c r="I17" s="110"/>
      <c r="J17" s="26" t="s">
        <v>216</v>
      </c>
      <c r="K17" s="33">
        <v>8</v>
      </c>
      <c r="L17" s="33">
        <v>8</v>
      </c>
      <c r="M17" s="32">
        <v>8</v>
      </c>
      <c r="N17" s="99"/>
    </row>
    <row r="18" spans="5:14" ht="15.5" x14ac:dyDescent="0.4">
      <c r="E18" s="26" t="s">
        <v>214</v>
      </c>
      <c r="F18" s="33">
        <v>3</v>
      </c>
      <c r="G18" s="33">
        <v>3</v>
      </c>
      <c r="H18" s="34">
        <v>4</v>
      </c>
      <c r="I18" s="110"/>
      <c r="J18" s="26" t="s">
        <v>217</v>
      </c>
      <c r="K18" s="33">
        <v>245</v>
      </c>
      <c r="L18" s="33">
        <v>245</v>
      </c>
      <c r="M18" s="34">
        <v>245</v>
      </c>
      <c r="N18" s="99"/>
    </row>
    <row r="19" spans="5:14" x14ac:dyDescent="0.25">
      <c r="E19" s="26" t="s">
        <v>60</v>
      </c>
      <c r="F19" s="27">
        <v>524</v>
      </c>
      <c r="G19" s="33">
        <v>524</v>
      </c>
      <c r="H19" s="34">
        <v>524</v>
      </c>
      <c r="J19" s="26" t="s">
        <v>60</v>
      </c>
      <c r="K19" s="33">
        <v>524</v>
      </c>
      <c r="L19" s="33">
        <v>524</v>
      </c>
      <c r="M19" s="33">
        <v>524</v>
      </c>
    </row>
    <row r="20" spans="5:14" ht="16" thickBot="1" x14ac:dyDescent="0.45">
      <c r="E20" s="36" t="s">
        <v>215</v>
      </c>
      <c r="F20" s="112">
        <f>SUM(F15:F19)</f>
        <v>552</v>
      </c>
      <c r="G20" s="112">
        <f>SUM(G15:G19)</f>
        <v>559</v>
      </c>
      <c r="H20" s="112">
        <f>SUM(H15:H19)</f>
        <v>558</v>
      </c>
      <c r="J20" s="36" t="s">
        <v>218</v>
      </c>
      <c r="K20" s="112">
        <f>SUM(K15:K19)</f>
        <v>798</v>
      </c>
      <c r="L20" s="112">
        <f>SUM(L15:L19)</f>
        <v>805</v>
      </c>
      <c r="M20" s="112">
        <f>SUM(M15:M19)</f>
        <v>803</v>
      </c>
    </row>
    <row r="23" spans="5:14" x14ac:dyDescent="0.25">
      <c r="G23" s="135"/>
      <c r="H23" s="135"/>
      <c r="I23" s="135"/>
      <c r="J23" s="135"/>
      <c r="K23" s="135"/>
    </row>
    <row r="26" spans="5:14" x14ac:dyDescent="0.25">
      <c r="G26" s="135"/>
      <c r="H26" s="135"/>
    </row>
  </sheetData>
  <mergeCells count="6">
    <mergeCell ref="F5:H5"/>
    <mergeCell ref="I5:K5"/>
    <mergeCell ref="L5:N5"/>
    <mergeCell ref="F4:N4"/>
    <mergeCell ref="E13:H13"/>
    <mergeCell ref="J13:M1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88560-9118-4424-99E5-FD9F977F0AF6}">
  <dimension ref="A1:S90"/>
  <sheetViews>
    <sheetView topLeftCell="A15" workbookViewId="0">
      <selection activeCell="H25" sqref="H25"/>
    </sheetView>
  </sheetViews>
  <sheetFormatPr defaultRowHeight="12.5" x14ac:dyDescent="0.25"/>
  <sheetData>
    <row r="1" spans="1:18" ht="13" x14ac:dyDescent="0.3">
      <c r="A1" s="305" t="s">
        <v>536</v>
      </c>
      <c r="B1" s="305"/>
      <c r="C1" s="305"/>
      <c r="D1" s="305"/>
      <c r="E1" s="305"/>
      <c r="F1" s="305"/>
      <c r="G1" s="305"/>
      <c r="H1" s="305"/>
      <c r="I1" s="305"/>
      <c r="J1" s="305"/>
      <c r="K1" s="305"/>
      <c r="L1" s="305"/>
      <c r="M1" s="305"/>
      <c r="N1" s="305"/>
      <c r="O1" s="305"/>
      <c r="P1" s="305"/>
      <c r="Q1" s="305"/>
      <c r="R1" s="305"/>
    </row>
    <row r="12" spans="1:18" x14ac:dyDescent="0.25">
      <c r="Q12">
        <f>760-514</f>
        <v>246</v>
      </c>
    </row>
    <row r="13" spans="1:18" x14ac:dyDescent="0.25">
      <c r="Q13">
        <f>Q12/760</f>
        <v>0.3236842105263158</v>
      </c>
    </row>
    <row r="45" spans="1:19" ht="13" x14ac:dyDescent="0.3">
      <c r="A45" s="305" t="s">
        <v>537</v>
      </c>
      <c r="B45" s="305"/>
      <c r="C45" s="305"/>
      <c r="D45" s="305"/>
      <c r="E45" s="305"/>
      <c r="F45" s="305"/>
      <c r="G45" s="305"/>
      <c r="H45" s="305"/>
      <c r="I45" s="305"/>
      <c r="J45" s="305"/>
      <c r="K45" s="305"/>
      <c r="L45" s="305"/>
      <c r="M45" s="305"/>
      <c r="N45" s="305"/>
      <c r="O45" s="305"/>
      <c r="P45" s="305"/>
      <c r="Q45" s="305"/>
      <c r="R45" s="305"/>
      <c r="S45" s="305"/>
    </row>
    <row r="90" spans="1:19" ht="13" x14ac:dyDescent="0.3">
      <c r="A90" s="305" t="s">
        <v>538</v>
      </c>
      <c r="B90" s="305"/>
      <c r="C90" s="305"/>
      <c r="D90" s="305"/>
      <c r="E90" s="305"/>
      <c r="F90" s="305"/>
      <c r="G90" s="305"/>
      <c r="H90" s="305"/>
      <c r="I90" s="305"/>
      <c r="J90" s="305"/>
      <c r="K90" s="305"/>
      <c r="L90" s="305"/>
      <c r="M90" s="305"/>
      <c r="N90" s="305"/>
      <c r="O90" s="305"/>
      <c r="P90" s="305"/>
      <c r="Q90" s="305"/>
      <c r="R90" s="305"/>
      <c r="S90" s="305"/>
    </row>
  </sheetData>
  <mergeCells count="3">
    <mergeCell ref="A1:R1"/>
    <mergeCell ref="A45:S45"/>
    <mergeCell ref="A90:S90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75DC4-E933-4271-B8A9-352EBB149E3D}">
  <dimension ref="A1:X59"/>
  <sheetViews>
    <sheetView topLeftCell="A41" zoomScale="80" zoomScaleNormal="80" workbookViewId="0">
      <selection activeCell="T44" sqref="T44:W57"/>
    </sheetView>
  </sheetViews>
  <sheetFormatPr defaultRowHeight="12.5" x14ac:dyDescent="0.25"/>
  <cols>
    <col min="3" max="3" width="20.54296875" customWidth="1"/>
    <col min="4" max="4" width="12.26953125" customWidth="1"/>
    <col min="5" max="5" width="12.1796875" customWidth="1"/>
    <col min="6" max="6" width="12.81640625" customWidth="1"/>
    <col min="7" max="7" width="10.1796875" customWidth="1"/>
    <col min="8" max="8" width="12" customWidth="1"/>
    <col min="9" max="9" width="11.36328125" customWidth="1"/>
    <col min="10" max="11" width="11.26953125" customWidth="1"/>
    <col min="12" max="13" width="16.08984375" customWidth="1"/>
    <col min="14" max="14" width="16.26953125" customWidth="1"/>
    <col min="15" max="15" width="14.08984375" customWidth="1"/>
    <col min="16" max="16" width="15.54296875" customWidth="1"/>
    <col min="17" max="17" width="14.08984375" customWidth="1"/>
    <col min="20" max="20" width="25.36328125" customWidth="1"/>
    <col min="21" max="22" width="12.7265625" customWidth="1"/>
    <col min="23" max="23" width="11.1796875" customWidth="1"/>
  </cols>
  <sheetData>
    <row r="1" spans="1:23" ht="13" thickBot="1" x14ac:dyDescent="0.3"/>
    <row r="2" spans="1:23" ht="13" x14ac:dyDescent="0.3">
      <c r="C2" s="262" t="s">
        <v>188</v>
      </c>
      <c r="D2" s="263"/>
      <c r="E2" s="263"/>
      <c r="F2" s="263"/>
      <c r="G2" s="263"/>
      <c r="H2" s="263"/>
      <c r="I2" s="263"/>
      <c r="J2" s="263"/>
      <c r="K2" s="263"/>
      <c r="L2" s="263"/>
      <c r="M2" s="263"/>
      <c r="N2" s="263"/>
      <c r="O2" s="263"/>
      <c r="P2" s="263"/>
      <c r="Q2" s="264"/>
      <c r="T2" s="183" t="s">
        <v>127</v>
      </c>
      <c r="U2" s="184" t="s">
        <v>221</v>
      </c>
      <c r="V2" s="184" t="s">
        <v>284</v>
      </c>
      <c r="W2" s="185" t="s">
        <v>285</v>
      </c>
    </row>
    <row r="3" spans="1:23" ht="13" customHeight="1" x14ac:dyDescent="0.3">
      <c r="C3" s="342" t="s">
        <v>75</v>
      </c>
      <c r="D3" s="343" t="s">
        <v>254</v>
      </c>
      <c r="E3" s="343" t="s">
        <v>253</v>
      </c>
      <c r="F3" s="343" t="s">
        <v>255</v>
      </c>
      <c r="G3" s="344"/>
      <c r="H3" s="343" t="s">
        <v>256</v>
      </c>
      <c r="I3" s="343" t="s">
        <v>257</v>
      </c>
      <c r="J3" s="343" t="s">
        <v>258</v>
      </c>
      <c r="K3" s="345"/>
      <c r="L3" s="340" t="s">
        <v>247</v>
      </c>
      <c r="M3" s="340" t="s">
        <v>248</v>
      </c>
      <c r="N3" s="340" t="s">
        <v>249</v>
      </c>
      <c r="O3" s="340" t="s">
        <v>250</v>
      </c>
      <c r="P3" s="340" t="s">
        <v>251</v>
      </c>
      <c r="Q3" s="340" t="s">
        <v>252</v>
      </c>
      <c r="R3" s="5"/>
      <c r="T3" s="186" t="s">
        <v>106</v>
      </c>
      <c r="U3" s="187">
        <v>125.85882352941177</v>
      </c>
      <c r="V3" s="187">
        <v>78.705882352941174</v>
      </c>
      <c r="W3" s="188">
        <v>91.235294117647058</v>
      </c>
    </row>
    <row r="4" spans="1:23" ht="13" customHeight="1" x14ac:dyDescent="0.3">
      <c r="C4" s="342"/>
      <c r="D4" s="344"/>
      <c r="E4" s="344"/>
      <c r="F4" s="344"/>
      <c r="G4" s="344"/>
      <c r="H4" s="344"/>
      <c r="I4" s="344"/>
      <c r="J4" s="344"/>
      <c r="K4" s="345"/>
      <c r="L4" s="341"/>
      <c r="M4" s="341"/>
      <c r="N4" s="341"/>
      <c r="O4" s="341"/>
      <c r="P4" s="341"/>
      <c r="Q4" s="341"/>
      <c r="R4" s="5"/>
      <c r="T4" s="53" t="s">
        <v>2</v>
      </c>
      <c r="U4" s="187">
        <v>202.38</v>
      </c>
      <c r="V4" s="187">
        <v>101.20396037533341</v>
      </c>
      <c r="W4" s="188">
        <v>14.606099571797577</v>
      </c>
    </row>
    <row r="5" spans="1:23" ht="13" x14ac:dyDescent="0.25">
      <c r="C5" s="76" t="s">
        <v>106</v>
      </c>
      <c r="D5" s="9">
        <f>ROUND(7.18,0)</f>
        <v>7</v>
      </c>
      <c r="E5" s="9">
        <f>ROUND(4.11,0)</f>
        <v>4</v>
      </c>
      <c r="F5" s="9"/>
      <c r="G5" s="9"/>
      <c r="H5" s="9">
        <f>ROUND(7.18,0)</f>
        <v>7</v>
      </c>
      <c r="I5" s="9">
        <f>ROUND(7.64,0)</f>
        <v>8</v>
      </c>
      <c r="J5" s="9"/>
      <c r="K5" s="9"/>
      <c r="L5" s="21">
        <v>125.85882352941177</v>
      </c>
      <c r="M5" s="9"/>
      <c r="N5" s="21">
        <v>78.705882352941174</v>
      </c>
      <c r="O5" s="9"/>
      <c r="P5" s="21">
        <v>91.235294117647058</v>
      </c>
      <c r="Q5" s="10"/>
      <c r="R5" s="5"/>
      <c r="T5" s="26" t="s">
        <v>4</v>
      </c>
      <c r="U5" s="189">
        <v>4.799100214644224E-3</v>
      </c>
      <c r="V5" s="189">
        <v>4.7130798566881573E-3</v>
      </c>
      <c r="W5" s="190">
        <v>4.8450183382841893E-3</v>
      </c>
    </row>
    <row r="6" spans="1:23" ht="13" x14ac:dyDescent="0.25">
      <c r="A6" s="4"/>
      <c r="C6" s="76" t="s">
        <v>52</v>
      </c>
      <c r="D6" s="9">
        <v>10.481402181838501</v>
      </c>
      <c r="E6" s="9">
        <v>2.1947443328924265</v>
      </c>
      <c r="F6" s="9"/>
      <c r="G6" s="9"/>
      <c r="H6" s="9">
        <v>10.481402181838501</v>
      </c>
      <c r="I6" s="9">
        <v>128.31749770108917</v>
      </c>
      <c r="J6" s="9"/>
      <c r="K6" s="9"/>
      <c r="L6" s="9">
        <v>202.38</v>
      </c>
      <c r="M6" s="9"/>
      <c r="N6" s="9">
        <v>101.20396037533341</v>
      </c>
      <c r="O6" s="9"/>
      <c r="P6" s="9">
        <v>14.606099571797577</v>
      </c>
      <c r="Q6" s="10"/>
      <c r="R6" s="5"/>
      <c r="T6" s="26" t="s">
        <v>6</v>
      </c>
      <c r="U6" s="191">
        <v>1.7865966768952553</v>
      </c>
      <c r="V6" s="191">
        <v>1.037427916267162</v>
      </c>
      <c r="W6" s="192">
        <v>1.1164329633532017</v>
      </c>
    </row>
    <row r="7" spans="1:23" ht="13" x14ac:dyDescent="0.25">
      <c r="C7" s="76" t="s">
        <v>54</v>
      </c>
      <c r="D7" s="9">
        <v>1.5557627051674139</v>
      </c>
      <c r="E7" s="9">
        <v>0.38250846299045593</v>
      </c>
      <c r="F7" s="9"/>
      <c r="G7" s="9"/>
      <c r="H7" s="9">
        <v>1.5557627051674139</v>
      </c>
      <c r="I7" s="9">
        <v>78.753376505133318</v>
      </c>
      <c r="J7" s="9"/>
      <c r="K7" s="9"/>
      <c r="L7" s="9">
        <v>31.322654955221928</v>
      </c>
      <c r="M7" s="9"/>
      <c r="N7" s="9">
        <v>16.470660554416284</v>
      </c>
      <c r="O7" s="9"/>
      <c r="P7" s="9">
        <v>7.7669211504994697</v>
      </c>
      <c r="Q7" s="10"/>
      <c r="R7" s="5"/>
      <c r="T7" s="26" t="s">
        <v>8</v>
      </c>
      <c r="U7" s="191">
        <v>3.3744914118274898</v>
      </c>
      <c r="V7" s="191">
        <v>1.5983119876282794</v>
      </c>
      <c r="W7" s="192">
        <v>0.69381673504761465</v>
      </c>
    </row>
    <row r="8" spans="1:23" ht="13" x14ac:dyDescent="0.3">
      <c r="C8" s="76" t="s">
        <v>59</v>
      </c>
      <c r="D8" s="9">
        <v>1.5437425510294067</v>
      </c>
      <c r="E8" s="9">
        <v>0.33756881009012479</v>
      </c>
      <c r="F8" s="9"/>
      <c r="G8" s="9"/>
      <c r="H8" s="9">
        <v>1.5437425510294067</v>
      </c>
      <c r="I8" s="9">
        <v>25.651624445727052</v>
      </c>
      <c r="J8" s="9"/>
      <c r="K8" s="9"/>
      <c r="L8" s="9">
        <v>30.26225848111093</v>
      </c>
      <c r="M8" s="9"/>
      <c r="N8" s="9">
        <v>15.159685720005509</v>
      </c>
      <c r="O8" s="9"/>
      <c r="P8" s="9">
        <v>2.3140229733635889</v>
      </c>
      <c r="Q8" s="10"/>
      <c r="R8" s="5"/>
      <c r="S8" s="4"/>
      <c r="T8" s="53" t="s">
        <v>9</v>
      </c>
      <c r="U8" s="187">
        <v>31.322654955221928</v>
      </c>
      <c r="V8" s="187">
        <v>16.470660554416284</v>
      </c>
      <c r="W8" s="188">
        <v>7.7669211504994697</v>
      </c>
    </row>
    <row r="9" spans="1:23" ht="13" x14ac:dyDescent="0.25">
      <c r="C9" s="76" t="s">
        <v>202</v>
      </c>
      <c r="D9" s="9">
        <f>D12+D13+D14+D15+D16+D17+D18</f>
        <v>0.86685059114931018</v>
      </c>
      <c r="E9" s="9">
        <f>E12+E13+E14+E15+E16+E17+E18</f>
        <v>0.22889171083776716</v>
      </c>
      <c r="F9" s="9"/>
      <c r="G9" s="9"/>
      <c r="H9" s="9">
        <f>H12+H13+H14+H15+H16+H17+H18</f>
        <v>0.86685059114931018</v>
      </c>
      <c r="I9" s="9">
        <f>I12+I13+I14+I15+I16+I17+I18</f>
        <v>12.303936607218722</v>
      </c>
      <c r="J9" s="9"/>
      <c r="K9" s="9"/>
      <c r="L9" s="9">
        <v>19.159563768774582</v>
      </c>
      <c r="M9" s="9"/>
      <c r="N9" s="9">
        <v>9.733363697368528</v>
      </c>
      <c r="O9" s="9"/>
      <c r="P9" s="9">
        <v>3.30321300231163</v>
      </c>
      <c r="Q9" s="10"/>
      <c r="R9" s="5"/>
      <c r="T9" s="26" t="s">
        <v>11</v>
      </c>
      <c r="U9" s="191">
        <v>6.297319039052228</v>
      </c>
      <c r="V9" s="191">
        <v>3.1857700995105307</v>
      </c>
      <c r="W9" s="192">
        <v>0.733248437663787</v>
      </c>
    </row>
    <row r="10" spans="1:23" ht="13" x14ac:dyDescent="0.25">
      <c r="C10" s="124" t="s">
        <v>60</v>
      </c>
      <c r="D10" s="107"/>
      <c r="E10" s="107"/>
      <c r="F10" s="107">
        <f>262*2</f>
        <v>524</v>
      </c>
      <c r="G10" s="107"/>
      <c r="H10" s="107"/>
      <c r="I10" s="107"/>
      <c r="J10" s="107">
        <f>262*2</f>
        <v>524</v>
      </c>
      <c r="K10" s="107"/>
      <c r="L10" s="107"/>
      <c r="M10" s="107"/>
      <c r="N10" s="107"/>
      <c r="O10" s="107"/>
      <c r="P10" s="107"/>
      <c r="Q10" s="108"/>
      <c r="R10" s="5"/>
      <c r="S10" s="4"/>
      <c r="T10" s="26" t="s">
        <v>13</v>
      </c>
      <c r="U10" s="191">
        <v>3.4274448611510877</v>
      </c>
      <c r="V10" s="191">
        <v>1.7581685869882109</v>
      </c>
      <c r="W10" s="192">
        <v>0.42577772997131391</v>
      </c>
    </row>
    <row r="11" spans="1:23" ht="13" x14ac:dyDescent="0.25">
      <c r="C11" s="125" t="s">
        <v>130</v>
      </c>
      <c r="D11" s="126"/>
      <c r="E11" s="126"/>
      <c r="F11" s="126">
        <f>ROUND((D5+D6+D7+D8+D9+E5+E6+E7+E8+E9+F10),0)</f>
        <v>553</v>
      </c>
      <c r="G11" s="126"/>
      <c r="H11" s="126"/>
      <c r="I11" s="126"/>
      <c r="J11" s="126">
        <f>ROUND((H5+H6+H7+H8+H9+I5+I6+I7+I8+I9+J10),0)</f>
        <v>798</v>
      </c>
      <c r="K11" s="126"/>
      <c r="L11" s="126">
        <f>ROUND((L5+L6+L7+L8+L9),0)</f>
        <v>409</v>
      </c>
      <c r="M11" s="126"/>
      <c r="N11" s="126">
        <f>ROUND((N5+N6+N7+N8+N9),0)</f>
        <v>221</v>
      </c>
      <c r="O11" s="126"/>
      <c r="P11" s="126">
        <f>ROUND((P5+P6+P7+P8+P9),0)</f>
        <v>119</v>
      </c>
      <c r="Q11" s="88"/>
      <c r="R11" s="5"/>
      <c r="S11" s="4"/>
      <c r="T11" s="26" t="s">
        <v>15</v>
      </c>
      <c r="U11" s="191">
        <v>3.7965055223959769</v>
      </c>
      <c r="V11" s="191">
        <v>1.9042774038191788</v>
      </c>
      <c r="W11" s="192">
        <v>0.21014843954482368</v>
      </c>
    </row>
    <row r="12" spans="1:23" x14ac:dyDescent="0.25">
      <c r="B12" s="4"/>
      <c r="C12" s="22" t="s">
        <v>53</v>
      </c>
      <c r="D12" s="9">
        <v>1.5929472201222499E-5</v>
      </c>
      <c r="E12" s="9">
        <v>3.0961721952901513E-6</v>
      </c>
      <c r="F12" s="9"/>
      <c r="G12" s="9"/>
      <c r="H12" s="9">
        <v>1.5929472201222499E-5</v>
      </c>
      <c r="I12" s="9">
        <v>5.0624875884545013E-3</v>
      </c>
      <c r="J12" s="9"/>
      <c r="K12" s="9"/>
      <c r="L12" s="9">
        <v>4.7953915385630904E-3</v>
      </c>
      <c r="M12" s="9"/>
      <c r="N12" s="9">
        <v>4.6949865508556614E-3</v>
      </c>
      <c r="O12" s="9"/>
      <c r="P12" s="9">
        <v>4.8402986209485988E-3</v>
      </c>
      <c r="Q12" s="10"/>
      <c r="R12" s="5"/>
      <c r="S12" s="4"/>
      <c r="T12" s="26" t="s">
        <v>17</v>
      </c>
      <c r="U12" s="191">
        <v>0.47240715723790483</v>
      </c>
      <c r="V12" s="191">
        <v>0.24469462329847813</v>
      </c>
      <c r="W12" s="192">
        <v>0.11894367839260472</v>
      </c>
    </row>
    <row r="13" spans="1:23" ht="13" x14ac:dyDescent="0.3">
      <c r="C13" s="22" t="s">
        <v>118</v>
      </c>
      <c r="D13" s="9">
        <v>3.8625253772515057E-2</v>
      </c>
      <c r="E13" s="9">
        <v>1.9902514053090015E-2</v>
      </c>
      <c r="F13" s="9"/>
      <c r="G13" s="9"/>
      <c r="H13" s="9">
        <v>3.8625253772515057E-2</v>
      </c>
      <c r="I13" s="9">
        <v>3.0564003360373153</v>
      </c>
      <c r="J13" s="9"/>
      <c r="K13" s="9"/>
      <c r="L13" s="9">
        <v>1.7542971823602287</v>
      </c>
      <c r="M13" s="9"/>
      <c r="N13" s="9">
        <v>0.95807993861380691</v>
      </c>
      <c r="O13" s="9"/>
      <c r="P13" s="9">
        <v>1.098889367098014</v>
      </c>
      <c r="Q13" s="10"/>
      <c r="R13" s="5"/>
      <c r="T13" s="53" t="s">
        <v>19</v>
      </c>
      <c r="U13" s="187">
        <v>30.26225848111093</v>
      </c>
      <c r="V13" s="187">
        <v>15.159685720005509</v>
      </c>
      <c r="W13" s="188">
        <v>2.3140229733635889</v>
      </c>
    </row>
    <row r="14" spans="1:23" ht="13" x14ac:dyDescent="0.3">
      <c r="C14" s="22" t="s">
        <v>119</v>
      </c>
      <c r="D14" s="9">
        <v>0.14161238285921318</v>
      </c>
      <c r="E14" s="9">
        <v>4.9684847386738611E-2</v>
      </c>
      <c r="F14" s="9"/>
      <c r="G14" s="9"/>
      <c r="H14" s="9">
        <v>0.14161238285921318</v>
      </c>
      <c r="I14" s="9">
        <v>0.14995951814518527</v>
      </c>
      <c r="J14" s="9"/>
      <c r="K14" s="9"/>
      <c r="L14" s="9">
        <v>3.2979136169526284</v>
      </c>
      <c r="M14" s="9"/>
      <c r="N14" s="9">
        <v>1.2517082915679838</v>
      </c>
      <c r="O14" s="9"/>
      <c r="P14" s="9">
        <v>0.67626296975318401</v>
      </c>
      <c r="Q14" s="10"/>
      <c r="R14" s="5"/>
      <c r="T14" s="136" t="s">
        <v>246</v>
      </c>
      <c r="U14" s="193">
        <f>U5+U6+U7+U9+U10+U11+U12</f>
        <v>19.159563768774582</v>
      </c>
      <c r="V14" s="193">
        <f>V5+V6+V7+V9+V10+V11+V12</f>
        <v>9.733363697368528</v>
      </c>
      <c r="W14" s="194">
        <f>W5+W6+W7+W9+W10+W11+W12</f>
        <v>3.30321300231163</v>
      </c>
    </row>
    <row r="15" spans="1:23" ht="13.5" thickBot="1" x14ac:dyDescent="0.35">
      <c r="C15" s="22" t="s">
        <v>55</v>
      </c>
      <c r="D15" s="9">
        <v>0.31044483227465708</v>
      </c>
      <c r="E15" s="9">
        <v>7.0848042687673266E-2</v>
      </c>
      <c r="F15" s="9"/>
      <c r="G15" s="9"/>
      <c r="H15" s="9">
        <v>0.31044483227465708</v>
      </c>
      <c r="I15" s="9">
        <v>3.6848936458132893</v>
      </c>
      <c r="J15" s="9"/>
      <c r="K15" s="9"/>
      <c r="L15" s="9">
        <v>6.1631684263312421</v>
      </c>
      <c r="M15" s="9"/>
      <c r="N15" s="9">
        <v>3.3076058058338393</v>
      </c>
      <c r="O15" s="9"/>
      <c r="P15" s="9">
        <v>0.72160947121190666</v>
      </c>
      <c r="Q15" s="10"/>
      <c r="R15" s="5"/>
      <c r="T15" s="195" t="s">
        <v>63</v>
      </c>
      <c r="U15" s="196">
        <f>SUM(U4:U13)</f>
        <v>283.12447720510744</v>
      </c>
      <c r="V15" s="196">
        <f t="shared" ref="V15:W15" si="0">SUM(V4:V13)</f>
        <v>142.56767034712371</v>
      </c>
      <c r="W15" s="197">
        <f t="shared" si="0"/>
        <v>27.990256697972264</v>
      </c>
    </row>
    <row r="16" spans="1:23" x14ac:dyDescent="0.25">
      <c r="C16" s="22" t="s">
        <v>56</v>
      </c>
      <c r="D16" s="9">
        <v>0.16665410272327941</v>
      </c>
      <c r="E16" s="9">
        <v>3.7951641381449581E-2</v>
      </c>
      <c r="F16" s="9"/>
      <c r="G16" s="9"/>
      <c r="H16" s="9">
        <v>0.16665410272327941</v>
      </c>
      <c r="I16" s="9">
        <v>2.6339661560190955</v>
      </c>
      <c r="J16" s="9"/>
      <c r="K16" s="9"/>
      <c r="L16" s="9">
        <v>3.3554760639151735</v>
      </c>
      <c r="M16" s="9"/>
      <c r="N16" s="9">
        <v>1.7774345318270643</v>
      </c>
      <c r="O16" s="9"/>
      <c r="P16" s="9">
        <v>0.41990068608247494</v>
      </c>
      <c r="Q16" s="10"/>
      <c r="R16" s="5"/>
    </row>
    <row r="17" spans="1:24" x14ac:dyDescent="0.25">
      <c r="C17" s="22" t="s">
        <v>57</v>
      </c>
      <c r="D17" s="9">
        <v>0.1888000910372154</v>
      </c>
      <c r="E17" s="9">
        <v>4.1962024712406155E-2</v>
      </c>
      <c r="F17" s="9"/>
      <c r="G17" s="9"/>
      <c r="H17" s="9">
        <v>0.1888000910372154</v>
      </c>
      <c r="I17" s="9">
        <v>0.82225362473896724</v>
      </c>
      <c r="J17" s="9"/>
      <c r="K17" s="9"/>
      <c r="L17" s="9">
        <v>3.7149244302969788</v>
      </c>
      <c r="M17" s="9"/>
      <c r="N17" s="9">
        <v>2.0010901350299282</v>
      </c>
      <c r="O17" s="9"/>
      <c r="P17" s="9">
        <v>0.20753300798567728</v>
      </c>
      <c r="Q17" s="10"/>
      <c r="R17" s="5"/>
    </row>
    <row r="18" spans="1:24" ht="13" thickBot="1" x14ac:dyDescent="0.3">
      <c r="C18" s="127" t="s">
        <v>58</v>
      </c>
      <c r="D18" s="60">
        <v>2.0697999010228847E-2</v>
      </c>
      <c r="E18" s="60">
        <v>8.5395444442142657E-3</v>
      </c>
      <c r="F18" s="60"/>
      <c r="G18" s="60"/>
      <c r="H18" s="60">
        <v>2.0697999010228847E-2</v>
      </c>
      <c r="I18" s="60">
        <v>1.9514008388764128</v>
      </c>
      <c r="J18" s="60"/>
      <c r="K18" s="60"/>
      <c r="L18" s="60">
        <v>0.46258961084799177</v>
      </c>
      <c r="M18" s="60"/>
      <c r="N18" s="60">
        <v>0.22984111632811194</v>
      </c>
      <c r="O18" s="60"/>
      <c r="P18" s="60">
        <v>0.11690881410570683</v>
      </c>
      <c r="Q18" s="61"/>
      <c r="R18" s="5"/>
    </row>
    <row r="19" spans="1:24" x14ac:dyDescent="0.25">
      <c r="C19" s="5"/>
      <c r="D19" s="5"/>
      <c r="E19" s="5"/>
      <c r="F19" s="5">
        <v>262</v>
      </c>
      <c r="G19" s="5"/>
      <c r="H19" s="5"/>
      <c r="I19" s="5"/>
      <c r="J19" s="5">
        <v>262</v>
      </c>
      <c r="K19" s="5"/>
      <c r="L19" s="5"/>
      <c r="M19" s="5">
        <v>0</v>
      </c>
      <c r="N19" s="5"/>
      <c r="O19" s="5">
        <v>0</v>
      </c>
      <c r="P19" s="5"/>
      <c r="Q19" s="5">
        <v>0</v>
      </c>
      <c r="R19" s="5"/>
    </row>
    <row r="20" spans="1:24" x14ac:dyDescent="0.25">
      <c r="B20" s="4"/>
      <c r="C20" s="5"/>
      <c r="D20" s="5"/>
      <c r="E20" s="5"/>
      <c r="F20" s="5">
        <v>0</v>
      </c>
      <c r="G20" s="5"/>
      <c r="H20" s="5"/>
      <c r="I20" s="5"/>
      <c r="J20" s="5">
        <v>0</v>
      </c>
      <c r="K20" s="5"/>
      <c r="L20" s="5"/>
      <c r="M20" s="5">
        <v>0</v>
      </c>
      <c r="N20" s="5"/>
      <c r="O20" s="5">
        <v>0</v>
      </c>
      <c r="P20" s="5"/>
      <c r="Q20" s="5">
        <v>0</v>
      </c>
      <c r="R20" s="5"/>
    </row>
    <row r="21" spans="1:24" ht="13" thickBot="1" x14ac:dyDescent="0.3"/>
    <row r="22" spans="1:24" ht="13.5" thickBot="1" x14ac:dyDescent="0.35">
      <c r="C22" s="262" t="s">
        <v>189</v>
      </c>
      <c r="D22" s="263"/>
      <c r="E22" s="263"/>
      <c r="F22" s="263"/>
      <c r="G22" s="263"/>
      <c r="H22" s="263"/>
      <c r="I22" s="263"/>
      <c r="J22" s="263"/>
      <c r="K22" s="263"/>
      <c r="L22" s="263"/>
      <c r="M22" s="263"/>
      <c r="N22" s="263"/>
      <c r="O22" s="263"/>
      <c r="P22" s="263"/>
      <c r="Q22" s="264"/>
    </row>
    <row r="23" spans="1:24" ht="12.5" customHeight="1" x14ac:dyDescent="0.3">
      <c r="C23" s="342" t="s">
        <v>75</v>
      </c>
      <c r="D23" s="343" t="s">
        <v>259</v>
      </c>
      <c r="E23" s="343" t="s">
        <v>260</v>
      </c>
      <c r="F23" s="343" t="s">
        <v>261</v>
      </c>
      <c r="G23" s="344"/>
      <c r="H23" s="343" t="s">
        <v>262</v>
      </c>
      <c r="I23" s="343" t="s">
        <v>263</v>
      </c>
      <c r="J23" s="343" t="s">
        <v>264</v>
      </c>
      <c r="K23" s="345"/>
      <c r="L23" s="340" t="s">
        <v>265</v>
      </c>
      <c r="M23" s="340" t="s">
        <v>266</v>
      </c>
      <c r="N23" s="340" t="s">
        <v>267</v>
      </c>
      <c r="O23" s="340" t="s">
        <v>268</v>
      </c>
      <c r="P23" s="340" t="s">
        <v>269</v>
      </c>
      <c r="Q23" s="340" t="s">
        <v>270</v>
      </c>
      <c r="T23" s="183" t="s">
        <v>127</v>
      </c>
      <c r="U23" s="184" t="s">
        <v>287</v>
      </c>
      <c r="V23" s="184" t="s">
        <v>288</v>
      </c>
      <c r="W23" s="185" t="s">
        <v>289</v>
      </c>
    </row>
    <row r="24" spans="1:24" ht="14.5" customHeight="1" x14ac:dyDescent="0.3">
      <c r="C24" s="342"/>
      <c r="D24" s="344"/>
      <c r="E24" s="344"/>
      <c r="F24" s="344"/>
      <c r="G24" s="344"/>
      <c r="H24" s="344"/>
      <c r="I24" s="344"/>
      <c r="J24" s="344"/>
      <c r="K24" s="345"/>
      <c r="L24" s="341"/>
      <c r="M24" s="341"/>
      <c r="N24" s="341"/>
      <c r="O24" s="341"/>
      <c r="P24" s="341"/>
      <c r="Q24" s="341"/>
      <c r="T24" s="186" t="s">
        <v>106</v>
      </c>
      <c r="U24" s="187">
        <v>123.88705882352942</v>
      </c>
      <c r="V24" s="187">
        <v>80.635294117647049</v>
      </c>
      <c r="W24" s="188">
        <v>85.658823529411762</v>
      </c>
    </row>
    <row r="25" spans="1:24" ht="13" x14ac:dyDescent="0.3">
      <c r="A25" s="4"/>
      <c r="C25" s="76" t="s">
        <v>106</v>
      </c>
      <c r="D25" s="9">
        <f>ROUND(7.57,0)</f>
        <v>8</v>
      </c>
      <c r="E25" s="9">
        <v>4</v>
      </c>
      <c r="F25" s="9"/>
      <c r="G25" s="9"/>
      <c r="H25" s="9">
        <f>ROUND(7.57,0)</f>
        <v>8</v>
      </c>
      <c r="I25" s="9">
        <v>8</v>
      </c>
      <c r="J25" s="9"/>
      <c r="K25" s="9"/>
      <c r="L25" s="17">
        <v>123.88705882352942</v>
      </c>
      <c r="M25" s="9"/>
      <c r="N25" s="17">
        <v>80.635294117647049</v>
      </c>
      <c r="O25" s="9"/>
      <c r="P25" s="17">
        <v>85.658823529411762</v>
      </c>
      <c r="Q25" s="131"/>
      <c r="T25" s="53" t="s">
        <v>2</v>
      </c>
      <c r="U25" s="187">
        <v>255.23508280128704</v>
      </c>
      <c r="V25" s="187">
        <v>135.10625676250447</v>
      </c>
      <c r="W25" s="188">
        <v>13.739011882252479</v>
      </c>
    </row>
    <row r="26" spans="1:24" ht="13" x14ac:dyDescent="0.25">
      <c r="C26" s="76" t="s">
        <v>52</v>
      </c>
      <c r="D26" s="9">
        <v>14.437692186131853</v>
      </c>
      <c r="E26" s="9">
        <v>2.9860023434061715</v>
      </c>
      <c r="F26" s="9"/>
      <c r="G26" s="9"/>
      <c r="H26" s="9">
        <v>14.437692186131853</v>
      </c>
      <c r="I26" s="9">
        <v>128.31749770108917</v>
      </c>
      <c r="J26" s="9"/>
      <c r="K26" s="9"/>
      <c r="L26" s="9">
        <v>255.23508280128704</v>
      </c>
      <c r="M26" s="9"/>
      <c r="N26" s="9">
        <v>135.10625676250447</v>
      </c>
      <c r="O26" s="9"/>
      <c r="P26" s="10">
        <v>13.739011882252479</v>
      </c>
      <c r="Q26" s="131"/>
      <c r="T26" s="26" t="s">
        <v>4</v>
      </c>
      <c r="U26" s="189">
        <v>4.8244704068146523E-3</v>
      </c>
      <c r="V26" s="189">
        <v>4.7317010556011995E-3</v>
      </c>
      <c r="W26" s="190">
        <v>4.8270313794335704E-3</v>
      </c>
    </row>
    <row r="27" spans="1:24" ht="13" x14ac:dyDescent="0.25">
      <c r="C27" s="76" t="s">
        <v>54</v>
      </c>
      <c r="D27" s="9">
        <v>1.9296112346202923</v>
      </c>
      <c r="E27" s="9">
        <v>0.45727817050723557</v>
      </c>
      <c r="F27" s="9"/>
      <c r="G27" s="9"/>
      <c r="H27" s="9">
        <v>1.9296112346202923</v>
      </c>
      <c r="I27" s="9">
        <v>78.753376505133318</v>
      </c>
      <c r="J27" s="9"/>
      <c r="K27" s="9"/>
      <c r="L27" s="9">
        <v>35.217550302240973</v>
      </c>
      <c r="M27" s="9"/>
      <c r="N27" s="9">
        <v>19.432664561340836</v>
      </c>
      <c r="O27" s="9"/>
      <c r="P27" s="10">
        <v>7.3032436487978307</v>
      </c>
      <c r="Q27" s="131"/>
      <c r="T27" s="26" t="s">
        <v>6</v>
      </c>
      <c r="U27" s="191">
        <v>1.8065758493785873</v>
      </c>
      <c r="V27" s="191">
        <v>1.0948300875051633</v>
      </c>
      <c r="W27" s="192">
        <v>1.0495737494515236</v>
      </c>
    </row>
    <row r="28" spans="1:24" ht="13" x14ac:dyDescent="0.25">
      <c r="C28" s="76" t="s">
        <v>59</v>
      </c>
      <c r="D28" s="9">
        <v>2.0764884776749879</v>
      </c>
      <c r="E28" s="9">
        <v>0.44411799790117168</v>
      </c>
      <c r="F28" s="9"/>
      <c r="G28" s="9"/>
      <c r="H28" s="9">
        <v>2.0764884776749879</v>
      </c>
      <c r="I28" s="9">
        <v>25.651624445727052</v>
      </c>
      <c r="J28" s="9"/>
      <c r="K28" s="9"/>
      <c r="L28" s="9">
        <v>36.959665600970219</v>
      </c>
      <c r="M28" s="9"/>
      <c r="N28" s="9">
        <v>19.598430635721723</v>
      </c>
      <c r="O28" s="9"/>
      <c r="P28" s="10">
        <v>2.1777599011323763</v>
      </c>
      <c r="Q28" s="131"/>
      <c r="T28" s="26" t="s">
        <v>8</v>
      </c>
      <c r="U28" s="191">
        <v>3.7631340709767609</v>
      </c>
      <c r="V28" s="191">
        <v>1.9123206202353351</v>
      </c>
      <c r="W28" s="192">
        <v>0.62691875615067605</v>
      </c>
    </row>
    <row r="29" spans="1:24" ht="13" x14ac:dyDescent="0.3">
      <c r="C29" s="76" t="s">
        <v>199</v>
      </c>
      <c r="D29" s="9">
        <f>D32+D33+D34+D35+D36+D37+D38</f>
        <v>1.1594192836282267</v>
      </c>
      <c r="E29" s="9">
        <f>E32+E33+E34+E35+E36+E37+E38</f>
        <v>0.28740544978218691</v>
      </c>
      <c r="F29" s="9"/>
      <c r="G29" s="9"/>
      <c r="H29" s="9">
        <f>H32+H33+H34+H35+H36+H37+H38</f>
        <v>1.1594192836282267</v>
      </c>
      <c r="I29" s="9">
        <f>I32+I33+I34+I35+I36+I37+I38</f>
        <v>12.303936607218722</v>
      </c>
      <c r="J29" s="9"/>
      <c r="K29" s="9"/>
      <c r="L29" s="9">
        <v>22.623330411280914</v>
      </c>
      <c r="M29" s="9"/>
      <c r="N29" s="9">
        <v>12.130312795042087</v>
      </c>
      <c r="O29" s="9"/>
      <c r="P29" s="10">
        <v>3.0849612979576788</v>
      </c>
      <c r="Q29" s="131"/>
      <c r="S29" s="4"/>
      <c r="T29" s="53" t="s">
        <v>9</v>
      </c>
      <c r="U29" s="187">
        <v>35.217550302240973</v>
      </c>
      <c r="V29" s="187">
        <v>19.432664561340836</v>
      </c>
      <c r="W29" s="188">
        <v>7.3032436487978307</v>
      </c>
      <c r="X29" s="4"/>
    </row>
    <row r="30" spans="1:24" ht="13" x14ac:dyDescent="0.25">
      <c r="C30" s="124" t="s">
        <v>60</v>
      </c>
      <c r="D30" s="107"/>
      <c r="E30" s="107"/>
      <c r="F30" s="107">
        <f>262*2</f>
        <v>524</v>
      </c>
      <c r="G30" s="107"/>
      <c r="H30" s="107"/>
      <c r="I30" s="107"/>
      <c r="J30" s="107">
        <f>262*2</f>
        <v>524</v>
      </c>
      <c r="K30" s="107"/>
      <c r="L30" s="107"/>
      <c r="M30" s="107">
        <v>0</v>
      </c>
      <c r="N30" s="107"/>
      <c r="O30" s="107">
        <v>0</v>
      </c>
      <c r="P30" s="108"/>
      <c r="Q30" s="132">
        <v>0</v>
      </c>
      <c r="T30" s="26" t="s">
        <v>11</v>
      </c>
      <c r="U30" s="191">
        <v>7.9714119728824064</v>
      </c>
      <c r="V30" s="191">
        <v>4.2536706118957355</v>
      </c>
      <c r="W30" s="192">
        <v>0.68889195292380967</v>
      </c>
    </row>
    <row r="31" spans="1:24" ht="13" x14ac:dyDescent="0.25">
      <c r="C31" s="125" t="s">
        <v>130</v>
      </c>
      <c r="D31" s="126"/>
      <c r="E31" s="126"/>
      <c r="F31" s="126">
        <f>ROUND((D25+D26+D27+D28+D29+E25+E26+E27+E28+E29+F30),0)</f>
        <v>560</v>
      </c>
      <c r="G31" s="126"/>
      <c r="H31" s="126"/>
      <c r="I31" s="126"/>
      <c r="J31" s="126">
        <f>ROUND((H25+H26+H27+H28+H29+I25+I26+I27+I28+I29+J30),0)</f>
        <v>805</v>
      </c>
      <c r="K31" s="126"/>
      <c r="L31" s="126">
        <f>ROUND((SUM(L23:L29)),0)</f>
        <v>474</v>
      </c>
      <c r="M31" s="126"/>
      <c r="N31" s="126">
        <f>ROUND((SUM(N23:N29)),0)</f>
        <v>267</v>
      </c>
      <c r="O31" s="126"/>
      <c r="P31" s="88">
        <f>ROUND((SUM(P23:P29)),0)</f>
        <v>112</v>
      </c>
      <c r="Q31" s="133"/>
      <c r="T31" s="26" t="s">
        <v>13</v>
      </c>
      <c r="U31" s="191">
        <v>4.2892566024077352</v>
      </c>
      <c r="V31" s="191">
        <v>2.3121482747135427</v>
      </c>
      <c r="W31" s="192">
        <v>0.40338012176164234</v>
      </c>
    </row>
    <row r="32" spans="1:24" x14ac:dyDescent="0.25">
      <c r="C32" s="22" t="s">
        <v>53</v>
      </c>
      <c r="D32" s="9">
        <v>1.8251503118526125E-5</v>
      </c>
      <c r="E32" s="9">
        <v>3.5605783809231606E-6</v>
      </c>
      <c r="F32" s="9"/>
      <c r="G32" s="9"/>
      <c r="H32" s="9">
        <v>1.8251503118526125E-5</v>
      </c>
      <c r="I32" s="9">
        <v>5.0624875884545013E-3</v>
      </c>
      <c r="J32" s="9"/>
      <c r="K32" s="9"/>
      <c r="L32" s="9">
        <v>4.8019923481595053E-3</v>
      </c>
      <c r="M32" s="9"/>
      <c r="N32" s="9">
        <v>4.7195403937945026E-3</v>
      </c>
      <c r="O32" s="9"/>
      <c r="P32" s="29">
        <v>4.8257018855209326E-3</v>
      </c>
      <c r="Q32" s="131"/>
      <c r="T32" s="26" t="s">
        <v>15</v>
      </c>
      <c r="U32" s="191">
        <v>4.2766019045675847</v>
      </c>
      <c r="V32" s="191">
        <v>2.2732416939103599</v>
      </c>
      <c r="W32" s="192">
        <v>0.20018094259460029</v>
      </c>
    </row>
    <row r="33" spans="3:23" x14ac:dyDescent="0.25">
      <c r="C33" s="22" t="s">
        <v>118</v>
      </c>
      <c r="D33" s="9">
        <v>4.7642944498013033E-2</v>
      </c>
      <c r="E33" s="9">
        <v>2.1706052262036393E-2</v>
      </c>
      <c r="F33" s="9"/>
      <c r="G33" s="9"/>
      <c r="H33" s="9">
        <v>4.7642944498013033E-2</v>
      </c>
      <c r="I33" s="9">
        <v>3.0564003360373153</v>
      </c>
      <c r="J33" s="9"/>
      <c r="K33" s="9"/>
      <c r="L33" s="9">
        <v>1.6189335292532134</v>
      </c>
      <c r="M33" s="9"/>
      <c r="N33" s="9">
        <v>0.99365329894298027</v>
      </c>
      <c r="O33" s="9"/>
      <c r="P33" s="29">
        <v>1.044631892217325</v>
      </c>
      <c r="Q33" s="131"/>
      <c r="T33" s="26" t="s">
        <v>17</v>
      </c>
      <c r="U33" s="191">
        <v>0.51152554066102485</v>
      </c>
      <c r="V33" s="191">
        <v>0.27936980572635012</v>
      </c>
      <c r="W33" s="192">
        <v>0.11118874369599374</v>
      </c>
    </row>
    <row r="34" spans="3:23" ht="13" x14ac:dyDescent="0.3">
      <c r="C34" s="22" t="s">
        <v>119</v>
      </c>
      <c r="D34" s="9">
        <v>0.18201986627981034</v>
      </c>
      <c r="E34" s="9">
        <v>5.776634410399363E-2</v>
      </c>
      <c r="F34" s="9"/>
      <c r="G34" s="9"/>
      <c r="H34" s="9">
        <v>0.18201986627981034</v>
      </c>
      <c r="I34" s="9">
        <v>0.14995951814518527</v>
      </c>
      <c r="J34" s="9"/>
      <c r="K34" s="9"/>
      <c r="L34" s="9">
        <v>2.9132842301844439</v>
      </c>
      <c r="M34" s="9"/>
      <c r="N34" s="9">
        <v>1.4614840064125398</v>
      </c>
      <c r="O34" s="9"/>
      <c r="P34" s="29">
        <v>0.62197403335098256</v>
      </c>
      <c r="Q34" s="131"/>
      <c r="T34" s="53" t="s">
        <v>19</v>
      </c>
      <c r="U34" s="187">
        <v>36.959665600970219</v>
      </c>
      <c r="V34" s="187">
        <v>19.598430635721723</v>
      </c>
      <c r="W34" s="188">
        <v>2.1777599011323763</v>
      </c>
    </row>
    <row r="35" spans="3:23" ht="13" x14ac:dyDescent="0.3">
      <c r="C35" s="22" t="s">
        <v>55</v>
      </c>
      <c r="D35" s="9">
        <v>0.43661066731161613</v>
      </c>
      <c r="E35" s="9">
        <v>9.608121006464139E-2</v>
      </c>
      <c r="F35" s="9"/>
      <c r="G35" s="9"/>
      <c r="H35" s="9">
        <v>0.43661066731161613</v>
      </c>
      <c r="I35" s="9">
        <v>3.6848936458132893</v>
      </c>
      <c r="J35" s="9"/>
      <c r="K35" s="9"/>
      <c r="L35" s="9">
        <v>7.5353896346281104</v>
      </c>
      <c r="M35" s="9"/>
      <c r="N35" s="9">
        <v>4.007437724086774</v>
      </c>
      <c r="O35" s="9"/>
      <c r="P35" s="29">
        <v>0.68561337075951212</v>
      </c>
      <c r="Q35" s="131"/>
      <c r="T35" s="136" t="s">
        <v>246</v>
      </c>
      <c r="U35" s="193">
        <f>U26+U27+U28+U30+U31+U32+U33</f>
        <v>22.623330411280914</v>
      </c>
      <c r="V35" s="193">
        <f>V26+V27+V28+V30+V31+V32+V33</f>
        <v>12.130312795042087</v>
      </c>
      <c r="W35" s="194">
        <f>W26+W27+W28+W30+W31+W32+W33</f>
        <v>3.0849612979576788</v>
      </c>
    </row>
    <row r="36" spans="3:23" ht="13.5" thickBot="1" x14ac:dyDescent="0.35">
      <c r="C36" s="22" t="s">
        <v>56</v>
      </c>
      <c r="D36" s="9">
        <v>0.23231525336612155</v>
      </c>
      <c r="E36" s="9">
        <v>5.1083871694498635E-2</v>
      </c>
      <c r="F36" s="9"/>
      <c r="G36" s="9"/>
      <c r="H36" s="9">
        <v>0.23231525336612155</v>
      </c>
      <c r="I36" s="9">
        <v>2.6339661560190955</v>
      </c>
      <c r="J36" s="9"/>
      <c r="K36" s="9"/>
      <c r="L36" s="9">
        <v>3.9791196531816966</v>
      </c>
      <c r="M36" s="9"/>
      <c r="N36" s="9">
        <v>2.1406043708193581</v>
      </c>
      <c r="O36" s="9"/>
      <c r="P36" s="29">
        <v>0.40172461638224566</v>
      </c>
      <c r="Q36" s="131"/>
      <c r="T36" s="195" t="s">
        <v>63</v>
      </c>
      <c r="U36" s="196">
        <f>SUM(U25:U34)</f>
        <v>350.0356291157791</v>
      </c>
      <c r="V36" s="196">
        <f t="shared" ref="V36:W36" si="1">SUM(V25:V34)</f>
        <v>186.26766475460909</v>
      </c>
      <c r="W36" s="197">
        <f t="shared" si="1"/>
        <v>26.304976730140364</v>
      </c>
    </row>
    <row r="37" spans="3:23" x14ac:dyDescent="0.25">
      <c r="C37" s="22" t="s">
        <v>57</v>
      </c>
      <c r="D37" s="9">
        <v>0.23553088554209745</v>
      </c>
      <c r="E37" s="9">
        <v>5.1308183430536863E-2</v>
      </c>
      <c r="F37" s="9"/>
      <c r="G37" s="9"/>
      <c r="H37" s="9">
        <v>0.23553088554209745</v>
      </c>
      <c r="I37" s="9">
        <v>0.82225362473896724</v>
      </c>
      <c r="J37" s="9"/>
      <c r="K37" s="9"/>
      <c r="L37" s="9">
        <v>4.0460999486988731</v>
      </c>
      <c r="M37" s="9"/>
      <c r="N37" s="9">
        <v>2.1428665385900771</v>
      </c>
      <c r="O37" s="9"/>
      <c r="P37" s="29">
        <v>0.19944420118745249</v>
      </c>
      <c r="Q37" s="131"/>
    </row>
    <row r="38" spans="3:23" ht="13" thickBot="1" x14ac:dyDescent="0.3">
      <c r="C38" s="127" t="s">
        <v>58</v>
      </c>
      <c r="D38" s="60">
        <v>2.5281415127449539E-2</v>
      </c>
      <c r="E38" s="60">
        <v>9.4562276480991189E-3</v>
      </c>
      <c r="F38" s="60"/>
      <c r="G38" s="60"/>
      <c r="H38" s="60">
        <v>2.5281415127449539E-2</v>
      </c>
      <c r="I38" s="60">
        <v>1.9514008388764128</v>
      </c>
      <c r="J38" s="60"/>
      <c r="K38" s="60"/>
      <c r="L38" s="60">
        <v>0.45039788346149651</v>
      </c>
      <c r="M38" s="60"/>
      <c r="N38" s="60">
        <v>0.24640817937077947</v>
      </c>
      <c r="O38" s="60"/>
      <c r="P38" s="71">
        <v>0.11061554249354644</v>
      </c>
      <c r="Q38" s="134"/>
    </row>
    <row r="42" spans="3:23" ht="13" thickBot="1" x14ac:dyDescent="0.3"/>
    <row r="43" spans="3:23" ht="13.5" thickBot="1" x14ac:dyDescent="0.35">
      <c r="C43" s="262" t="s">
        <v>190</v>
      </c>
      <c r="D43" s="263"/>
      <c r="E43" s="263"/>
      <c r="F43" s="263"/>
      <c r="G43" s="263"/>
      <c r="H43" s="263"/>
      <c r="I43" s="263"/>
      <c r="J43" s="263"/>
      <c r="K43" s="263"/>
      <c r="L43" s="263"/>
      <c r="M43" s="263"/>
      <c r="N43" s="263"/>
      <c r="O43" s="263"/>
      <c r="P43" s="263"/>
      <c r="Q43" s="264"/>
    </row>
    <row r="44" spans="3:23" ht="12.5" customHeight="1" x14ac:dyDescent="0.3">
      <c r="C44" s="342" t="s">
        <v>75</v>
      </c>
      <c r="D44" s="343" t="s">
        <v>282</v>
      </c>
      <c r="E44" s="343" t="s">
        <v>281</v>
      </c>
      <c r="F44" s="343" t="s">
        <v>280</v>
      </c>
      <c r="G44" s="344"/>
      <c r="H44" s="343" t="s">
        <v>279</v>
      </c>
      <c r="I44" s="343" t="s">
        <v>278</v>
      </c>
      <c r="J44" s="343" t="s">
        <v>277</v>
      </c>
      <c r="K44" s="345"/>
      <c r="L44" s="340" t="s">
        <v>276</v>
      </c>
      <c r="M44" s="340" t="s">
        <v>275</v>
      </c>
      <c r="N44" s="340" t="s">
        <v>274</v>
      </c>
      <c r="O44" s="340" t="s">
        <v>273</v>
      </c>
      <c r="P44" s="340" t="s">
        <v>272</v>
      </c>
      <c r="Q44" s="340" t="s">
        <v>271</v>
      </c>
      <c r="T44" s="183" t="s">
        <v>127</v>
      </c>
      <c r="U44" s="184" t="s">
        <v>291</v>
      </c>
      <c r="V44" s="184" t="s">
        <v>292</v>
      </c>
      <c r="W44" s="185" t="s">
        <v>293</v>
      </c>
    </row>
    <row r="45" spans="3:23" ht="12.5" customHeight="1" x14ac:dyDescent="0.3">
      <c r="C45" s="342"/>
      <c r="D45" s="344"/>
      <c r="E45" s="344"/>
      <c r="F45" s="344"/>
      <c r="G45" s="344"/>
      <c r="H45" s="344"/>
      <c r="I45" s="344"/>
      <c r="J45" s="344"/>
      <c r="K45" s="345"/>
      <c r="L45" s="341"/>
      <c r="M45" s="341"/>
      <c r="N45" s="341"/>
      <c r="O45" s="341"/>
      <c r="P45" s="341"/>
      <c r="Q45" s="341"/>
      <c r="T45" s="186" t="s">
        <v>106</v>
      </c>
      <c r="U45" s="187">
        <v>114.79411764705883</v>
      </c>
      <c r="V45" s="187">
        <v>73.076470588235296</v>
      </c>
      <c r="W45" s="188">
        <v>87.705882352941174</v>
      </c>
    </row>
    <row r="46" spans="3:23" ht="13" x14ac:dyDescent="0.3">
      <c r="C46" s="76" t="s">
        <v>106</v>
      </c>
      <c r="D46" s="9">
        <f>ROUND(6.89,0)</f>
        <v>7</v>
      </c>
      <c r="E46" s="9">
        <v>4</v>
      </c>
      <c r="F46" s="9"/>
      <c r="G46" s="9"/>
      <c r="H46" s="9">
        <f>ROUND(6.89,0)</f>
        <v>7</v>
      </c>
      <c r="I46" s="9">
        <v>8</v>
      </c>
      <c r="J46" s="9"/>
      <c r="K46" s="9"/>
      <c r="L46" s="17">
        <v>114.79411764705883</v>
      </c>
      <c r="M46" s="9"/>
      <c r="N46" s="17">
        <v>73.076470588235296</v>
      </c>
      <c r="O46" s="9"/>
      <c r="P46" s="17">
        <v>87.705882352941174</v>
      </c>
      <c r="Q46" s="10"/>
      <c r="T46" s="53" t="s">
        <v>2</v>
      </c>
      <c r="U46" s="187">
        <v>253.44906211583037</v>
      </c>
      <c r="V46" s="187">
        <v>125.53321193037414</v>
      </c>
      <c r="W46" s="188">
        <v>14.93681470432541</v>
      </c>
    </row>
    <row r="47" spans="3:23" ht="13" x14ac:dyDescent="0.25">
      <c r="C47" s="76" t="s">
        <v>52</v>
      </c>
      <c r="D47" s="9">
        <v>13.893562792851135</v>
      </c>
      <c r="E47" s="9">
        <v>2.8771764487383673</v>
      </c>
      <c r="F47" s="9"/>
      <c r="G47" s="9"/>
      <c r="H47" s="9">
        <v>13.893562792851135</v>
      </c>
      <c r="I47" s="9">
        <v>128.31749770108917</v>
      </c>
      <c r="J47" s="9"/>
      <c r="K47" s="9"/>
      <c r="L47" s="17">
        <v>253.44906211583037</v>
      </c>
      <c r="M47" s="9"/>
      <c r="N47" s="17">
        <v>125.53321193037414</v>
      </c>
      <c r="O47" s="9"/>
      <c r="P47" s="17">
        <v>14.93681470432541</v>
      </c>
      <c r="Q47" s="10"/>
      <c r="T47" s="26" t="s">
        <v>4</v>
      </c>
      <c r="U47" s="189">
        <v>4.8116140517729701E-3</v>
      </c>
      <c r="V47" s="189">
        <v>4.7187230084440382E-3</v>
      </c>
      <c r="W47" s="190">
        <v>4.8518787087088108E-3</v>
      </c>
    </row>
    <row r="48" spans="3:23" ht="13" x14ac:dyDescent="0.25">
      <c r="C48" s="76" t="s">
        <v>54</v>
      </c>
      <c r="D48" s="9">
        <v>1.89339892486059</v>
      </c>
      <c r="E48" s="9">
        <v>0.45003570610093541</v>
      </c>
      <c r="F48" s="9"/>
      <c r="G48" s="9"/>
      <c r="H48" s="9">
        <v>1.89339892486059</v>
      </c>
      <c r="I48" s="9">
        <v>78.753376505133318</v>
      </c>
      <c r="J48" s="9"/>
      <c r="K48" s="9"/>
      <c r="L48" s="17">
        <v>35.837495717794624</v>
      </c>
      <c r="M48" s="9"/>
      <c r="N48" s="17">
        <v>18.590670174523307</v>
      </c>
      <c r="O48" s="9"/>
      <c r="P48" s="17">
        <v>7.9437719701864946</v>
      </c>
      <c r="Q48" s="10"/>
      <c r="T48" s="26" t="s">
        <v>6</v>
      </c>
      <c r="U48" s="191">
        <v>1.8679362123657746</v>
      </c>
      <c r="V48" s="191">
        <v>1.0731215388753155</v>
      </c>
      <c r="W48" s="192">
        <v>1.1419336713946571</v>
      </c>
    </row>
    <row r="49" spans="3:24" ht="13" x14ac:dyDescent="0.25">
      <c r="C49" s="76" t="s">
        <v>59</v>
      </c>
      <c r="D49" s="9">
        <v>1.9707536004589412</v>
      </c>
      <c r="E49" s="9">
        <v>0.42297101885250704</v>
      </c>
      <c r="F49" s="9"/>
      <c r="G49" s="9"/>
      <c r="H49" s="9">
        <v>1.9707536004589412</v>
      </c>
      <c r="I49" s="9">
        <v>25.651624445727052</v>
      </c>
      <c r="J49" s="9"/>
      <c r="K49" s="9"/>
      <c r="L49" s="17">
        <v>36.413032351454135</v>
      </c>
      <c r="M49" s="9"/>
      <c r="N49" s="17">
        <v>18.074512867857234</v>
      </c>
      <c r="O49" s="9"/>
      <c r="P49" s="17">
        <v>2.365994948476065</v>
      </c>
      <c r="Q49" s="10"/>
      <c r="T49" s="26" t="s">
        <v>8</v>
      </c>
      <c r="U49" s="191">
        <v>3.9256104975053612</v>
      </c>
      <c r="V49" s="191">
        <v>1.8572889916361253</v>
      </c>
      <c r="W49" s="192">
        <v>0.71933223351819942</v>
      </c>
    </row>
    <row r="50" spans="3:24" ht="13" x14ac:dyDescent="0.3">
      <c r="C50" s="76" t="s">
        <v>199</v>
      </c>
      <c r="D50" s="9">
        <f>D53+D54+D55+D56+D57+D58+D59</f>
        <v>1.1326655123798304</v>
      </c>
      <c r="E50" s="9">
        <f>E53+E54+E55+E56+E57+E58+E59</f>
        <v>0.28205469415344808</v>
      </c>
      <c r="F50" s="9"/>
      <c r="G50" s="9"/>
      <c r="H50" s="9">
        <f>H53+H54+H55+H56+H57+H58+H59</f>
        <v>1.1326655123798304</v>
      </c>
      <c r="I50" s="9">
        <f>I53+I54+I55+I56+I57+I58+I59</f>
        <v>12.303936607218722</v>
      </c>
      <c r="J50" s="9"/>
      <c r="K50" s="9"/>
      <c r="L50" s="9">
        <v>22.985454739946157</v>
      </c>
      <c r="M50" s="9"/>
      <c r="N50" s="9">
        <v>11.54627130338918</v>
      </c>
      <c r="O50" s="9"/>
      <c r="P50" s="9">
        <v>3.3864561851706423</v>
      </c>
      <c r="Q50" s="10"/>
      <c r="T50" s="53" t="s">
        <v>9</v>
      </c>
      <c r="U50" s="187">
        <v>35.837495717794624</v>
      </c>
      <c r="V50" s="187">
        <v>18.590670174523307</v>
      </c>
      <c r="W50" s="188">
        <v>7.9437719701864946</v>
      </c>
    </row>
    <row r="51" spans="3:24" ht="13" x14ac:dyDescent="0.25">
      <c r="C51" s="124" t="s">
        <v>60</v>
      </c>
      <c r="D51" s="107"/>
      <c r="E51" s="107"/>
      <c r="F51" s="107">
        <f>262*2</f>
        <v>524</v>
      </c>
      <c r="G51" s="107"/>
      <c r="H51" s="107"/>
      <c r="I51" s="107"/>
      <c r="J51" s="107">
        <f>262*2</f>
        <v>524</v>
      </c>
      <c r="K51" s="107"/>
      <c r="L51" s="107"/>
      <c r="M51" s="107">
        <v>0</v>
      </c>
      <c r="N51" s="107"/>
      <c r="O51" s="107">
        <v>0</v>
      </c>
      <c r="P51" s="107"/>
      <c r="Q51" s="108">
        <v>0</v>
      </c>
      <c r="T51" s="26" t="s">
        <v>11</v>
      </c>
      <c r="U51" s="191">
        <v>7.7494971073291765</v>
      </c>
      <c r="V51" s="191">
        <v>3.8763093736633505</v>
      </c>
      <c r="W51" s="192">
        <v>0.75016640468572315</v>
      </c>
      <c r="X51" s="4"/>
    </row>
    <row r="52" spans="3:24" ht="13" x14ac:dyDescent="0.25">
      <c r="C52" s="125" t="s">
        <v>130</v>
      </c>
      <c r="D52" s="126"/>
      <c r="E52" s="126"/>
      <c r="F52" s="126">
        <f>ROUND((D46+D47+D48+D49+D50+E46+E47+E48+E49+E50+F51),0)</f>
        <v>558</v>
      </c>
      <c r="G52" s="126"/>
      <c r="H52" s="126"/>
      <c r="I52" s="126"/>
      <c r="J52" s="126">
        <f>ROUND((H46+H47+H48+H49+H50+I46+I47+I48+I49+I50+J51),0)</f>
        <v>803</v>
      </c>
      <c r="K52" s="126"/>
      <c r="L52" s="126">
        <f>ROUND((SUM(L44:L50)),0)</f>
        <v>463</v>
      </c>
      <c r="M52" s="126"/>
      <c r="N52" s="126">
        <f>ROUND((SUM(N44:N50)),0)</f>
        <v>247</v>
      </c>
      <c r="O52" s="126"/>
      <c r="P52" s="126">
        <f>ROUND((SUM(P44:P50)),0)</f>
        <v>116</v>
      </c>
      <c r="Q52" s="88"/>
      <c r="T52" s="26" t="s">
        <v>13</v>
      </c>
      <c r="U52" s="191">
        <v>4.1698306271512511</v>
      </c>
      <c r="V52" s="191">
        <v>2.1107796198925963</v>
      </c>
      <c r="W52" s="192">
        <v>0.43432038173652587</v>
      </c>
    </row>
    <row r="53" spans="3:24" x14ac:dyDescent="0.25">
      <c r="C53" s="22" t="s">
        <v>53</v>
      </c>
      <c r="D53" s="9">
        <v>1.7153493114533097E-5</v>
      </c>
      <c r="E53" s="9">
        <v>3.3409763699880343E-6</v>
      </c>
      <c r="F53" s="9"/>
      <c r="G53" s="9"/>
      <c r="H53" s="9">
        <v>1.7153493114533097E-5</v>
      </c>
      <c r="I53" s="9">
        <v>5.0624875884545013E-3</v>
      </c>
      <c r="J53" s="9"/>
      <c r="K53" s="9"/>
      <c r="L53" s="9">
        <v>4.778587038304226E-3</v>
      </c>
      <c r="M53" s="9"/>
      <c r="N53" s="9">
        <v>4.7020556371197616E-3</v>
      </c>
      <c r="O53" s="9"/>
      <c r="P53" s="9">
        <v>4.850437577893359E-3</v>
      </c>
      <c r="Q53" s="10"/>
      <c r="T53" s="26" t="s">
        <v>15</v>
      </c>
      <c r="U53" s="191">
        <v>4.7159928844911576</v>
      </c>
      <c r="V53" s="191">
        <v>2.3419164190755106</v>
      </c>
      <c r="W53" s="192">
        <v>0.21395013413561081</v>
      </c>
    </row>
    <row r="54" spans="3:24" x14ac:dyDescent="0.25">
      <c r="C54" s="22" t="s">
        <v>118</v>
      </c>
      <c r="D54" s="9">
        <v>4.7802335262456717E-2</v>
      </c>
      <c r="E54" s="9">
        <v>2.17379303327047E-2</v>
      </c>
      <c r="F54" s="9"/>
      <c r="G54" s="9"/>
      <c r="H54" s="9">
        <v>4.7802335262456717E-2</v>
      </c>
      <c r="I54" s="9">
        <v>3.0564003360373153</v>
      </c>
      <c r="J54" s="9"/>
      <c r="K54" s="9"/>
      <c r="L54" s="9">
        <v>1.6151993535013436</v>
      </c>
      <c r="M54" s="9"/>
      <c r="N54" s="9">
        <v>0.94491776862249743</v>
      </c>
      <c r="O54" s="9"/>
      <c r="P54" s="9">
        <v>1.1365768490139705</v>
      </c>
      <c r="Q54" s="10"/>
      <c r="T54" s="26" t="s">
        <v>17</v>
      </c>
      <c r="U54" s="191">
        <v>0.55177579705166291</v>
      </c>
      <c r="V54" s="191">
        <v>0.28213663723783655</v>
      </c>
      <c r="W54" s="192">
        <v>0.12190148099121689</v>
      </c>
    </row>
    <row r="55" spans="3:24" ht="13" x14ac:dyDescent="0.3">
      <c r="C55" s="22" t="s">
        <v>119</v>
      </c>
      <c r="D55" s="9">
        <v>0.18259077227588702</v>
      </c>
      <c r="E55" s="9">
        <v>5.788052503050814E-2</v>
      </c>
      <c r="F55" s="9"/>
      <c r="G55" s="9"/>
      <c r="H55" s="9">
        <v>0.18259077227588702</v>
      </c>
      <c r="I55" s="9">
        <v>0.14995951814518527</v>
      </c>
      <c r="J55" s="9"/>
      <c r="K55" s="9"/>
      <c r="L55" s="9">
        <v>2.9199294335177548</v>
      </c>
      <c r="M55" s="9"/>
      <c r="N55" s="9">
        <v>1.3557194798640522</v>
      </c>
      <c r="O55" s="9"/>
      <c r="P55" s="9">
        <v>0.71397230495219</v>
      </c>
      <c r="Q55" s="10"/>
      <c r="T55" s="53" t="s">
        <v>19</v>
      </c>
      <c r="U55" s="187">
        <v>36.413032351454135</v>
      </c>
      <c r="V55" s="187">
        <v>18.074512867857234</v>
      </c>
      <c r="W55" s="188">
        <v>2.365994948476065</v>
      </c>
    </row>
    <row r="56" spans="3:24" ht="13" x14ac:dyDescent="0.3">
      <c r="C56" s="22" t="s">
        <v>55</v>
      </c>
      <c r="D56" s="9">
        <v>0.40834308416278758</v>
      </c>
      <c r="E56" s="9">
        <v>9.0427692926900685E-2</v>
      </c>
      <c r="F56" s="9"/>
      <c r="G56" s="9"/>
      <c r="H56" s="9">
        <v>0.40834308416278758</v>
      </c>
      <c r="I56" s="9">
        <v>3.6848936458132893</v>
      </c>
      <c r="J56" s="9"/>
      <c r="K56" s="9"/>
      <c r="L56" s="9">
        <v>7.1573329506494643</v>
      </c>
      <c r="M56" s="9"/>
      <c r="N56" s="9">
        <v>3.5601719648810644</v>
      </c>
      <c r="O56" s="9"/>
      <c r="P56" s="9">
        <v>0.746612521705729</v>
      </c>
      <c r="Q56" s="10"/>
      <c r="T56" s="136" t="s">
        <v>246</v>
      </c>
      <c r="U56" s="193">
        <f>U47+U48+U49+U51+U52+U53+U54</f>
        <v>22.985454739946157</v>
      </c>
      <c r="V56" s="193">
        <f>V47+V48+V49+V51+V52+V53+V54</f>
        <v>11.54627130338918</v>
      </c>
      <c r="W56" s="194">
        <f>W47+W48+W49+W51+W52+W53+W54</f>
        <v>3.3864561851706423</v>
      </c>
    </row>
    <row r="57" spans="3:24" ht="13.5" thickBot="1" x14ac:dyDescent="0.35">
      <c r="C57" s="22" t="s">
        <v>56</v>
      </c>
      <c r="D57" s="9">
        <v>0.21720676087956051</v>
      </c>
      <c r="E57" s="9">
        <v>4.8062172900074217E-2</v>
      </c>
      <c r="F57" s="9"/>
      <c r="G57" s="9"/>
      <c r="H57" s="9">
        <v>0.21720676087956051</v>
      </c>
      <c r="I57" s="9">
        <v>2.6339661560190955</v>
      </c>
      <c r="J57" s="9"/>
      <c r="K57" s="9"/>
      <c r="L57" s="9">
        <v>3.7715601338719216</v>
      </c>
      <c r="M57" s="9"/>
      <c r="N57" s="9">
        <v>1.9024330220066366</v>
      </c>
      <c r="O57" s="9"/>
      <c r="P57" s="9">
        <v>0.43252586444329105</v>
      </c>
      <c r="Q57" s="10"/>
      <c r="T57" s="195" t="s">
        <v>294</v>
      </c>
      <c r="U57" s="196">
        <f>SUM(U46:U55)</f>
        <v>348.68504492502535</v>
      </c>
      <c r="V57" s="196">
        <f t="shared" ref="V57:W57" si="2">SUM(V46:V55)</f>
        <v>173.74466627614385</v>
      </c>
      <c r="W57" s="197">
        <f t="shared" si="2"/>
        <v>28.633037808158605</v>
      </c>
    </row>
    <row r="58" spans="3:24" x14ac:dyDescent="0.25">
      <c r="C58" s="22" t="s">
        <v>57</v>
      </c>
      <c r="D58" s="9">
        <v>0.25028638367409467</v>
      </c>
      <c r="E58" s="9">
        <v>5.4259282851866868E-2</v>
      </c>
      <c r="F58" s="9"/>
      <c r="G58" s="9"/>
      <c r="H58" s="9">
        <v>0.25028638367409467</v>
      </c>
      <c r="I58" s="9">
        <v>0.82225362473896724</v>
      </c>
      <c r="J58" s="9"/>
      <c r="K58" s="9"/>
      <c r="L58" s="9">
        <v>4.3739514407070326</v>
      </c>
      <c r="M58" s="9"/>
      <c r="N58" s="9">
        <v>2.1582391102709066</v>
      </c>
      <c r="O58" s="9"/>
      <c r="P58" s="9">
        <v>0.21315152894097464</v>
      </c>
      <c r="Q58" s="10"/>
    </row>
    <row r="59" spans="3:24" ht="13" thickBot="1" x14ac:dyDescent="0.3">
      <c r="C59" s="127" t="s">
        <v>58</v>
      </c>
      <c r="D59" s="60">
        <v>2.6419022631929346E-2</v>
      </c>
      <c r="E59" s="60">
        <v>9.6837491350235273E-3</v>
      </c>
      <c r="F59" s="60"/>
      <c r="G59" s="60"/>
      <c r="H59" s="60">
        <v>2.6419022631929346E-2</v>
      </c>
      <c r="I59" s="60">
        <v>1.9514008388764128</v>
      </c>
      <c r="J59" s="60"/>
      <c r="K59" s="60"/>
      <c r="L59" s="60">
        <v>0.4734344171317913</v>
      </c>
      <c r="M59" s="60"/>
      <c r="N59" s="60">
        <v>0.24221473816234623</v>
      </c>
      <c r="O59" s="60"/>
      <c r="P59" s="60">
        <v>0.12128014838602669</v>
      </c>
      <c r="Q59" s="61"/>
    </row>
  </sheetData>
  <mergeCells count="48">
    <mergeCell ref="Q44:Q45"/>
    <mergeCell ref="C43:Q43"/>
    <mergeCell ref="C44:C45"/>
    <mergeCell ref="D44:D45"/>
    <mergeCell ref="E44:E45"/>
    <mergeCell ref="F44:F45"/>
    <mergeCell ref="G44:G45"/>
    <mergeCell ref="H44:H45"/>
    <mergeCell ref="I44:I45"/>
    <mergeCell ref="J44:J45"/>
    <mergeCell ref="K44:K45"/>
    <mergeCell ref="L44:L45"/>
    <mergeCell ref="M44:M45"/>
    <mergeCell ref="N44:N45"/>
    <mergeCell ref="O44:O45"/>
    <mergeCell ref="P44:P45"/>
    <mergeCell ref="Q23:Q24"/>
    <mergeCell ref="C22:Q22"/>
    <mergeCell ref="C23:C24"/>
    <mergeCell ref="D23:D24"/>
    <mergeCell ref="E23:E24"/>
    <mergeCell ref="F23:F24"/>
    <mergeCell ref="G23:G24"/>
    <mergeCell ref="H23:H24"/>
    <mergeCell ref="I23:I24"/>
    <mergeCell ref="J23:J24"/>
    <mergeCell ref="K23:K24"/>
    <mergeCell ref="L23:L24"/>
    <mergeCell ref="M23:M24"/>
    <mergeCell ref="N23:N24"/>
    <mergeCell ref="O23:O24"/>
    <mergeCell ref="P23:P24"/>
    <mergeCell ref="Q3:Q4"/>
    <mergeCell ref="C2:Q2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C805B-6788-4EAA-8EDF-1C931DAE40E5}">
  <dimension ref="C1:P170"/>
  <sheetViews>
    <sheetView topLeftCell="A158" workbookViewId="0">
      <selection activeCell="G173" sqref="G173"/>
    </sheetView>
  </sheetViews>
  <sheetFormatPr defaultRowHeight="12.5" x14ac:dyDescent="0.25"/>
  <cols>
    <col min="3" max="3" width="20.54296875" customWidth="1"/>
    <col min="4" max="4" width="19.81640625" customWidth="1"/>
    <col min="5" max="6" width="19.7265625" customWidth="1"/>
    <col min="7" max="7" width="18.26953125" customWidth="1"/>
    <col min="11" max="11" width="10" customWidth="1"/>
    <col min="12" max="12" width="20.1796875" customWidth="1"/>
    <col min="13" max="13" width="10.81640625" customWidth="1"/>
    <col min="14" max="15" width="11.453125" customWidth="1"/>
    <col min="16" max="16" width="12.08984375" customWidth="1"/>
  </cols>
  <sheetData>
    <row r="1" spans="3:16" ht="13" thickBot="1" x14ac:dyDescent="0.3"/>
    <row r="2" spans="3:16" ht="13.5" thickBot="1" x14ac:dyDescent="0.35">
      <c r="C2" s="262" t="s">
        <v>203</v>
      </c>
      <c r="D2" s="263"/>
      <c r="E2" s="263"/>
      <c r="F2" s="263"/>
      <c r="G2" s="264"/>
    </row>
    <row r="3" spans="3:16" ht="13" customHeight="1" x14ac:dyDescent="0.3">
      <c r="C3" s="342" t="s">
        <v>75</v>
      </c>
      <c r="D3" s="343" t="s">
        <v>370</v>
      </c>
      <c r="E3" s="343" t="s">
        <v>372</v>
      </c>
      <c r="F3" s="343" t="s">
        <v>371</v>
      </c>
      <c r="G3" s="346" t="s">
        <v>373</v>
      </c>
      <c r="H3" s="5"/>
      <c r="I3" s="5"/>
      <c r="J3" s="5"/>
      <c r="L3" s="139" t="s">
        <v>127</v>
      </c>
      <c r="M3" s="140" t="s">
        <v>366</v>
      </c>
      <c r="N3" s="140" t="s">
        <v>367</v>
      </c>
      <c r="O3" s="140" t="s">
        <v>368</v>
      </c>
      <c r="P3" s="141" t="s">
        <v>369</v>
      </c>
    </row>
    <row r="4" spans="3:16" ht="13" customHeight="1" x14ac:dyDescent="0.3">
      <c r="C4" s="342"/>
      <c r="D4" s="344"/>
      <c r="E4" s="344"/>
      <c r="F4" s="344"/>
      <c r="G4" s="347"/>
      <c r="H4" s="5"/>
      <c r="I4" s="5"/>
      <c r="J4" s="5"/>
      <c r="L4" s="62" t="s">
        <v>106</v>
      </c>
      <c r="M4" s="143">
        <v>313</v>
      </c>
      <c r="N4" s="143">
        <v>208</v>
      </c>
      <c r="O4" s="143">
        <v>288</v>
      </c>
      <c r="P4" s="143">
        <v>219</v>
      </c>
    </row>
    <row r="5" spans="3:16" ht="13" x14ac:dyDescent="0.3">
      <c r="C5" s="76" t="s">
        <v>106</v>
      </c>
      <c r="D5" s="258">
        <f>M4</f>
        <v>313</v>
      </c>
      <c r="E5" s="258">
        <f>N4</f>
        <v>208</v>
      </c>
      <c r="F5" s="258">
        <f t="shared" ref="F5:G6" si="0">O4</f>
        <v>288</v>
      </c>
      <c r="G5" s="259">
        <f t="shared" si="0"/>
        <v>219</v>
      </c>
      <c r="H5" s="5"/>
      <c r="I5" s="5"/>
      <c r="J5" s="5"/>
      <c r="L5" s="62" t="s">
        <v>2</v>
      </c>
      <c r="M5" s="64">
        <v>603.7916024386318</v>
      </c>
      <c r="N5" s="64">
        <v>35.544295446081584</v>
      </c>
      <c r="O5" s="64">
        <v>507.58750701957189</v>
      </c>
      <c r="P5" s="142">
        <v>427.8616949468514</v>
      </c>
    </row>
    <row r="6" spans="3:16" ht="13" x14ac:dyDescent="0.25">
      <c r="C6" s="76" t="s">
        <v>52</v>
      </c>
      <c r="D6" s="9">
        <f>M5</f>
        <v>603.7916024386318</v>
      </c>
      <c r="E6" s="9">
        <f t="shared" ref="E6" si="1">N5</f>
        <v>35.544295446081584</v>
      </c>
      <c r="F6" s="9">
        <f t="shared" si="0"/>
        <v>507.58750701957189</v>
      </c>
      <c r="G6" s="10">
        <f t="shared" si="0"/>
        <v>427.8616949468514</v>
      </c>
      <c r="H6" s="5"/>
      <c r="I6" s="5"/>
      <c r="J6" s="5"/>
      <c r="L6" s="18" t="s">
        <v>4</v>
      </c>
      <c r="M6" s="21">
        <v>5.1404001498639215E-3</v>
      </c>
      <c r="N6" s="21">
        <v>5.2793621533933121E-3</v>
      </c>
      <c r="O6" s="21">
        <v>5.0586035460110845E-3</v>
      </c>
      <c r="P6" s="29">
        <v>4.9908174435738502E-3</v>
      </c>
    </row>
    <row r="7" spans="3:16" ht="13" x14ac:dyDescent="0.25">
      <c r="C7" s="76" t="s">
        <v>54</v>
      </c>
      <c r="D7" s="9">
        <f>M9</f>
        <v>90.250388428119322</v>
      </c>
      <c r="E7" s="9">
        <f t="shared" ref="E7:G7" si="2">N9</f>
        <v>18.963678418475773</v>
      </c>
      <c r="F7" s="9">
        <f t="shared" si="2"/>
        <v>76.127653632622284</v>
      </c>
      <c r="G7" s="10">
        <f t="shared" si="2"/>
        <v>64.423926308394726</v>
      </c>
      <c r="H7" s="5"/>
      <c r="I7" s="5"/>
      <c r="J7" s="5"/>
      <c r="L7" s="18" t="s">
        <v>6</v>
      </c>
      <c r="M7" s="21">
        <v>4.75904710080051</v>
      </c>
      <c r="N7" s="21">
        <v>2.7309308594512265</v>
      </c>
      <c r="O7" s="21">
        <v>4.0466638721313872</v>
      </c>
      <c r="P7" s="29">
        <v>3.456300944594529</v>
      </c>
    </row>
    <row r="8" spans="3:16" ht="13" x14ac:dyDescent="0.25">
      <c r="C8" s="76" t="s">
        <v>59</v>
      </c>
      <c r="D8" s="9">
        <f>M14</f>
        <v>90.184202861401047</v>
      </c>
      <c r="E8" s="9">
        <f t="shared" ref="E8:G8" si="3">N14</f>
        <v>5.6044662911662977</v>
      </c>
      <c r="F8" s="9">
        <f t="shared" si="3"/>
        <v>75.823193553236081</v>
      </c>
      <c r="G8" s="10">
        <f t="shared" si="3"/>
        <v>63.922004479215381</v>
      </c>
      <c r="H8" s="5"/>
      <c r="I8" s="5"/>
      <c r="J8" s="5"/>
      <c r="L8" s="18" t="s">
        <v>8</v>
      </c>
      <c r="M8" s="21">
        <v>10.421775761973715</v>
      </c>
      <c r="N8" s="21">
        <v>2.309250807412913</v>
      </c>
      <c r="O8" s="21">
        <v>8.7328099382441575</v>
      </c>
      <c r="P8" s="29">
        <v>7.3331380087554017</v>
      </c>
    </row>
    <row r="9" spans="3:16" ht="13" x14ac:dyDescent="0.3">
      <c r="C9" s="76" t="s">
        <v>200</v>
      </c>
      <c r="D9" s="9">
        <f>D12+D13+D14+D15+D16+D17+D18</f>
        <v>56.559564770652841</v>
      </c>
      <c r="E9" s="9">
        <f>E12+E13+E14+E15+E16+E17+E18</f>
        <v>8.5734952951429282</v>
      </c>
      <c r="F9" s="9">
        <f>F12+F13+F14+F15+F16+F17+F18</f>
        <v>47.596208056046429</v>
      </c>
      <c r="G9" s="10">
        <f>G12+G13+G14+G15+G16+G17+G18</f>
        <v>40.168136622531257</v>
      </c>
      <c r="H9" s="5"/>
      <c r="I9" s="5"/>
      <c r="J9" s="5"/>
      <c r="L9" s="62" t="s">
        <v>9</v>
      </c>
      <c r="M9" s="64">
        <v>90.250388428119322</v>
      </c>
      <c r="N9" s="64">
        <v>18.963678418475773</v>
      </c>
      <c r="O9" s="64">
        <v>76.127653632622284</v>
      </c>
      <c r="P9" s="142">
        <v>64.423926308394726</v>
      </c>
    </row>
    <row r="10" spans="3:16" ht="13" x14ac:dyDescent="0.25">
      <c r="C10" s="124" t="s">
        <v>60</v>
      </c>
      <c r="D10" s="109">
        <v>0</v>
      </c>
      <c r="E10" s="109">
        <v>0</v>
      </c>
      <c r="F10" s="109">
        <v>262</v>
      </c>
      <c r="G10" s="256">
        <f>262*2</f>
        <v>524</v>
      </c>
      <c r="H10" s="5"/>
      <c r="I10" s="174"/>
      <c r="J10" s="174"/>
      <c r="L10" s="18" t="s">
        <v>11</v>
      </c>
      <c r="M10" s="21">
        <v>18.642901837497256</v>
      </c>
      <c r="N10" s="21">
        <v>1.8043566780660896</v>
      </c>
      <c r="O10" s="21">
        <v>15.684135540495976</v>
      </c>
      <c r="P10" s="29">
        <v>13.232160448018845</v>
      </c>
    </row>
    <row r="11" spans="3:16" ht="13" x14ac:dyDescent="0.25">
      <c r="C11" s="125" t="s">
        <v>130</v>
      </c>
      <c r="D11" s="128">
        <f>SUM(D5:D10)</f>
        <v>1153.7857584988049</v>
      </c>
      <c r="E11" s="128">
        <f>SUM(E5:E10)</f>
        <v>276.68593545086662</v>
      </c>
      <c r="F11" s="128">
        <f>SUM(F5:F10)</f>
        <v>1257.1345622614765</v>
      </c>
      <c r="G11" s="257">
        <f>SUM(G5:G10)</f>
        <v>1339.3757623569927</v>
      </c>
      <c r="H11" s="5"/>
      <c r="I11" s="144"/>
      <c r="J11" s="5"/>
      <c r="K11" s="110"/>
      <c r="L11" s="18" t="s">
        <v>13</v>
      </c>
      <c r="M11" s="21">
        <v>10.050573359715882</v>
      </c>
      <c r="N11" s="21">
        <v>0.96662903856757787</v>
      </c>
      <c r="O11" s="21">
        <v>8.4632615493143177</v>
      </c>
      <c r="P11" s="29">
        <v>7.1478318626087516</v>
      </c>
    </row>
    <row r="12" spans="3:16" x14ac:dyDescent="0.25">
      <c r="C12" s="22" t="s">
        <v>53</v>
      </c>
      <c r="D12" s="9">
        <v>5.1404001498639215E-3</v>
      </c>
      <c r="E12" s="9">
        <v>5.2793621533933121E-3</v>
      </c>
      <c r="F12" s="9">
        <v>5.0586035460110845E-3</v>
      </c>
      <c r="G12" s="10">
        <v>4.9908174435738502E-3</v>
      </c>
      <c r="H12" s="5"/>
      <c r="I12" s="5"/>
      <c r="J12" s="5"/>
      <c r="L12" s="18" t="s">
        <v>15</v>
      </c>
      <c r="M12" s="21">
        <v>11.304232177300076</v>
      </c>
      <c r="N12" s="21">
        <v>0.45084083421291765</v>
      </c>
      <c r="O12" s="21">
        <v>9.5049158585576077</v>
      </c>
      <c r="P12" s="29">
        <v>8.0137947782898884</v>
      </c>
    </row>
    <row r="13" spans="3:16" x14ac:dyDescent="0.25">
      <c r="C13" s="22" t="s">
        <v>118</v>
      </c>
      <c r="D13" s="9">
        <v>4.75904710080051</v>
      </c>
      <c r="E13" s="9">
        <v>2.7309308594512265</v>
      </c>
      <c r="F13" s="9">
        <v>4.0466638721313872</v>
      </c>
      <c r="G13" s="10">
        <v>3.456300944594529</v>
      </c>
      <c r="H13" s="5"/>
      <c r="I13" s="5"/>
      <c r="J13" s="5"/>
      <c r="K13" s="110"/>
      <c r="L13" s="18" t="s">
        <v>17</v>
      </c>
      <c r="M13" s="21">
        <v>1.3758941332155397</v>
      </c>
      <c r="N13" s="21">
        <v>0.3062077152788118</v>
      </c>
      <c r="O13" s="21">
        <v>1.1593626937569692</v>
      </c>
      <c r="P13" s="29">
        <v>0.97991976282026683</v>
      </c>
    </row>
    <row r="14" spans="3:16" ht="13" x14ac:dyDescent="0.3">
      <c r="C14" s="22" t="s">
        <v>119</v>
      </c>
      <c r="D14" s="9">
        <v>10.421775761973715</v>
      </c>
      <c r="E14" s="9">
        <v>2.309250807412913</v>
      </c>
      <c r="F14" s="9">
        <v>8.7328099382441575</v>
      </c>
      <c r="G14" s="10">
        <v>7.3331380087554017</v>
      </c>
      <c r="H14" s="5"/>
      <c r="I14" s="5"/>
      <c r="J14" s="5"/>
      <c r="L14" s="62" t="s">
        <v>19</v>
      </c>
      <c r="M14" s="64">
        <v>90.184202861401047</v>
      </c>
      <c r="N14" s="64">
        <v>5.6044662911662977</v>
      </c>
      <c r="O14" s="64">
        <v>75.823193553236081</v>
      </c>
      <c r="P14" s="142">
        <v>63.922004479215381</v>
      </c>
    </row>
    <row r="15" spans="3:16" ht="13" x14ac:dyDescent="0.3">
      <c r="C15" s="22" t="s">
        <v>55</v>
      </c>
      <c r="D15" s="9">
        <v>18.642901837497256</v>
      </c>
      <c r="E15" s="9">
        <v>1.8043566780660896</v>
      </c>
      <c r="F15" s="9">
        <v>15.684135540495976</v>
      </c>
      <c r="G15" s="10">
        <v>13.232160448018845</v>
      </c>
      <c r="H15" s="5"/>
      <c r="I15" s="5"/>
      <c r="J15" s="5"/>
      <c r="L15" s="62" t="s">
        <v>246</v>
      </c>
      <c r="M15" s="64">
        <f>M6+M7+M8+M10+M11+M12+M13</f>
        <v>56.559564770652841</v>
      </c>
      <c r="N15" s="64">
        <f>N6+N7+N8+N10+N11+N12+N13</f>
        <v>8.5734952951429282</v>
      </c>
      <c r="O15" s="64">
        <f>O6+O7+O8+O10+O11+O12+O13</f>
        <v>47.596208056046429</v>
      </c>
      <c r="P15" s="142">
        <f>P6+P7+P8+P10+P11+P12+P13</f>
        <v>40.168136622531257</v>
      </c>
    </row>
    <row r="16" spans="3:16" ht="13.5" thickBot="1" x14ac:dyDescent="0.35">
      <c r="C16" s="22" t="s">
        <v>56</v>
      </c>
      <c r="D16" s="9">
        <v>10.050573359715882</v>
      </c>
      <c r="E16" s="9">
        <v>0.96662903856757787</v>
      </c>
      <c r="F16" s="9">
        <v>8.4632615493143177</v>
      </c>
      <c r="G16" s="10">
        <v>7.1478318626087516</v>
      </c>
      <c r="H16" s="5"/>
      <c r="I16" s="5"/>
      <c r="J16" s="5"/>
      <c r="L16" s="72" t="s">
        <v>63</v>
      </c>
      <c r="M16" s="70">
        <f>SUM(M5:M14)</f>
        <v>840.78575849880485</v>
      </c>
      <c r="N16" s="70"/>
      <c r="O16" s="70">
        <f t="shared" ref="O16:P16" si="4">SUM(O5:O14)</f>
        <v>707.13456226147673</v>
      </c>
      <c r="P16" s="71">
        <f t="shared" si="4"/>
        <v>596.37576235699282</v>
      </c>
    </row>
    <row r="17" spans="3:16" x14ac:dyDescent="0.25">
      <c r="C17" s="22" t="s">
        <v>57</v>
      </c>
      <c r="D17" s="9">
        <v>11.304232177300076</v>
      </c>
      <c r="E17" s="9">
        <v>0.45084083421291765</v>
      </c>
      <c r="F17" s="9">
        <v>9.5049158585576077</v>
      </c>
      <c r="G17" s="10">
        <v>8.0137947782898884</v>
      </c>
      <c r="H17" s="5"/>
      <c r="I17" s="5"/>
      <c r="J17" s="5"/>
    </row>
    <row r="18" spans="3:16" ht="13" thickBot="1" x14ac:dyDescent="0.3">
      <c r="C18" s="180" t="s">
        <v>58</v>
      </c>
      <c r="D18" s="181">
        <v>1.3758941332155397</v>
      </c>
      <c r="E18" s="181">
        <v>0.3062077152788118</v>
      </c>
      <c r="F18" s="181">
        <v>1.1593626937569692</v>
      </c>
      <c r="G18" s="182">
        <v>0.97991976282026683</v>
      </c>
      <c r="H18" s="5"/>
      <c r="I18" s="5"/>
      <c r="J18" s="5"/>
    </row>
    <row r="19" spans="3:16" x14ac:dyDescent="0.25">
      <c r="D19" s="130">
        <v>0</v>
      </c>
      <c r="E19" s="130">
        <v>0</v>
      </c>
      <c r="F19" s="130">
        <v>262</v>
      </c>
      <c r="G19" s="260">
        <v>262</v>
      </c>
      <c r="H19" s="5"/>
      <c r="I19" s="5"/>
      <c r="J19" s="5"/>
    </row>
    <row r="20" spans="3:16" x14ac:dyDescent="0.25">
      <c r="C20" s="5"/>
      <c r="D20" s="5">
        <v>0</v>
      </c>
      <c r="E20" s="5">
        <v>0</v>
      </c>
      <c r="F20" s="5">
        <v>0</v>
      </c>
      <c r="G20" s="5">
        <v>0</v>
      </c>
      <c r="H20" s="5"/>
      <c r="I20" s="5"/>
      <c r="J20" s="5"/>
    </row>
    <row r="21" spans="3:16" x14ac:dyDescent="0.25">
      <c r="C21" s="5"/>
      <c r="D21" s="5"/>
      <c r="E21" s="5"/>
      <c r="F21" s="5"/>
      <c r="G21" s="5"/>
      <c r="H21" s="5"/>
      <c r="I21" s="5"/>
      <c r="J21" s="5"/>
    </row>
    <row r="22" spans="3:16" ht="13" thickBot="1" x14ac:dyDescent="0.3"/>
    <row r="23" spans="3:16" ht="13" x14ac:dyDescent="0.3">
      <c r="C23" s="262" t="s">
        <v>204</v>
      </c>
      <c r="D23" s="263"/>
      <c r="E23" s="263"/>
      <c r="F23" s="263"/>
      <c r="G23" s="264"/>
      <c r="L23" s="139" t="s">
        <v>127</v>
      </c>
      <c r="M23" s="140" t="s">
        <v>404</v>
      </c>
      <c r="N23" s="140" t="s">
        <v>405</v>
      </c>
      <c r="O23" s="140" t="s">
        <v>406</v>
      </c>
      <c r="P23" s="141" t="s">
        <v>407</v>
      </c>
    </row>
    <row r="24" spans="3:16" ht="12.5" customHeight="1" x14ac:dyDescent="0.3">
      <c r="C24" s="342" t="s">
        <v>75</v>
      </c>
      <c r="D24" s="343" t="s">
        <v>374</v>
      </c>
      <c r="E24" s="343" t="s">
        <v>375</v>
      </c>
      <c r="F24" s="343" t="s">
        <v>376</v>
      </c>
      <c r="G24" s="346" t="s">
        <v>377</v>
      </c>
      <c r="L24" s="62" t="s">
        <v>106</v>
      </c>
      <c r="M24" s="143">
        <v>683</v>
      </c>
      <c r="N24" s="143">
        <v>401</v>
      </c>
      <c r="O24" s="143">
        <v>578</v>
      </c>
      <c r="P24" s="143">
        <v>491</v>
      </c>
    </row>
    <row r="25" spans="3:16" ht="14.5" customHeight="1" x14ac:dyDescent="0.3">
      <c r="C25" s="342"/>
      <c r="D25" s="344"/>
      <c r="E25" s="344"/>
      <c r="F25" s="344"/>
      <c r="G25" s="347"/>
      <c r="L25" s="62" t="s">
        <v>2</v>
      </c>
      <c r="M25" s="64">
        <v>417.80193264754615</v>
      </c>
      <c r="N25" s="64">
        <v>38.750072936525648</v>
      </c>
      <c r="O25" s="64">
        <v>350.86895143882219</v>
      </c>
      <c r="P25" s="142">
        <v>295.4440428525819</v>
      </c>
    </row>
    <row r="26" spans="3:16" ht="13" x14ac:dyDescent="0.25">
      <c r="C26" s="76" t="s">
        <v>106</v>
      </c>
      <c r="D26" s="258">
        <f>M24</f>
        <v>683</v>
      </c>
      <c r="E26" s="258">
        <f t="shared" ref="E26:G26" si="5">N24</f>
        <v>401</v>
      </c>
      <c r="F26" s="258">
        <f t="shared" si="5"/>
        <v>578</v>
      </c>
      <c r="G26" s="259">
        <f t="shared" si="5"/>
        <v>491</v>
      </c>
      <c r="L26" s="18" t="s">
        <v>4</v>
      </c>
      <c r="M26" s="21">
        <v>7.7421293359998282E-3</v>
      </c>
      <c r="N26" s="21">
        <v>5.3460154012287516E-3</v>
      </c>
      <c r="O26" s="21">
        <v>7.2385139938522637E-3</v>
      </c>
      <c r="P26" s="29">
        <v>6.8214873830979529E-3</v>
      </c>
    </row>
    <row r="27" spans="3:16" ht="13" x14ac:dyDescent="0.25">
      <c r="C27" s="76" t="s">
        <v>52</v>
      </c>
      <c r="D27" s="9">
        <f>M25</f>
        <v>417.80193264754615</v>
      </c>
      <c r="E27" s="9">
        <f t="shared" ref="E27:G27" si="6">N25</f>
        <v>38.750072936525648</v>
      </c>
      <c r="F27" s="9">
        <f t="shared" si="6"/>
        <v>350.86895143882219</v>
      </c>
      <c r="G27" s="10">
        <f t="shared" si="6"/>
        <v>295.4440428525819</v>
      </c>
      <c r="L27" s="18" t="s">
        <v>6</v>
      </c>
      <c r="M27" s="21">
        <v>3.9954741369956466</v>
      </c>
      <c r="N27" s="21">
        <v>2.9782094452150929</v>
      </c>
      <c r="O27" s="21">
        <v>3.4005144799259002</v>
      </c>
      <c r="P27" s="29">
        <v>2.9078487714800483</v>
      </c>
    </row>
    <row r="28" spans="3:16" ht="13" x14ac:dyDescent="0.25">
      <c r="C28" s="76" t="s">
        <v>54</v>
      </c>
      <c r="D28" s="191">
        <f>M29</f>
        <v>26.659676996663652</v>
      </c>
      <c r="E28" s="191">
        <f t="shared" ref="E28:G28" si="7">N29</f>
        <v>20.678722667985049</v>
      </c>
      <c r="F28" s="191">
        <f t="shared" si="7"/>
        <v>22.707352160347867</v>
      </c>
      <c r="G28" s="192">
        <f t="shared" si="7"/>
        <v>19.434567371742691</v>
      </c>
      <c r="L28" s="18" t="s">
        <v>8</v>
      </c>
      <c r="M28" s="21">
        <v>5.4358551360812282</v>
      </c>
      <c r="N28" s="21">
        <v>2.556604392361113</v>
      </c>
      <c r="O28" s="21">
        <v>4.5392797108630702</v>
      </c>
      <c r="P28" s="29">
        <v>3.7968563182993957</v>
      </c>
    </row>
    <row r="29" spans="3:16" ht="13" x14ac:dyDescent="0.3">
      <c r="C29" s="76" t="s">
        <v>59</v>
      </c>
      <c r="D29" s="191">
        <f>M34</f>
        <v>66.833495750297772</v>
      </c>
      <c r="E29" s="191">
        <f t="shared" ref="E29:G29" si="8">N34</f>
        <v>6.1082731284872134</v>
      </c>
      <c r="F29" s="191">
        <f t="shared" si="8"/>
        <v>56.127667514544576</v>
      </c>
      <c r="G29" s="192">
        <f t="shared" si="8"/>
        <v>47.262537938794537</v>
      </c>
      <c r="I29" s="5"/>
      <c r="J29" s="5"/>
      <c r="L29" s="62" t="s">
        <v>9</v>
      </c>
      <c r="M29" s="64">
        <v>26.659676996663652</v>
      </c>
      <c r="N29" s="64">
        <v>20.678722667985049</v>
      </c>
      <c r="O29" s="64">
        <v>22.707352160347867</v>
      </c>
      <c r="P29" s="142">
        <v>19.434567371742691</v>
      </c>
    </row>
    <row r="30" spans="3:16" ht="13" x14ac:dyDescent="0.25">
      <c r="C30" s="76" t="s">
        <v>200</v>
      </c>
      <c r="D30" s="9">
        <f>D33+D34+D35+D36+D37+D38+D39</f>
        <v>32.066308886723988</v>
      </c>
      <c r="E30" s="9">
        <f>E33+E34+E35+E36+E37+E38+E39</f>
        <v>9.3805182717079187</v>
      </c>
      <c r="F30" s="9">
        <f>F33+F34+F35+F36+F37+F38+F39</f>
        <v>26.989789192269477</v>
      </c>
      <c r="G30" s="10">
        <f>G33+G34+G35+G36+G37+G38+G39</f>
        <v>22.786097157038565</v>
      </c>
      <c r="I30" s="5"/>
      <c r="J30" s="5"/>
      <c r="L30" s="18" t="s">
        <v>11</v>
      </c>
      <c r="M30" s="21">
        <v>10.794770453726704</v>
      </c>
      <c r="N30" s="21">
        <v>1.9683658165912166</v>
      </c>
      <c r="O30" s="21">
        <v>9.0806740871237857</v>
      </c>
      <c r="P30" s="29">
        <v>7.6612896116182059</v>
      </c>
    </row>
    <row r="31" spans="3:16" ht="13" x14ac:dyDescent="0.25">
      <c r="C31" s="124" t="s">
        <v>60</v>
      </c>
      <c r="D31" s="109">
        <v>0</v>
      </c>
      <c r="E31" s="109">
        <v>0</v>
      </c>
      <c r="F31" s="109">
        <v>213</v>
      </c>
      <c r="G31" s="256">
        <f>213*2</f>
        <v>426</v>
      </c>
      <c r="I31" s="5"/>
      <c r="J31" s="174"/>
      <c r="L31" s="18" t="s">
        <v>13</v>
      </c>
      <c r="M31" s="21">
        <v>5.2532894015584244</v>
      </c>
      <c r="N31" s="21">
        <v>1.049440728877626</v>
      </c>
      <c r="O31" s="21">
        <v>4.4287156154286018</v>
      </c>
      <c r="P31" s="29">
        <v>3.7459143133868666</v>
      </c>
    </row>
    <row r="32" spans="3:16" ht="13" x14ac:dyDescent="0.25">
      <c r="C32" s="125" t="s">
        <v>130</v>
      </c>
      <c r="D32" s="128">
        <f>SUM(D26:D31)</f>
        <v>1226.3614142812316</v>
      </c>
      <c r="E32" s="128">
        <f>SUM(E26:E31)</f>
        <v>475.91758700470581</v>
      </c>
      <c r="F32" s="128">
        <f>SUM(F26:F31)</f>
        <v>1247.6937603059841</v>
      </c>
      <c r="G32" s="257">
        <f>SUM(G26:G31)</f>
        <v>1301.9272453201577</v>
      </c>
      <c r="I32" s="144"/>
      <c r="J32" s="5"/>
      <c r="K32" s="110"/>
      <c r="L32" s="18" t="s">
        <v>15</v>
      </c>
      <c r="M32" s="21">
        <v>5.6133290223956784</v>
      </c>
      <c r="N32" s="21">
        <v>0.48766871545594981</v>
      </c>
      <c r="O32" s="21">
        <v>4.7195548980278685</v>
      </c>
      <c r="P32" s="29">
        <v>3.97945116672456</v>
      </c>
    </row>
    <row r="33" spans="3:16" x14ac:dyDescent="0.25">
      <c r="C33" s="22" t="s">
        <v>53</v>
      </c>
      <c r="D33" s="9">
        <v>7.7421293359998282E-3</v>
      </c>
      <c r="E33" s="9">
        <v>5.3460154012287516E-3</v>
      </c>
      <c r="F33" s="9">
        <v>7.2385139938522637E-3</v>
      </c>
      <c r="G33" s="10">
        <v>6.8214873830979529E-3</v>
      </c>
      <c r="I33" s="5"/>
      <c r="J33" s="5"/>
      <c r="L33" s="18" t="s">
        <v>17</v>
      </c>
      <c r="M33" s="21">
        <v>0.96584860663030858</v>
      </c>
      <c r="N33" s="21">
        <v>0.334883157805692</v>
      </c>
      <c r="O33" s="21">
        <v>0.81381188690639594</v>
      </c>
      <c r="P33" s="29">
        <v>0.68791548814639003</v>
      </c>
    </row>
    <row r="34" spans="3:16" ht="13" x14ac:dyDescent="0.3">
      <c r="C34" s="22" t="s">
        <v>118</v>
      </c>
      <c r="D34" s="9">
        <v>3.9954741369956466</v>
      </c>
      <c r="E34" s="9">
        <v>2.9782094452150929</v>
      </c>
      <c r="F34" s="9">
        <v>3.4005144799259002</v>
      </c>
      <c r="G34" s="10">
        <v>2.9078487714800483</v>
      </c>
      <c r="I34" s="5"/>
      <c r="J34" s="5"/>
      <c r="K34" s="110"/>
      <c r="L34" s="62" t="s">
        <v>19</v>
      </c>
      <c r="M34" s="64">
        <v>66.833495750297772</v>
      </c>
      <c r="N34" s="64">
        <v>6.1082731284872134</v>
      </c>
      <c r="O34" s="64">
        <v>56.127667514544576</v>
      </c>
      <c r="P34" s="142">
        <v>47.262537938794537</v>
      </c>
    </row>
    <row r="35" spans="3:16" ht="13" x14ac:dyDescent="0.3">
      <c r="C35" s="22" t="s">
        <v>119</v>
      </c>
      <c r="D35" s="9">
        <v>5.4358551360812282</v>
      </c>
      <c r="E35" s="9">
        <v>2.556604392361113</v>
      </c>
      <c r="F35" s="9">
        <v>4.5392797108630702</v>
      </c>
      <c r="G35" s="10">
        <v>3.7968563182993957</v>
      </c>
      <c r="I35" s="5"/>
      <c r="J35" s="5"/>
      <c r="L35" s="62" t="s">
        <v>246</v>
      </c>
      <c r="M35" s="64">
        <f>M26+M27+M28+M30+M31+M32+M33</f>
        <v>32.066308886723988</v>
      </c>
      <c r="N35" s="64">
        <f>N26+N27+N28+N30+N31+N32+N33</f>
        <v>9.3805182717079187</v>
      </c>
      <c r="O35" s="64">
        <f>O26+O27+O28+O30+O31+O32+O33</f>
        <v>26.989789192269477</v>
      </c>
      <c r="P35" s="142">
        <f>P26+P27+P28+P30+P31+P32+P33</f>
        <v>22.786097157038565</v>
      </c>
    </row>
    <row r="36" spans="3:16" ht="13.5" thickBot="1" x14ac:dyDescent="0.35">
      <c r="C36" s="22" t="s">
        <v>55</v>
      </c>
      <c r="D36" s="9">
        <v>10.794770453726704</v>
      </c>
      <c r="E36" s="9">
        <v>1.9683658165912166</v>
      </c>
      <c r="F36" s="9">
        <v>9.0806740871237857</v>
      </c>
      <c r="G36" s="10">
        <v>7.6612896116182059</v>
      </c>
      <c r="I36" s="175"/>
      <c r="J36" s="175"/>
      <c r="L36" s="72" t="s">
        <v>63</v>
      </c>
      <c r="M36" s="70">
        <f>SUM(M25:M34)</f>
        <v>543.36141428123165</v>
      </c>
      <c r="N36" s="70"/>
      <c r="O36" s="70">
        <f t="shared" ref="O36:P36" si="9">SUM(O25:O34)</f>
        <v>456.69376030598409</v>
      </c>
      <c r="P36" s="71">
        <f t="shared" si="9"/>
        <v>384.92724532015774</v>
      </c>
    </row>
    <row r="37" spans="3:16" x14ac:dyDescent="0.25">
      <c r="C37" s="22" t="s">
        <v>56</v>
      </c>
      <c r="D37" s="9">
        <v>5.2532894015584244</v>
      </c>
      <c r="E37" s="9">
        <v>1.049440728877626</v>
      </c>
      <c r="F37" s="9">
        <v>4.4287156154286018</v>
      </c>
      <c r="G37" s="10">
        <v>3.7459143133868666</v>
      </c>
    </row>
    <row r="38" spans="3:16" x14ac:dyDescent="0.25">
      <c r="C38" s="22" t="s">
        <v>57</v>
      </c>
      <c r="D38" s="9">
        <v>5.6133290223956784</v>
      </c>
      <c r="E38" s="9">
        <v>0.48766871545594981</v>
      </c>
      <c r="F38" s="9">
        <v>4.7195548980278685</v>
      </c>
      <c r="G38" s="10">
        <v>3.97945116672456</v>
      </c>
    </row>
    <row r="39" spans="3:16" ht="13" thickBot="1" x14ac:dyDescent="0.3">
      <c r="C39" s="180" t="s">
        <v>58</v>
      </c>
      <c r="D39" s="181">
        <v>0.96584860663030858</v>
      </c>
      <c r="E39" s="181">
        <v>0.334883157805692</v>
      </c>
      <c r="F39" s="181">
        <v>0.81381188690639594</v>
      </c>
      <c r="G39" s="182">
        <v>0.68791548814639003</v>
      </c>
    </row>
    <row r="40" spans="3:16" x14ac:dyDescent="0.25">
      <c r="D40" s="130">
        <v>0</v>
      </c>
      <c r="E40" s="130">
        <v>0</v>
      </c>
      <c r="F40" s="130">
        <v>213</v>
      </c>
      <c r="G40" s="260">
        <v>213</v>
      </c>
    </row>
    <row r="41" spans="3:16" x14ac:dyDescent="0.25">
      <c r="D41" s="130">
        <v>0</v>
      </c>
      <c r="E41" s="130">
        <v>0</v>
      </c>
      <c r="F41" s="130">
        <v>0</v>
      </c>
      <c r="G41" s="261">
        <v>0</v>
      </c>
    </row>
    <row r="42" spans="3:16" x14ac:dyDescent="0.25">
      <c r="D42" s="129"/>
      <c r="E42" s="129"/>
      <c r="F42" s="129"/>
      <c r="G42" s="129"/>
    </row>
    <row r="44" spans="3:16" ht="13" thickBot="1" x14ac:dyDescent="0.3"/>
    <row r="45" spans="3:16" ht="13" x14ac:dyDescent="0.3">
      <c r="C45" s="262" t="s">
        <v>205</v>
      </c>
      <c r="D45" s="263"/>
      <c r="E45" s="263"/>
      <c r="F45" s="263"/>
      <c r="G45" s="264"/>
      <c r="L45" s="139" t="s">
        <v>127</v>
      </c>
      <c r="M45" s="140" t="s">
        <v>408</v>
      </c>
      <c r="N45" s="140" t="s">
        <v>409</v>
      </c>
      <c r="O45" s="140" t="s">
        <v>410</v>
      </c>
      <c r="P45" s="141" t="s">
        <v>411</v>
      </c>
    </row>
    <row r="46" spans="3:16" ht="12.5" customHeight="1" x14ac:dyDescent="0.3">
      <c r="C46" s="342" t="s">
        <v>75</v>
      </c>
      <c r="D46" s="343" t="s">
        <v>378</v>
      </c>
      <c r="E46" s="343" t="s">
        <v>379</v>
      </c>
      <c r="F46" s="343" t="s">
        <v>380</v>
      </c>
      <c r="G46" s="346" t="s">
        <v>381</v>
      </c>
      <c r="L46" s="62" t="s">
        <v>106</v>
      </c>
      <c r="M46" s="143">
        <v>421</v>
      </c>
      <c r="N46" s="143">
        <v>203</v>
      </c>
      <c r="O46" s="143">
        <v>349</v>
      </c>
      <c r="P46" s="143">
        <v>290</v>
      </c>
    </row>
    <row r="47" spans="3:16" ht="12.5" customHeight="1" x14ac:dyDescent="0.3">
      <c r="C47" s="342"/>
      <c r="D47" s="344"/>
      <c r="E47" s="344"/>
      <c r="F47" s="344"/>
      <c r="G47" s="347"/>
      <c r="L47" s="62" t="s">
        <v>2</v>
      </c>
      <c r="M47" s="64">
        <v>387.20723636820054</v>
      </c>
      <c r="N47" s="64">
        <v>41.522426865225718</v>
      </c>
      <c r="O47" s="64">
        <v>316.07419745532144</v>
      </c>
      <c r="P47" s="142">
        <v>257.58902548659586</v>
      </c>
    </row>
    <row r="48" spans="3:16" ht="13" x14ac:dyDescent="0.25">
      <c r="C48" s="76" t="s">
        <v>106</v>
      </c>
      <c r="D48" s="258">
        <f>M46</f>
        <v>421</v>
      </c>
      <c r="E48" s="258">
        <f t="shared" ref="E48:G48" si="10">N46</f>
        <v>203</v>
      </c>
      <c r="F48" s="258">
        <f t="shared" si="10"/>
        <v>349</v>
      </c>
      <c r="G48" s="259">
        <f t="shared" si="10"/>
        <v>290</v>
      </c>
      <c r="I48" s="1"/>
      <c r="L48" s="18" t="s">
        <v>4</v>
      </c>
      <c r="M48" s="21">
        <v>5.4006324033204385E-3</v>
      </c>
      <c r="N48" s="21">
        <v>5.4035368945491088E-3</v>
      </c>
      <c r="O48" s="21">
        <v>5.2576049875679284E-3</v>
      </c>
      <c r="P48" s="29">
        <v>5.1400086760034465E-3</v>
      </c>
    </row>
    <row r="49" spans="3:16" ht="13" x14ac:dyDescent="0.25">
      <c r="C49" s="76" t="s">
        <v>52</v>
      </c>
      <c r="D49" s="191">
        <f>M47</f>
        <v>387.20723636820054</v>
      </c>
      <c r="E49" s="191">
        <f t="shared" ref="E49:G49" si="11">N47</f>
        <v>41.522426865225718</v>
      </c>
      <c r="F49" s="191">
        <f t="shared" si="11"/>
        <v>316.07419745532144</v>
      </c>
      <c r="G49" s="192">
        <f t="shared" si="11"/>
        <v>257.58902548659586</v>
      </c>
      <c r="I49" s="4"/>
      <c r="J49" s="4"/>
      <c r="L49" s="18" t="s">
        <v>6</v>
      </c>
      <c r="M49" s="21">
        <v>4.0503446566603474</v>
      </c>
      <c r="N49" s="21">
        <v>3.191987106690549</v>
      </c>
      <c r="O49" s="21">
        <v>3.357341191776356</v>
      </c>
      <c r="P49" s="29">
        <v>2.787557762893154</v>
      </c>
    </row>
    <row r="50" spans="3:16" ht="13" x14ac:dyDescent="0.25">
      <c r="C50" s="76" t="s">
        <v>54</v>
      </c>
      <c r="D50" s="191">
        <f>M51</f>
        <v>113.16886732006527</v>
      </c>
      <c r="E50" s="191">
        <f t="shared" ref="E50:G50" si="12">N51</f>
        <v>22.161306307696421</v>
      </c>
      <c r="F50" s="191">
        <f t="shared" si="12"/>
        <v>92.563190031275482</v>
      </c>
      <c r="G50" s="192">
        <f t="shared" si="12"/>
        <v>75.621321692951469</v>
      </c>
      <c r="I50" s="4"/>
      <c r="L50" s="18" t="s">
        <v>8</v>
      </c>
      <c r="M50" s="21">
        <v>4.4961300850611936</v>
      </c>
      <c r="N50" s="21">
        <v>2.7705006369268141</v>
      </c>
      <c r="O50" s="21">
        <v>3.6417284262515648</v>
      </c>
      <c r="P50" s="29">
        <v>2.9392443385543543</v>
      </c>
    </row>
    <row r="51" spans="3:16" ht="13" x14ac:dyDescent="0.3">
      <c r="C51" s="76" t="s">
        <v>59</v>
      </c>
      <c r="D51" s="191">
        <f>M56</f>
        <v>51.900444574762325</v>
      </c>
      <c r="E51" s="191">
        <f t="shared" ref="E51:G51" si="13">N56</f>
        <v>6.5439507867820916</v>
      </c>
      <c r="F51" s="191">
        <f t="shared" si="13"/>
        <v>42.387734411359972</v>
      </c>
      <c r="G51" s="192">
        <f t="shared" si="13"/>
        <v>34.566439295926898</v>
      </c>
      <c r="I51" s="5"/>
      <c r="J51" s="5"/>
      <c r="L51" s="62" t="s">
        <v>9</v>
      </c>
      <c r="M51" s="64">
        <v>113.16886732006527</v>
      </c>
      <c r="N51" s="64">
        <v>22.161306307696421</v>
      </c>
      <c r="O51" s="64">
        <v>92.563190031275482</v>
      </c>
      <c r="P51" s="142">
        <v>75.621321692951469</v>
      </c>
    </row>
    <row r="52" spans="3:16" ht="13" x14ac:dyDescent="0.25">
      <c r="C52" s="76" t="s">
        <v>200</v>
      </c>
      <c r="D52" s="9">
        <f>D55+D56+D57+D58+D59+D60+D61</f>
        <v>43.908465394713602</v>
      </c>
      <c r="E52" s="9">
        <f>E55+E56+E57+E58+E59+E60+E61</f>
        <v>10.078348191211129</v>
      </c>
      <c r="F52" s="9">
        <f>F55+F56+F57+F58+F59+F60+F61</f>
        <v>35.882578787126207</v>
      </c>
      <c r="G52" s="10">
        <f>G55+G56+G57+G58+G59+G60+G61</f>
        <v>29.283741374582487</v>
      </c>
      <c r="I52" s="5"/>
      <c r="J52" s="5"/>
      <c r="L52" s="18" t="s">
        <v>11</v>
      </c>
      <c r="M52" s="21">
        <v>19.522469324496594</v>
      </c>
      <c r="N52" s="21">
        <v>2.1101889145470829</v>
      </c>
      <c r="O52" s="21">
        <v>15.934033063479429</v>
      </c>
      <c r="P52" s="29">
        <v>12.983641585316356</v>
      </c>
    </row>
    <row r="53" spans="3:16" ht="13" x14ac:dyDescent="0.25">
      <c r="C53" s="124" t="s">
        <v>60</v>
      </c>
      <c r="D53" s="109">
        <v>0</v>
      </c>
      <c r="E53" s="109">
        <v>0</v>
      </c>
      <c r="F53" s="109">
        <v>120</v>
      </c>
      <c r="G53" s="256">
        <f>120*2</f>
        <v>240</v>
      </c>
      <c r="I53" s="174"/>
      <c r="J53" s="174"/>
      <c r="L53" s="18" t="s">
        <v>13</v>
      </c>
      <c r="M53" s="21">
        <v>13.010287583486493</v>
      </c>
      <c r="N53" s="21">
        <v>1.1210533774439759</v>
      </c>
      <c r="O53" s="21">
        <v>10.623035181065715</v>
      </c>
      <c r="P53" s="29">
        <v>8.6602501036654971</v>
      </c>
    </row>
    <row r="54" spans="3:16" ht="13" x14ac:dyDescent="0.25">
      <c r="C54" s="125" t="s">
        <v>130</v>
      </c>
      <c r="D54" s="128">
        <f>SUM(D48:D53)</f>
        <v>1017.1850136577417</v>
      </c>
      <c r="E54" s="128">
        <f>SUM(E48:E53)</f>
        <v>283.30603215091537</v>
      </c>
      <c r="F54" s="128">
        <f>SUM(F48:F53)</f>
        <v>955.907700685083</v>
      </c>
      <c r="G54" s="257">
        <f>SUM(G48:G53)</f>
        <v>927.0605278500567</v>
      </c>
      <c r="I54" s="144"/>
      <c r="J54" s="5"/>
      <c r="K54" s="110"/>
      <c r="L54" s="18" t="s">
        <v>15</v>
      </c>
      <c r="M54" s="21">
        <v>2.136066319328402</v>
      </c>
      <c r="N54" s="21">
        <v>0.51953609468529116</v>
      </c>
      <c r="O54" s="21">
        <v>1.7562469818195481</v>
      </c>
      <c r="P54" s="29">
        <v>1.4439617257593056</v>
      </c>
    </row>
    <row r="55" spans="3:16" x14ac:dyDescent="0.25">
      <c r="C55" s="22" t="s">
        <v>53</v>
      </c>
      <c r="D55" s="9">
        <v>5.4006324033204385E-3</v>
      </c>
      <c r="E55" s="9">
        <v>5.4035368945491088E-3</v>
      </c>
      <c r="F55" s="9">
        <v>5.2576049875679284E-3</v>
      </c>
      <c r="G55" s="10">
        <v>5.1400086760034465E-3</v>
      </c>
      <c r="I55" s="5"/>
      <c r="J55" s="5"/>
      <c r="L55" s="18" t="s">
        <v>17</v>
      </c>
      <c r="M55" s="21">
        <v>0.68776679327725709</v>
      </c>
      <c r="N55" s="21">
        <v>0.35967852402286649</v>
      </c>
      <c r="O55" s="21">
        <v>0.56493633774602248</v>
      </c>
      <c r="P55" s="29">
        <v>0.46394584971781827</v>
      </c>
    </row>
    <row r="56" spans="3:16" ht="13" x14ac:dyDescent="0.3">
      <c r="C56" s="22" t="s">
        <v>118</v>
      </c>
      <c r="D56" s="9">
        <v>4.0503446566603474</v>
      </c>
      <c r="E56" s="9">
        <v>3.191987106690549</v>
      </c>
      <c r="F56" s="9">
        <v>3.357341191776356</v>
      </c>
      <c r="G56" s="10">
        <v>2.787557762893154</v>
      </c>
      <c r="I56" s="5"/>
      <c r="J56" s="5"/>
      <c r="K56" s="110"/>
      <c r="L56" s="62" t="s">
        <v>19</v>
      </c>
      <c r="M56" s="64">
        <v>51.900444574762325</v>
      </c>
      <c r="N56" s="64">
        <v>6.5439507867820916</v>
      </c>
      <c r="O56" s="64">
        <v>42.387734411359972</v>
      </c>
      <c r="P56" s="142">
        <v>34.566439295926898</v>
      </c>
    </row>
    <row r="57" spans="3:16" ht="13" x14ac:dyDescent="0.3">
      <c r="C57" s="22" t="s">
        <v>119</v>
      </c>
      <c r="D57" s="9">
        <v>4.4961300850611936</v>
      </c>
      <c r="E57" s="9">
        <v>2.7705006369268141</v>
      </c>
      <c r="F57" s="9">
        <v>3.6417284262515648</v>
      </c>
      <c r="G57" s="10">
        <v>2.9392443385543543</v>
      </c>
      <c r="I57" s="5"/>
      <c r="J57" s="5"/>
      <c r="L57" s="62" t="s">
        <v>246</v>
      </c>
      <c r="M57" s="64">
        <f>M48+M49+M50+M52+M53+M54+M55</f>
        <v>43.908465394713602</v>
      </c>
      <c r="N57" s="64">
        <f>N48+N49+N50+N52+N53+N54+N55</f>
        <v>10.078348191211129</v>
      </c>
      <c r="O57" s="64">
        <f>O48+O49+O50+O52+O53+O54+O55</f>
        <v>35.882578787126207</v>
      </c>
      <c r="P57" s="142">
        <f>P48+P49+P50+P52+P53+P54+P55</f>
        <v>29.283741374582487</v>
      </c>
    </row>
    <row r="58" spans="3:16" ht="13.5" thickBot="1" x14ac:dyDescent="0.35">
      <c r="C58" s="22" t="s">
        <v>55</v>
      </c>
      <c r="D58" s="9">
        <v>19.522469324496594</v>
      </c>
      <c r="E58" s="9">
        <v>2.1101889145470829</v>
      </c>
      <c r="F58" s="9">
        <v>15.934033063479429</v>
      </c>
      <c r="G58" s="10">
        <v>12.983641585316356</v>
      </c>
      <c r="I58" s="5"/>
      <c r="J58" s="5"/>
      <c r="L58" s="72" t="s">
        <v>63</v>
      </c>
      <c r="M58" s="70">
        <f>SUM(M47:M56)</f>
        <v>596.18501365774171</v>
      </c>
      <c r="N58" s="70"/>
      <c r="O58" s="70">
        <f t="shared" ref="O58:P58" si="14">SUM(O47:O56)</f>
        <v>486.90770068508311</v>
      </c>
      <c r="P58" s="71">
        <f t="shared" si="14"/>
        <v>397.06052785005676</v>
      </c>
    </row>
    <row r="59" spans="3:16" x14ac:dyDescent="0.25">
      <c r="C59" s="22" t="s">
        <v>56</v>
      </c>
      <c r="D59" s="9">
        <v>13.010287583486493</v>
      </c>
      <c r="E59" s="9">
        <v>1.1210533774439759</v>
      </c>
      <c r="F59" s="9">
        <v>10.623035181065715</v>
      </c>
      <c r="G59" s="10">
        <v>8.6602501036654971</v>
      </c>
    </row>
    <row r="60" spans="3:16" x14ac:dyDescent="0.25">
      <c r="C60" s="22" t="s">
        <v>57</v>
      </c>
      <c r="D60" s="9">
        <v>2.136066319328402</v>
      </c>
      <c r="E60" s="9">
        <v>0.51953609468529116</v>
      </c>
      <c r="F60" s="9">
        <v>1.7562469818195481</v>
      </c>
      <c r="G60" s="10">
        <v>1.4439617257593056</v>
      </c>
    </row>
    <row r="61" spans="3:16" ht="13" thickBot="1" x14ac:dyDescent="0.3">
      <c r="C61" s="180" t="s">
        <v>58</v>
      </c>
      <c r="D61" s="181">
        <v>0.68776679327725709</v>
      </c>
      <c r="E61" s="181">
        <v>0.35967852402286649</v>
      </c>
      <c r="F61" s="181">
        <v>0.56493633774602248</v>
      </c>
      <c r="G61" s="182">
        <v>0.46394584971781827</v>
      </c>
    </row>
    <row r="62" spans="3:16" x14ac:dyDescent="0.25">
      <c r="D62" s="130"/>
      <c r="E62" s="130"/>
      <c r="F62" s="130">
        <v>120</v>
      </c>
      <c r="G62" s="260">
        <v>120</v>
      </c>
    </row>
    <row r="63" spans="3:16" x14ac:dyDescent="0.25">
      <c r="D63" s="130"/>
      <c r="E63" s="130"/>
      <c r="F63" s="130">
        <v>0</v>
      </c>
      <c r="G63" s="261">
        <v>0</v>
      </c>
    </row>
    <row r="65" spans="3:16" ht="13" thickBot="1" x14ac:dyDescent="0.3"/>
    <row r="66" spans="3:16" ht="13" x14ac:dyDescent="0.3">
      <c r="C66" s="262" t="s">
        <v>206</v>
      </c>
      <c r="D66" s="263"/>
      <c r="E66" s="263"/>
      <c r="F66" s="263"/>
      <c r="G66" s="264"/>
      <c r="L66" s="139" t="s">
        <v>127</v>
      </c>
      <c r="M66" s="140" t="s">
        <v>415</v>
      </c>
      <c r="N66" s="140" t="s">
        <v>412</v>
      </c>
      <c r="O66" s="140" t="s">
        <v>413</v>
      </c>
      <c r="P66" s="141" t="s">
        <v>414</v>
      </c>
    </row>
    <row r="67" spans="3:16" ht="12.5" customHeight="1" x14ac:dyDescent="0.3">
      <c r="C67" s="342" t="s">
        <v>75</v>
      </c>
      <c r="D67" s="343" t="s">
        <v>382</v>
      </c>
      <c r="E67" s="343" t="s">
        <v>383</v>
      </c>
      <c r="F67" s="343" t="s">
        <v>384</v>
      </c>
      <c r="G67" s="346" t="s">
        <v>385</v>
      </c>
      <c r="L67" s="62" t="s">
        <v>106</v>
      </c>
      <c r="M67" s="143">
        <v>282</v>
      </c>
      <c r="N67" s="143">
        <v>214</v>
      </c>
      <c r="O67" s="143">
        <v>239</v>
      </c>
      <c r="P67" s="143">
        <v>205</v>
      </c>
    </row>
    <row r="68" spans="3:16" ht="12.5" customHeight="1" x14ac:dyDescent="0.3">
      <c r="C68" s="342"/>
      <c r="D68" s="344"/>
      <c r="E68" s="344"/>
      <c r="F68" s="344"/>
      <c r="G68" s="347"/>
      <c r="L68" s="62" t="s">
        <v>2</v>
      </c>
      <c r="M68" s="64">
        <v>395.21381628632486</v>
      </c>
      <c r="N68" s="64">
        <v>38.93092654563452</v>
      </c>
      <c r="O68" s="64">
        <v>326.90741938635227</v>
      </c>
      <c r="P68" s="142">
        <v>273.75834975236836</v>
      </c>
    </row>
    <row r="69" spans="3:16" ht="13" x14ac:dyDescent="0.25">
      <c r="C69" s="76" t="s">
        <v>106</v>
      </c>
      <c r="D69" s="258">
        <f>M67</f>
        <v>282</v>
      </c>
      <c r="E69" s="258">
        <f t="shared" ref="E69:G69" si="15">N67</f>
        <v>214</v>
      </c>
      <c r="F69" s="258">
        <f t="shared" si="15"/>
        <v>239</v>
      </c>
      <c r="G69" s="259">
        <f t="shared" si="15"/>
        <v>205</v>
      </c>
      <c r="L69" s="18" t="s">
        <v>4</v>
      </c>
      <c r="M69" s="21">
        <v>6.742613894160609E-3</v>
      </c>
      <c r="N69" s="21">
        <v>5.3497671802448452E-3</v>
      </c>
      <c r="O69" s="21">
        <v>6.3736077426834693E-3</v>
      </c>
      <c r="P69" s="29">
        <v>6.0864848006119158E-3</v>
      </c>
    </row>
    <row r="70" spans="3:16" ht="13" x14ac:dyDescent="0.25">
      <c r="C70" s="76" t="s">
        <v>52</v>
      </c>
      <c r="D70" s="191">
        <f>M68</f>
        <v>395.21381628632486</v>
      </c>
      <c r="E70" s="191">
        <f t="shared" ref="E70:G70" si="16">N68</f>
        <v>38.93092654563452</v>
      </c>
      <c r="F70" s="191">
        <f t="shared" si="16"/>
        <v>326.90741938635227</v>
      </c>
      <c r="G70" s="192">
        <f t="shared" si="16"/>
        <v>273.75834975236836</v>
      </c>
      <c r="L70" s="18" t="s">
        <v>6</v>
      </c>
      <c r="M70" s="21">
        <v>4.7699684914335183</v>
      </c>
      <c r="N70" s="21">
        <v>2.9921555950253729</v>
      </c>
      <c r="O70" s="21">
        <v>3.9923972189320249</v>
      </c>
      <c r="P70" s="29">
        <v>3.3873705803862211</v>
      </c>
    </row>
    <row r="71" spans="3:16" ht="13" x14ac:dyDescent="0.25">
      <c r="C71" s="76" t="s">
        <v>54</v>
      </c>
      <c r="D71" s="191">
        <f>M72</f>
        <v>56.700952416119279</v>
      </c>
      <c r="E71" s="191">
        <f t="shared" ref="E71:G71" si="17">N72</f>
        <v>20.775438391184743</v>
      </c>
      <c r="F71" s="191">
        <f t="shared" si="17"/>
        <v>47.185578595101099</v>
      </c>
      <c r="G71" s="192">
        <f t="shared" si="17"/>
        <v>39.781685420245523</v>
      </c>
      <c r="L71" s="18" t="s">
        <v>8</v>
      </c>
      <c r="M71" s="21">
        <v>3.7321629508662535</v>
      </c>
      <c r="N71" s="21">
        <v>2.5705583836196575</v>
      </c>
      <c r="O71" s="21">
        <v>3.0619987140823648</v>
      </c>
      <c r="P71" s="29">
        <v>2.5405452733571217</v>
      </c>
    </row>
    <row r="72" spans="3:16" ht="13" x14ac:dyDescent="0.3">
      <c r="C72" s="76" t="s">
        <v>59</v>
      </c>
      <c r="D72" s="191">
        <f>M77</f>
        <v>70.663282458640865</v>
      </c>
      <c r="E72" s="191">
        <f t="shared" ref="E72:G72" si="18">N77</f>
        <v>6.1366944341959364</v>
      </c>
      <c r="F72" s="191">
        <f t="shared" si="18"/>
        <v>58.437363399165378</v>
      </c>
      <c r="G72" s="192">
        <f t="shared" si="18"/>
        <v>48.924400442224808</v>
      </c>
      <c r="I72" s="5"/>
      <c r="J72" s="5"/>
      <c r="L72" s="62" t="s">
        <v>9</v>
      </c>
      <c r="M72" s="64">
        <v>56.700952416119279</v>
      </c>
      <c r="N72" s="64">
        <v>20.775438391184743</v>
      </c>
      <c r="O72" s="64">
        <v>47.185578595101099</v>
      </c>
      <c r="P72" s="142">
        <v>39.781685420245523</v>
      </c>
    </row>
    <row r="73" spans="3:16" ht="13" x14ac:dyDescent="0.25">
      <c r="C73" s="76" t="s">
        <v>200</v>
      </c>
      <c r="D73" s="9">
        <f>D76+D77+D78+D79+D80+D81+D82</f>
        <v>29.521419414910902</v>
      </c>
      <c r="E73" s="9">
        <f>E76+E77+E78+E79+E80+E81+E82</f>
        <v>9.4260422432990456</v>
      </c>
      <c r="F73" s="9">
        <f>F76+F77+F78+F79+F80+F81+F82</f>
        <v>24.486050066778482</v>
      </c>
      <c r="G73" s="10">
        <f>G76+G77+G78+G79+G80+G81+G82</f>
        <v>20.568039334802112</v>
      </c>
      <c r="I73" s="5"/>
      <c r="J73" s="5"/>
      <c r="L73" s="18" t="s">
        <v>11</v>
      </c>
      <c r="M73" s="21">
        <v>13.989104646963233</v>
      </c>
      <c r="N73" s="21">
        <v>1.977617719040665</v>
      </c>
      <c r="O73" s="21">
        <v>11.58064172141356</v>
      </c>
      <c r="P73" s="29">
        <v>9.7066215776140012</v>
      </c>
    </row>
    <row r="74" spans="3:16" ht="13" x14ac:dyDescent="0.25">
      <c r="C74" s="124" t="s">
        <v>60</v>
      </c>
      <c r="D74" s="109">
        <v>0</v>
      </c>
      <c r="E74" s="109">
        <v>0</v>
      </c>
      <c r="F74" s="109">
        <v>386</v>
      </c>
      <c r="G74" s="256">
        <f>386*2</f>
        <v>772</v>
      </c>
      <c r="I74" s="5"/>
      <c r="J74" s="5"/>
      <c r="L74" s="18" t="s">
        <v>13</v>
      </c>
      <c r="M74" s="21">
        <v>4.8781142893684315</v>
      </c>
      <c r="N74" s="21">
        <v>1.0541124437526317</v>
      </c>
      <c r="O74" s="21">
        <v>4.0535520776928289</v>
      </c>
      <c r="P74" s="29">
        <v>3.411961884169993</v>
      </c>
    </row>
    <row r="75" spans="3:16" ht="13" x14ac:dyDescent="0.25">
      <c r="C75" s="125" t="s">
        <v>130</v>
      </c>
      <c r="D75" s="128">
        <f>SUM(D69:D74)</f>
        <v>834.09947057599595</v>
      </c>
      <c r="E75" s="128">
        <f>SUM(E69:E74)</f>
        <v>289.26910161431425</v>
      </c>
      <c r="F75" s="128">
        <f>SUM(F69:F74)</f>
        <v>1082.0164114473973</v>
      </c>
      <c r="G75" s="257">
        <f>SUM(G69:G74)</f>
        <v>1360.0324749496408</v>
      </c>
      <c r="I75" s="144"/>
      <c r="J75" s="5"/>
      <c r="K75" s="110"/>
      <c r="L75" s="18" t="s">
        <v>15</v>
      </c>
      <c r="M75" s="21">
        <v>1.5973142073540998</v>
      </c>
      <c r="N75" s="21">
        <v>0.48974760980959264</v>
      </c>
      <c r="O75" s="21">
        <v>1.3341900180546655</v>
      </c>
      <c r="P75" s="29">
        <v>1.1294536171588538</v>
      </c>
    </row>
    <row r="76" spans="3:16" x14ac:dyDescent="0.25">
      <c r="C76" s="22" t="s">
        <v>53</v>
      </c>
      <c r="D76" s="9">
        <v>6.742613894160609E-3</v>
      </c>
      <c r="E76" s="9">
        <v>5.3497671802448452E-3</v>
      </c>
      <c r="F76" s="9">
        <v>6.3736077426834693E-3</v>
      </c>
      <c r="G76" s="10">
        <v>6.0864848006119158E-3</v>
      </c>
      <c r="I76" s="5"/>
      <c r="J76" s="5"/>
      <c r="L76" s="18" t="s">
        <v>17</v>
      </c>
      <c r="M76" s="21">
        <v>0.54801221503120245</v>
      </c>
      <c r="N76" s="21">
        <v>0.3365007248708809</v>
      </c>
      <c r="O76" s="21">
        <v>0.45689670886035066</v>
      </c>
      <c r="P76" s="29">
        <v>0.38599991731530792</v>
      </c>
    </row>
    <row r="77" spans="3:16" ht="13" x14ac:dyDescent="0.3">
      <c r="C77" s="22" t="s">
        <v>118</v>
      </c>
      <c r="D77" s="9">
        <v>4.7699684914335183</v>
      </c>
      <c r="E77" s="9">
        <v>2.9921555950253729</v>
      </c>
      <c r="F77" s="9">
        <v>3.9923972189320249</v>
      </c>
      <c r="G77" s="10">
        <v>3.3873705803862211</v>
      </c>
      <c r="I77" s="5"/>
      <c r="J77" s="5"/>
      <c r="K77" s="110"/>
      <c r="L77" s="62" t="s">
        <v>19</v>
      </c>
      <c r="M77" s="64">
        <v>70.663282458640865</v>
      </c>
      <c r="N77" s="64">
        <v>6.1366944341959364</v>
      </c>
      <c r="O77" s="64">
        <v>58.437363399165378</v>
      </c>
      <c r="P77" s="142">
        <v>48.924400442224808</v>
      </c>
    </row>
    <row r="78" spans="3:16" ht="13" x14ac:dyDescent="0.3">
      <c r="C78" s="22" t="s">
        <v>119</v>
      </c>
      <c r="D78" s="9">
        <v>3.7321629508662535</v>
      </c>
      <c r="E78" s="9">
        <v>2.5705583836196575</v>
      </c>
      <c r="F78" s="9">
        <v>3.0619987140823648</v>
      </c>
      <c r="G78" s="10">
        <v>2.5405452733571217</v>
      </c>
      <c r="I78" s="5"/>
      <c r="J78" s="5"/>
      <c r="L78" s="62" t="s">
        <v>246</v>
      </c>
      <c r="M78" s="64"/>
      <c r="N78" s="64"/>
      <c r="O78" s="64"/>
      <c r="P78" s="142"/>
    </row>
    <row r="79" spans="3:16" ht="13.5" thickBot="1" x14ac:dyDescent="0.35">
      <c r="C79" s="22" t="s">
        <v>55</v>
      </c>
      <c r="D79" s="9">
        <v>13.989104646963233</v>
      </c>
      <c r="E79" s="9">
        <v>1.977617719040665</v>
      </c>
      <c r="F79" s="9">
        <v>11.58064172141356</v>
      </c>
      <c r="G79" s="10">
        <v>9.7066215776140012</v>
      </c>
      <c r="I79" s="5"/>
      <c r="J79" s="175"/>
      <c r="L79" s="72" t="s">
        <v>63</v>
      </c>
      <c r="M79" s="70">
        <f>SUM(M68:M77)</f>
        <v>552.09947057599595</v>
      </c>
      <c r="N79" s="70"/>
      <c r="O79" s="70">
        <f t="shared" ref="O79:P79" si="19">SUM(O68:O77)</f>
        <v>457.01641144739722</v>
      </c>
      <c r="P79" s="71">
        <f t="shared" si="19"/>
        <v>383.0324749496408</v>
      </c>
    </row>
    <row r="80" spans="3:16" x14ac:dyDescent="0.25">
      <c r="C80" s="22" t="s">
        <v>56</v>
      </c>
      <c r="D80" s="9">
        <v>4.8781142893684315</v>
      </c>
      <c r="E80" s="9">
        <v>1.0541124437526317</v>
      </c>
      <c r="F80" s="9">
        <v>4.0535520776928289</v>
      </c>
      <c r="G80" s="10">
        <v>3.411961884169993</v>
      </c>
    </row>
    <row r="81" spans="3:16" x14ac:dyDescent="0.25">
      <c r="C81" s="22" t="s">
        <v>57</v>
      </c>
      <c r="D81" s="9">
        <v>1.5973142073540998</v>
      </c>
      <c r="E81" s="9">
        <v>0.48974760980959264</v>
      </c>
      <c r="F81" s="9">
        <v>1.3341900180546655</v>
      </c>
      <c r="G81" s="10">
        <v>1.1294536171588538</v>
      </c>
    </row>
    <row r="82" spans="3:16" ht="13" thickBot="1" x14ac:dyDescent="0.3">
      <c r="C82" s="180" t="s">
        <v>58</v>
      </c>
      <c r="D82" s="181">
        <v>0.54801221503120245</v>
      </c>
      <c r="E82" s="181">
        <v>0.3365007248708809</v>
      </c>
      <c r="F82" s="181">
        <v>0.45689670886035066</v>
      </c>
      <c r="G82" s="182">
        <v>0.38599991731530792</v>
      </c>
    </row>
    <row r="83" spans="3:16" x14ac:dyDescent="0.25">
      <c r="D83" s="130"/>
      <c r="E83" s="130"/>
      <c r="F83" s="130">
        <v>386</v>
      </c>
      <c r="G83" s="260">
        <v>386</v>
      </c>
    </row>
    <row r="84" spans="3:16" x14ac:dyDescent="0.25">
      <c r="D84" s="130"/>
      <c r="E84" s="130"/>
      <c r="F84" s="130">
        <v>0</v>
      </c>
      <c r="G84" s="261">
        <v>0</v>
      </c>
    </row>
    <row r="86" spans="3:16" ht="13" thickBot="1" x14ac:dyDescent="0.3"/>
    <row r="87" spans="3:16" ht="13" x14ac:dyDescent="0.3">
      <c r="C87" s="262" t="s">
        <v>207</v>
      </c>
      <c r="D87" s="263"/>
      <c r="E87" s="263"/>
      <c r="F87" s="263"/>
      <c r="G87" s="264"/>
      <c r="L87" s="139" t="s">
        <v>127</v>
      </c>
      <c r="M87" s="140" t="s">
        <v>416</v>
      </c>
      <c r="N87" s="140" t="s">
        <v>417</v>
      </c>
      <c r="O87" s="140" t="s">
        <v>418</v>
      </c>
      <c r="P87" s="141" t="s">
        <v>419</v>
      </c>
    </row>
    <row r="88" spans="3:16" ht="12.5" customHeight="1" x14ac:dyDescent="0.3">
      <c r="C88" s="342" t="s">
        <v>75</v>
      </c>
      <c r="D88" s="343" t="s">
        <v>386</v>
      </c>
      <c r="E88" s="343" t="s">
        <v>387</v>
      </c>
      <c r="F88" s="343" t="s">
        <v>388</v>
      </c>
      <c r="G88" s="346" t="s">
        <v>389</v>
      </c>
      <c r="L88" s="62" t="s">
        <v>106</v>
      </c>
      <c r="M88" s="143">
        <v>427</v>
      </c>
      <c r="N88" s="143">
        <v>270</v>
      </c>
      <c r="O88" s="143">
        <v>360</v>
      </c>
      <c r="P88" s="143">
        <v>304</v>
      </c>
    </row>
    <row r="89" spans="3:16" ht="17" customHeight="1" x14ac:dyDescent="0.3">
      <c r="C89" s="342"/>
      <c r="D89" s="344"/>
      <c r="E89" s="344"/>
      <c r="F89" s="344"/>
      <c r="G89" s="347"/>
      <c r="L89" s="62" t="s">
        <v>2</v>
      </c>
      <c r="M89" s="64">
        <v>336.5687032890383</v>
      </c>
      <c r="N89" s="64">
        <v>44.707267325329433</v>
      </c>
      <c r="O89" s="64">
        <v>279.84751322765175</v>
      </c>
      <c r="P89" s="142">
        <v>232.95034723505137</v>
      </c>
    </row>
    <row r="90" spans="3:16" ht="13" x14ac:dyDescent="0.25">
      <c r="C90" s="76" t="s">
        <v>106</v>
      </c>
      <c r="D90" s="258">
        <f>M88</f>
        <v>427</v>
      </c>
      <c r="E90" s="258">
        <f>N88</f>
        <v>270</v>
      </c>
      <c r="F90" s="258">
        <f t="shared" ref="F90:G90" si="20">O88</f>
        <v>360</v>
      </c>
      <c r="G90" s="259">
        <f t="shared" si="20"/>
        <v>304</v>
      </c>
      <c r="L90" s="18" t="s">
        <v>4</v>
      </c>
      <c r="M90" s="21">
        <v>5.1879173942401373E-3</v>
      </c>
      <c r="N90" s="21">
        <v>5.4696175198725274E-3</v>
      </c>
      <c r="O90" s="21">
        <v>5.0927972968850968E-3</v>
      </c>
      <c r="P90" s="29">
        <v>5.01415185608839E-3</v>
      </c>
    </row>
    <row r="91" spans="3:16" ht="13" x14ac:dyDescent="0.25">
      <c r="C91" s="76" t="s">
        <v>52</v>
      </c>
      <c r="D91" s="191">
        <f>M89</f>
        <v>336.5687032890383</v>
      </c>
      <c r="E91" s="191">
        <f t="shared" ref="E91:G91" si="21">N89</f>
        <v>44.707267325329433</v>
      </c>
      <c r="F91" s="191">
        <f t="shared" si="21"/>
        <v>279.84751322765175</v>
      </c>
      <c r="G91" s="192">
        <f t="shared" si="21"/>
        <v>232.95034723505137</v>
      </c>
      <c r="L91" s="18" t="s">
        <v>6</v>
      </c>
      <c r="M91" s="21">
        <v>3.2621888471198552</v>
      </c>
      <c r="N91" s="21">
        <v>3.437571287693185</v>
      </c>
      <c r="O91" s="21">
        <v>2.7599145312354971</v>
      </c>
      <c r="P91" s="29">
        <v>2.3446333648785611</v>
      </c>
    </row>
    <row r="92" spans="3:16" ht="13" x14ac:dyDescent="0.25">
      <c r="C92" s="76" t="s">
        <v>54</v>
      </c>
      <c r="D92" s="191">
        <f>M93</f>
        <v>39.329085483008612</v>
      </c>
      <c r="E92" s="191">
        <f t="shared" ref="E92:G92" si="22">N93</f>
        <v>23.864477316203892</v>
      </c>
      <c r="F92" s="191">
        <f t="shared" si="22"/>
        <v>32.998374738991593</v>
      </c>
      <c r="G92" s="192">
        <f t="shared" si="22"/>
        <v>27.76413349172643</v>
      </c>
      <c r="I92" s="4"/>
      <c r="L92" s="18" t="s">
        <v>8</v>
      </c>
      <c r="M92" s="21">
        <v>4.682429737658321</v>
      </c>
      <c r="N92" s="21">
        <v>3.0162209145602099</v>
      </c>
      <c r="O92" s="21">
        <v>3.865510313211078</v>
      </c>
      <c r="P92" s="29">
        <v>3.1900800937566087</v>
      </c>
    </row>
    <row r="93" spans="3:16" ht="13" x14ac:dyDescent="0.3">
      <c r="C93" s="76" t="s">
        <v>59</v>
      </c>
      <c r="D93" s="191">
        <f>M98</f>
        <v>44.7608423951269</v>
      </c>
      <c r="E93" s="191">
        <f t="shared" ref="E93:G93" si="23">N98</f>
        <v>7.0444510180748487</v>
      </c>
      <c r="F93" s="191">
        <f t="shared" si="23"/>
        <v>37.238202389907791</v>
      </c>
      <c r="G93" s="192">
        <f t="shared" si="23"/>
        <v>31.018472221243549</v>
      </c>
      <c r="I93" s="5"/>
      <c r="J93" s="5"/>
      <c r="L93" s="62" t="s">
        <v>9</v>
      </c>
      <c r="M93" s="64">
        <v>39.329085483008612</v>
      </c>
      <c r="N93" s="64">
        <v>23.864477316203892</v>
      </c>
      <c r="O93" s="64">
        <v>32.998374738991593</v>
      </c>
      <c r="P93" s="142">
        <v>27.76413349172643</v>
      </c>
    </row>
    <row r="94" spans="3:16" ht="13" x14ac:dyDescent="0.25">
      <c r="C94" s="76" t="s">
        <v>200</v>
      </c>
      <c r="D94" s="9">
        <f>D97+D98+D99+D100+D101+D102+D103</f>
        <v>37.271171580773341</v>
      </c>
      <c r="E94" s="9">
        <f>E97+E98+E99+E100+E101+E102+E103</f>
        <v>10.880003649082877</v>
      </c>
      <c r="F94" s="9">
        <f>F97+F98+F99+F100+F101+F102+F103</f>
        <v>31.029048547154083</v>
      </c>
      <c r="G94" s="10">
        <f>G97+G98+G99+G100+G101+G102+G103</f>
        <v>25.868051753238639</v>
      </c>
      <c r="I94" s="5"/>
      <c r="J94" s="5"/>
      <c r="L94" s="18" t="s">
        <v>11</v>
      </c>
      <c r="M94" s="21">
        <v>15.12452408903772</v>
      </c>
      <c r="N94" s="21">
        <v>2.2731131110448564</v>
      </c>
      <c r="O94" s="21">
        <v>12.577777418964512</v>
      </c>
      <c r="P94" s="29">
        <v>10.472123408562515</v>
      </c>
    </row>
    <row r="95" spans="3:16" ht="13" x14ac:dyDescent="0.25">
      <c r="C95" s="124" t="s">
        <v>60</v>
      </c>
      <c r="D95" s="109">
        <v>0</v>
      </c>
      <c r="E95" s="109">
        <v>0</v>
      </c>
      <c r="F95" s="109">
        <v>213</v>
      </c>
      <c r="G95" s="256">
        <f>213*2</f>
        <v>426</v>
      </c>
      <c r="I95" s="5"/>
      <c r="J95" s="5"/>
      <c r="L95" s="18" t="s">
        <v>13</v>
      </c>
      <c r="M95" s="21">
        <v>10.875143769356017</v>
      </c>
      <c r="N95" s="21">
        <v>1.2033208548761072</v>
      </c>
      <c r="O95" s="21">
        <v>9.0459295057081661</v>
      </c>
      <c r="P95" s="29">
        <v>7.5335323774834793</v>
      </c>
    </row>
    <row r="96" spans="3:16" ht="13" x14ac:dyDescent="0.25">
      <c r="C96" s="125" t="s">
        <v>130</v>
      </c>
      <c r="D96" s="128">
        <f>SUM(D90:D95)</f>
        <v>884.92980274794718</v>
      </c>
      <c r="E96" s="128">
        <f>SUM(E90:E95)</f>
        <v>356.49619930869102</v>
      </c>
      <c r="F96" s="128">
        <f>SUM(F90:F95)</f>
        <v>954.11313890370513</v>
      </c>
      <c r="G96" s="257">
        <f>SUM(G90:G95)</f>
        <v>1047.6010047012601</v>
      </c>
      <c r="I96" s="144"/>
      <c r="J96" s="5"/>
      <c r="K96" s="110"/>
      <c r="L96" s="18" t="s">
        <v>15</v>
      </c>
      <c r="M96" s="21">
        <v>2.5989881151234719</v>
      </c>
      <c r="N96" s="21">
        <v>0.55614483872444953</v>
      </c>
      <c r="O96" s="21">
        <v>2.1709495980468425</v>
      </c>
      <c r="P96" s="29">
        <v>1.8170467027647472</v>
      </c>
    </row>
    <row r="97" spans="3:16" x14ac:dyDescent="0.25">
      <c r="C97" s="22" t="s">
        <v>53</v>
      </c>
      <c r="D97" s="9">
        <v>5.1879173942401373E-3</v>
      </c>
      <c r="E97" s="9">
        <v>5.4696175198725274E-3</v>
      </c>
      <c r="F97" s="9">
        <v>5.0927972968850968E-3</v>
      </c>
      <c r="G97" s="10">
        <v>5.01415185608839E-3</v>
      </c>
      <c r="I97" s="5"/>
      <c r="J97" s="5"/>
      <c r="L97" s="18" t="s">
        <v>17</v>
      </c>
      <c r="M97" s="21">
        <v>0.72270910508372488</v>
      </c>
      <c r="N97" s="21">
        <v>0.38816302466419406</v>
      </c>
      <c r="O97" s="21">
        <v>0.60387438269110183</v>
      </c>
      <c r="P97" s="29">
        <v>0.50562165393664338</v>
      </c>
    </row>
    <row r="98" spans="3:16" ht="13" x14ac:dyDescent="0.3">
      <c r="C98" s="22" t="s">
        <v>118</v>
      </c>
      <c r="D98" s="9">
        <v>3.2621888471198552</v>
      </c>
      <c r="E98" s="9">
        <v>3.437571287693185</v>
      </c>
      <c r="F98" s="9">
        <v>2.7599145312354971</v>
      </c>
      <c r="G98" s="10">
        <v>2.3446333648785611</v>
      </c>
      <c r="I98" s="5"/>
      <c r="J98" s="5"/>
      <c r="K98" s="110"/>
      <c r="L98" s="62" t="s">
        <v>19</v>
      </c>
      <c r="M98" s="64">
        <v>44.7608423951269</v>
      </c>
      <c r="N98" s="64">
        <v>7.0444510180748487</v>
      </c>
      <c r="O98" s="64">
        <v>37.238202389907791</v>
      </c>
      <c r="P98" s="142">
        <v>31.018472221243549</v>
      </c>
    </row>
    <row r="99" spans="3:16" ht="13" x14ac:dyDescent="0.3">
      <c r="C99" s="22" t="s">
        <v>119</v>
      </c>
      <c r="D99" s="9">
        <v>4.682429737658321</v>
      </c>
      <c r="E99" s="9">
        <v>3.0162209145602099</v>
      </c>
      <c r="F99" s="9">
        <v>3.865510313211078</v>
      </c>
      <c r="G99" s="10">
        <v>3.1900800937566087</v>
      </c>
      <c r="I99" s="5"/>
      <c r="J99" s="5"/>
      <c r="L99" s="62" t="s">
        <v>246</v>
      </c>
      <c r="M99" s="64"/>
      <c r="N99" s="64"/>
      <c r="O99" s="64"/>
      <c r="P99" s="142"/>
    </row>
    <row r="100" spans="3:16" ht="13.5" thickBot="1" x14ac:dyDescent="0.35">
      <c r="C100" s="22" t="s">
        <v>55</v>
      </c>
      <c r="D100" s="9">
        <v>15.12452408903772</v>
      </c>
      <c r="E100" s="9">
        <v>2.2731131110448564</v>
      </c>
      <c r="F100" s="9">
        <v>12.577777418964512</v>
      </c>
      <c r="G100" s="10">
        <v>10.472123408562515</v>
      </c>
      <c r="I100" s="5"/>
      <c r="J100" s="5"/>
      <c r="L100" s="72" t="s">
        <v>63</v>
      </c>
      <c r="M100" s="70">
        <f>SUM(M89:M98)</f>
        <v>457.92980274794718</v>
      </c>
      <c r="N100" s="70"/>
      <c r="O100" s="70">
        <f t="shared" ref="O100:P100" si="24">SUM(O89:O98)</f>
        <v>381.11313890370513</v>
      </c>
      <c r="P100" s="71">
        <f t="shared" si="24"/>
        <v>317.60100470126002</v>
      </c>
    </row>
    <row r="101" spans="3:16" x14ac:dyDescent="0.25">
      <c r="C101" s="22" t="s">
        <v>56</v>
      </c>
      <c r="D101" s="9">
        <v>10.875143769356017</v>
      </c>
      <c r="E101" s="9">
        <v>1.2033208548761072</v>
      </c>
      <c r="F101" s="9">
        <v>9.0459295057081661</v>
      </c>
      <c r="G101" s="10">
        <v>7.5335323774834793</v>
      </c>
    </row>
    <row r="102" spans="3:16" x14ac:dyDescent="0.25">
      <c r="C102" s="22" t="s">
        <v>57</v>
      </c>
      <c r="D102" s="9">
        <v>2.5989881151234719</v>
      </c>
      <c r="E102" s="9">
        <v>0.55614483872444953</v>
      </c>
      <c r="F102" s="9">
        <v>2.1709495980468425</v>
      </c>
      <c r="G102" s="10">
        <v>1.8170467027647472</v>
      </c>
    </row>
    <row r="103" spans="3:16" ht="13" thickBot="1" x14ac:dyDescent="0.3">
      <c r="C103" s="180" t="s">
        <v>58</v>
      </c>
      <c r="D103" s="181">
        <v>0.72270910508372488</v>
      </c>
      <c r="E103" s="181">
        <v>0.38816302466419406</v>
      </c>
      <c r="F103" s="181">
        <v>0.60387438269110183</v>
      </c>
      <c r="G103" s="182">
        <v>0.50562165393664338</v>
      </c>
    </row>
    <row r="104" spans="3:16" x14ac:dyDescent="0.25">
      <c r="D104" s="130"/>
      <c r="E104" s="130"/>
      <c r="F104" s="130">
        <v>213</v>
      </c>
      <c r="G104" s="260">
        <v>213</v>
      </c>
    </row>
    <row r="105" spans="3:16" x14ac:dyDescent="0.25">
      <c r="D105" s="130"/>
      <c r="E105" s="130"/>
      <c r="F105" s="130">
        <v>0</v>
      </c>
      <c r="G105" s="261">
        <v>0</v>
      </c>
    </row>
    <row r="108" spans="3:16" ht="13" thickBot="1" x14ac:dyDescent="0.3"/>
    <row r="109" spans="3:16" ht="13" x14ac:dyDescent="0.3">
      <c r="C109" s="262" t="s">
        <v>208</v>
      </c>
      <c r="D109" s="263"/>
      <c r="E109" s="263"/>
      <c r="F109" s="263"/>
      <c r="G109" s="264"/>
      <c r="L109" s="139" t="s">
        <v>127</v>
      </c>
      <c r="M109" s="140" t="s">
        <v>420</v>
      </c>
      <c r="N109" s="140" t="s">
        <v>421</v>
      </c>
      <c r="O109" s="140" t="s">
        <v>422</v>
      </c>
      <c r="P109" s="141" t="s">
        <v>423</v>
      </c>
    </row>
    <row r="110" spans="3:16" ht="12.5" customHeight="1" x14ac:dyDescent="0.3">
      <c r="C110" s="342" t="s">
        <v>75</v>
      </c>
      <c r="D110" s="343" t="s">
        <v>390</v>
      </c>
      <c r="E110" s="343" t="s">
        <v>391</v>
      </c>
      <c r="F110" s="343" t="s">
        <v>392</v>
      </c>
      <c r="G110" s="346" t="s">
        <v>393</v>
      </c>
      <c r="L110" s="62" t="s">
        <v>106</v>
      </c>
      <c r="M110" s="64">
        <v>875</v>
      </c>
      <c r="N110" s="64">
        <v>452</v>
      </c>
      <c r="O110" s="64">
        <v>723</v>
      </c>
      <c r="P110" s="142">
        <v>598</v>
      </c>
    </row>
    <row r="111" spans="3:16" ht="12.5" customHeight="1" x14ac:dyDescent="0.3">
      <c r="C111" s="342"/>
      <c r="D111" s="344"/>
      <c r="E111" s="344"/>
      <c r="F111" s="344"/>
      <c r="G111" s="347"/>
      <c r="I111" s="4"/>
      <c r="L111" s="62" t="s">
        <v>2</v>
      </c>
      <c r="M111" s="64">
        <v>481.66530991482193</v>
      </c>
      <c r="N111" s="64">
        <v>42.744009507457257</v>
      </c>
      <c r="O111" s="64">
        <v>395.80180448466712</v>
      </c>
      <c r="P111" s="142">
        <v>324.77222117800835</v>
      </c>
    </row>
    <row r="112" spans="3:16" ht="13" x14ac:dyDescent="0.25">
      <c r="C112" s="76" t="s">
        <v>106</v>
      </c>
      <c r="D112" s="191">
        <f>M110</f>
        <v>875</v>
      </c>
      <c r="E112" s="191">
        <f t="shared" ref="E112:G112" si="25">N110</f>
        <v>452</v>
      </c>
      <c r="F112" s="191">
        <f t="shared" si="25"/>
        <v>723</v>
      </c>
      <c r="G112" s="192">
        <f t="shared" si="25"/>
        <v>598</v>
      </c>
      <c r="L112" s="18" t="s">
        <v>4</v>
      </c>
      <c r="M112" s="21">
        <v>5.2234193930804518E-3</v>
      </c>
      <c r="N112" s="21">
        <v>5.4288828878238443E-3</v>
      </c>
      <c r="O112" s="21">
        <v>5.1168069819379821E-3</v>
      </c>
      <c r="P112" s="29">
        <v>5.0286131084077675E-3</v>
      </c>
    </row>
    <row r="113" spans="3:16" ht="13" x14ac:dyDescent="0.25">
      <c r="C113" s="76" t="s">
        <v>52</v>
      </c>
      <c r="D113" s="191">
        <f>M111</f>
        <v>481.66530991482193</v>
      </c>
      <c r="E113" s="191">
        <f t="shared" ref="E113:G113" si="26">N111</f>
        <v>42.744009507457257</v>
      </c>
      <c r="F113" s="191">
        <f t="shared" si="26"/>
        <v>395.80180448466712</v>
      </c>
      <c r="G113" s="192">
        <f t="shared" si="26"/>
        <v>324.77222117800835</v>
      </c>
      <c r="L113" s="18" t="s">
        <v>6</v>
      </c>
      <c r="M113" s="21">
        <v>3.8552774064281841</v>
      </c>
      <c r="N113" s="21">
        <v>3.2861837788559338</v>
      </c>
      <c r="O113" s="21">
        <v>3.2193637157600601</v>
      </c>
      <c r="P113" s="29">
        <v>2.6933115328114288</v>
      </c>
    </row>
    <row r="114" spans="3:16" ht="13" x14ac:dyDescent="0.25">
      <c r="C114" s="76" t="s">
        <v>54</v>
      </c>
      <c r="D114" s="191">
        <f>M115</f>
        <v>106.94670411878722</v>
      </c>
      <c r="E114" s="191">
        <f t="shared" ref="E114:G114" si="27">N115</f>
        <v>22.814577379452619</v>
      </c>
      <c r="F114" s="191">
        <f t="shared" si="27"/>
        <v>88.114438088569486</v>
      </c>
      <c r="G114" s="192">
        <f t="shared" si="27"/>
        <v>72.535665685261733</v>
      </c>
      <c r="I114" s="5"/>
      <c r="J114" s="5"/>
      <c r="L114" s="18" t="s">
        <v>8</v>
      </c>
      <c r="M114" s="21">
        <v>8.4170751216406554</v>
      </c>
      <c r="N114" s="21">
        <v>2.8647495105396281</v>
      </c>
      <c r="O114" s="21">
        <v>6.8845847393621344</v>
      </c>
      <c r="P114" s="29">
        <v>5.6168499464558472</v>
      </c>
    </row>
    <row r="115" spans="3:16" ht="13" x14ac:dyDescent="0.3">
      <c r="C115" s="76" t="s">
        <v>59</v>
      </c>
      <c r="D115" s="191">
        <f>M120</f>
        <v>62.415711579204164</v>
      </c>
      <c r="E115" s="191">
        <f t="shared" ref="E115:G115" si="28">N120</f>
        <v>6.7359234782368489</v>
      </c>
      <c r="F115" s="191">
        <f t="shared" si="28"/>
        <v>51.313791320168697</v>
      </c>
      <c r="G115" s="192">
        <f t="shared" si="28"/>
        <v>42.129857284951385</v>
      </c>
      <c r="I115" s="5"/>
      <c r="J115" s="5"/>
      <c r="L115" s="62" t="s">
        <v>9</v>
      </c>
      <c r="M115" s="64">
        <v>106.94670411878722</v>
      </c>
      <c r="N115" s="64">
        <v>22.814577379452619</v>
      </c>
      <c r="O115" s="64">
        <v>88.114438088569486</v>
      </c>
      <c r="P115" s="142">
        <v>72.535665685261733</v>
      </c>
    </row>
    <row r="116" spans="3:16" ht="13" x14ac:dyDescent="0.25">
      <c r="C116" s="76" t="s">
        <v>200</v>
      </c>
      <c r="D116" s="9">
        <f>D119+D120+D121+D122+D123+D124+D125</f>
        <v>55.50767278482467</v>
      </c>
      <c r="E116" s="9">
        <f>E119+E120+E121+E122+E123+E124+E125</f>
        <v>10.385832476422209</v>
      </c>
      <c r="F116" s="9">
        <f>F119+F120+F121+F122+F123+F124+F125</f>
        <v>45.650407784110349</v>
      </c>
      <c r="G116" s="10">
        <f>G119+G120+G121+G122+G123+G124+G125</f>
        <v>37.496100292977282</v>
      </c>
      <c r="I116" s="174"/>
      <c r="J116" s="174"/>
      <c r="L116" s="18" t="s">
        <v>11</v>
      </c>
      <c r="M116" s="21">
        <v>13.671692751191268</v>
      </c>
      <c r="N116" s="21">
        <v>2.1726803871763698</v>
      </c>
      <c r="O116" s="21">
        <v>11.249517977852323</v>
      </c>
      <c r="P116" s="29">
        <v>9.245802150222671</v>
      </c>
    </row>
    <row r="117" spans="3:16" ht="13" x14ac:dyDescent="0.25">
      <c r="C117" s="124" t="s">
        <v>60</v>
      </c>
      <c r="D117" s="109">
        <v>0</v>
      </c>
      <c r="E117" s="109">
        <v>0</v>
      </c>
      <c r="F117" s="109">
        <v>766</v>
      </c>
      <c r="G117" s="256">
        <f>766*2</f>
        <v>1532</v>
      </c>
      <c r="I117" s="5"/>
      <c r="J117" s="5"/>
      <c r="L117" s="18" t="s">
        <v>13</v>
      </c>
      <c r="M117" s="21">
        <v>11.102507379034988</v>
      </c>
      <c r="N117" s="21">
        <v>1.1526080263220551</v>
      </c>
      <c r="O117" s="21">
        <v>9.1341901180224454</v>
      </c>
      <c r="P117" s="29">
        <v>7.5059226234142624</v>
      </c>
    </row>
    <row r="118" spans="3:16" ht="13" x14ac:dyDescent="0.25">
      <c r="C118" s="125" t="s">
        <v>130</v>
      </c>
      <c r="D118" s="128">
        <f>SUM(D112:D117)</f>
        <v>1581.5353983976381</v>
      </c>
      <c r="E118" s="128">
        <f>SUM(E112:E117)</f>
        <v>534.68034284156897</v>
      </c>
      <c r="F118" s="128">
        <f>SUM(F112:F117)</f>
        <v>2069.8804416775156</v>
      </c>
      <c r="G118" s="257">
        <f>SUM(G112:G117)</f>
        <v>2606.9338444411987</v>
      </c>
      <c r="I118" s="144"/>
      <c r="J118" s="5"/>
      <c r="K118" s="110"/>
      <c r="L118" s="18" t="s">
        <v>15</v>
      </c>
      <c r="M118" s="21">
        <v>17.073424766376682</v>
      </c>
      <c r="N118" s="21">
        <v>0.53357780472770899</v>
      </c>
      <c r="O118" s="21">
        <v>14.019041913046053</v>
      </c>
      <c r="P118" s="29">
        <v>11.492339325675511</v>
      </c>
    </row>
    <row r="119" spans="3:16" x14ac:dyDescent="0.25">
      <c r="C119" s="22" t="s">
        <v>53</v>
      </c>
      <c r="D119" s="9">
        <v>5.2234193930804518E-3</v>
      </c>
      <c r="E119" s="9">
        <v>5.4288828878238443E-3</v>
      </c>
      <c r="F119" s="9">
        <v>5.1168069819379821E-3</v>
      </c>
      <c r="G119" s="10">
        <v>5.0286131084077675E-3</v>
      </c>
      <c r="I119" s="5"/>
      <c r="J119" s="5"/>
      <c r="L119" s="18" t="s">
        <v>17</v>
      </c>
      <c r="M119" s="21">
        <v>1.3824719407598138</v>
      </c>
      <c r="N119" s="21">
        <v>0.3706040859126904</v>
      </c>
      <c r="O119" s="21">
        <v>1.1385925130853958</v>
      </c>
      <c r="P119" s="29">
        <v>0.93684610128915558</v>
      </c>
    </row>
    <row r="120" spans="3:16" ht="13" x14ac:dyDescent="0.3">
      <c r="C120" s="22" t="s">
        <v>118</v>
      </c>
      <c r="D120" s="9">
        <v>3.8552774064281841</v>
      </c>
      <c r="E120" s="9">
        <v>3.2861837788559338</v>
      </c>
      <c r="F120" s="9">
        <v>3.2193637157600601</v>
      </c>
      <c r="G120" s="10">
        <v>2.6933115328114288</v>
      </c>
      <c r="I120" s="5"/>
      <c r="J120" s="5"/>
      <c r="K120" s="110"/>
      <c r="L120" s="62" t="s">
        <v>19</v>
      </c>
      <c r="M120" s="64">
        <v>62.415711579204164</v>
      </c>
      <c r="N120" s="64">
        <v>6.7359234782368489</v>
      </c>
      <c r="O120" s="64">
        <v>51.313791320168697</v>
      </c>
      <c r="P120" s="142">
        <v>42.129857284951385</v>
      </c>
    </row>
    <row r="121" spans="3:16" ht="13" x14ac:dyDescent="0.3">
      <c r="C121" s="22" t="s">
        <v>119</v>
      </c>
      <c r="D121" s="9">
        <v>8.4170751216406554</v>
      </c>
      <c r="E121" s="9">
        <v>2.8647495105396281</v>
      </c>
      <c r="F121" s="9">
        <v>6.8845847393621344</v>
      </c>
      <c r="G121" s="10">
        <v>5.6168499464558472</v>
      </c>
      <c r="I121" s="5"/>
      <c r="J121" s="5"/>
      <c r="L121" s="62" t="s">
        <v>246</v>
      </c>
      <c r="M121" s="64"/>
      <c r="N121" s="64"/>
      <c r="O121" s="64"/>
      <c r="P121" s="142"/>
    </row>
    <row r="122" spans="3:16" ht="13.5" thickBot="1" x14ac:dyDescent="0.35">
      <c r="C122" s="22" t="s">
        <v>55</v>
      </c>
      <c r="D122" s="9">
        <v>13.671692751191268</v>
      </c>
      <c r="E122" s="9">
        <v>2.1726803871763698</v>
      </c>
      <c r="F122" s="9">
        <v>11.249517977852323</v>
      </c>
      <c r="G122" s="10">
        <v>9.245802150222671</v>
      </c>
      <c r="I122" s="175"/>
      <c r="J122" s="175"/>
      <c r="L122" s="72" t="s">
        <v>63</v>
      </c>
      <c r="M122" s="70">
        <f>SUM(M111:M120)</f>
        <v>706.53539839763789</v>
      </c>
      <c r="N122" s="70"/>
      <c r="O122" s="70">
        <f t="shared" ref="O122:P122" si="29">SUM(O111:O120)</f>
        <v>580.88044167751571</v>
      </c>
      <c r="P122" s="71">
        <f t="shared" si="29"/>
        <v>476.93384444119874</v>
      </c>
    </row>
    <row r="123" spans="3:16" x14ac:dyDescent="0.25">
      <c r="C123" s="22" t="s">
        <v>56</v>
      </c>
      <c r="D123" s="9">
        <v>11.102507379034988</v>
      </c>
      <c r="E123" s="9">
        <v>1.1526080263220551</v>
      </c>
      <c r="F123" s="9">
        <v>9.1341901180224454</v>
      </c>
      <c r="G123" s="10">
        <v>7.5059226234142624</v>
      </c>
    </row>
    <row r="124" spans="3:16" x14ac:dyDescent="0.25">
      <c r="C124" s="22" t="s">
        <v>57</v>
      </c>
      <c r="D124" s="9">
        <v>17.073424766376682</v>
      </c>
      <c r="E124" s="9">
        <v>0.53357780472770899</v>
      </c>
      <c r="F124" s="9">
        <v>14.019041913046053</v>
      </c>
      <c r="G124" s="10">
        <v>11.492339325675511</v>
      </c>
    </row>
    <row r="125" spans="3:16" ht="13" thickBot="1" x14ac:dyDescent="0.3">
      <c r="C125" s="180" t="s">
        <v>58</v>
      </c>
      <c r="D125" s="181">
        <v>1.3824719407598138</v>
      </c>
      <c r="E125" s="181">
        <v>0.3706040859126904</v>
      </c>
      <c r="F125" s="181">
        <v>1.1385925130853958</v>
      </c>
      <c r="G125" s="182">
        <v>0.93684610128915558</v>
      </c>
    </row>
    <row r="126" spans="3:16" x14ac:dyDescent="0.25">
      <c r="D126" s="130"/>
      <c r="E126" s="130"/>
      <c r="F126" s="130">
        <v>766</v>
      </c>
      <c r="G126" s="260">
        <v>766</v>
      </c>
    </row>
    <row r="127" spans="3:16" x14ac:dyDescent="0.25">
      <c r="D127" s="130"/>
      <c r="E127" s="130"/>
      <c r="F127" s="130">
        <v>0</v>
      </c>
      <c r="G127" s="261">
        <v>0</v>
      </c>
    </row>
    <row r="129" spans="3:16" ht="13" thickBot="1" x14ac:dyDescent="0.3"/>
    <row r="130" spans="3:16" ht="13" x14ac:dyDescent="0.3">
      <c r="C130" s="262" t="s">
        <v>209</v>
      </c>
      <c r="D130" s="263"/>
      <c r="E130" s="263"/>
      <c r="F130" s="263"/>
      <c r="G130" s="264"/>
      <c r="L130" s="139" t="s">
        <v>127</v>
      </c>
      <c r="M130" s="140" t="s">
        <v>424</v>
      </c>
      <c r="N130" s="140" t="s">
        <v>425</v>
      </c>
      <c r="O130" s="140" t="s">
        <v>426</v>
      </c>
      <c r="P130" s="141" t="s">
        <v>427</v>
      </c>
    </row>
    <row r="131" spans="3:16" ht="12.5" customHeight="1" x14ac:dyDescent="0.3">
      <c r="C131" s="342" t="s">
        <v>75</v>
      </c>
      <c r="D131" s="343" t="s">
        <v>394</v>
      </c>
      <c r="E131" s="343" t="s">
        <v>395</v>
      </c>
      <c r="F131" s="343" t="s">
        <v>396</v>
      </c>
      <c r="G131" s="346" t="s">
        <v>397</v>
      </c>
      <c r="L131" s="62" t="s">
        <v>106</v>
      </c>
      <c r="M131" s="64">
        <v>430</v>
      </c>
      <c r="N131" s="64">
        <v>311</v>
      </c>
      <c r="O131" s="64">
        <v>361</v>
      </c>
      <c r="P131" s="142">
        <v>303</v>
      </c>
    </row>
    <row r="132" spans="3:16" ht="12.5" customHeight="1" x14ac:dyDescent="0.3">
      <c r="C132" s="342"/>
      <c r="D132" s="344"/>
      <c r="E132" s="344"/>
      <c r="F132" s="344"/>
      <c r="G132" s="347"/>
      <c r="L132" s="62" t="s">
        <v>2</v>
      </c>
      <c r="M132" s="64">
        <v>620.21718091204423</v>
      </c>
      <c r="N132" s="64">
        <v>43.872686550993798</v>
      </c>
      <c r="O132" s="64">
        <v>512.48806111884448</v>
      </c>
      <c r="P132" s="142">
        <v>422.55530285516812</v>
      </c>
    </row>
    <row r="133" spans="3:16" ht="13" x14ac:dyDescent="0.25">
      <c r="C133" s="76" t="s">
        <v>106</v>
      </c>
      <c r="D133" s="191">
        <f>M131</f>
        <v>430</v>
      </c>
      <c r="E133" s="191">
        <f t="shared" ref="E133:G133" si="30">N131</f>
        <v>311</v>
      </c>
      <c r="F133" s="191">
        <f t="shared" si="30"/>
        <v>361</v>
      </c>
      <c r="G133" s="192">
        <f t="shared" si="30"/>
        <v>303</v>
      </c>
      <c r="I133" s="4"/>
      <c r="J133" s="4"/>
      <c r="L133" s="18" t="s">
        <v>4</v>
      </c>
      <c r="M133" s="21">
        <v>5.4606306922362216E-3</v>
      </c>
      <c r="N133" s="21">
        <v>5.4523019898784619E-3</v>
      </c>
      <c r="O133" s="21">
        <v>5.3154690952010022E-3</v>
      </c>
      <c r="P133" s="29">
        <v>5.1942875350026278E-3</v>
      </c>
    </row>
    <row r="134" spans="3:16" ht="13" x14ac:dyDescent="0.25">
      <c r="C134" s="76" t="s">
        <v>52</v>
      </c>
      <c r="D134" s="191">
        <f>M132</f>
        <v>620.21718091204423</v>
      </c>
      <c r="E134" s="191">
        <f t="shared" ref="E134:G134" si="31">N132</f>
        <v>43.872686550993798</v>
      </c>
      <c r="F134" s="191">
        <f t="shared" si="31"/>
        <v>512.48806111884448</v>
      </c>
      <c r="G134" s="192">
        <f t="shared" si="31"/>
        <v>422.55530285516812</v>
      </c>
      <c r="L134" s="18" t="s">
        <v>6</v>
      </c>
      <c r="M134" s="21">
        <v>3.9123403886719954</v>
      </c>
      <c r="N134" s="21">
        <v>3.3732159531930406</v>
      </c>
      <c r="O134" s="21">
        <v>3.283978146264614</v>
      </c>
      <c r="P134" s="29">
        <v>2.759418493712686</v>
      </c>
    </row>
    <row r="135" spans="3:16" ht="13" x14ac:dyDescent="0.25">
      <c r="C135" s="76" t="s">
        <v>54</v>
      </c>
      <c r="D135" s="191">
        <f>M136</f>
        <v>362.94600003252123</v>
      </c>
      <c r="E135" s="191">
        <f t="shared" ref="E135:G135" si="32">N136</f>
        <v>23.418165133666577</v>
      </c>
      <c r="F135" s="191">
        <f t="shared" si="32"/>
        <v>299.85846086471776</v>
      </c>
      <c r="G135" s="192">
        <f t="shared" si="32"/>
        <v>247.19269676750841</v>
      </c>
      <c r="L135" s="18" t="s">
        <v>8</v>
      </c>
      <c r="M135" s="21">
        <v>9.9371032115065905</v>
      </c>
      <c r="N135" s="21">
        <v>2.9518297697810261</v>
      </c>
      <c r="O135" s="21">
        <v>8.1810087318573537</v>
      </c>
      <c r="P135" s="29">
        <v>6.715013088064409</v>
      </c>
    </row>
    <row r="136" spans="3:16" ht="13" x14ac:dyDescent="0.3">
      <c r="C136" s="76" t="s">
        <v>59</v>
      </c>
      <c r="D136" s="191">
        <f>M141</f>
        <v>82.113409224223503</v>
      </c>
      <c r="E136" s="191">
        <f t="shared" ref="E136:G136" si="33">N141</f>
        <v>6.9132959562764791</v>
      </c>
      <c r="F136" s="191">
        <f t="shared" si="33"/>
        <v>67.872420989863571</v>
      </c>
      <c r="G136" s="192">
        <f t="shared" si="33"/>
        <v>55.983979361684142</v>
      </c>
      <c r="I136" s="5"/>
      <c r="J136" s="5"/>
      <c r="L136" s="62" t="s">
        <v>9</v>
      </c>
      <c r="M136" s="64">
        <v>362.94600003252123</v>
      </c>
      <c r="N136" s="64">
        <v>23.418165133666577</v>
      </c>
      <c r="O136" s="64">
        <v>299.85846086471776</v>
      </c>
      <c r="P136" s="142">
        <v>247.19269676750841</v>
      </c>
    </row>
    <row r="137" spans="3:16" ht="13" x14ac:dyDescent="0.25">
      <c r="C137" s="76" t="s">
        <v>200</v>
      </c>
      <c r="D137" s="9">
        <f>D140+D141+D142+D143+D144+D145+D146</f>
        <v>70.831457499522656</v>
      </c>
      <c r="E137" s="9">
        <f>E140+E141+E142+E143+E144+E145+E146</f>
        <v>10.669929985803293</v>
      </c>
      <c r="F137" s="9">
        <f>F140+F141+F142+F143+F144+F145+F146</f>
        <v>58.565810682825514</v>
      </c>
      <c r="G137" s="10">
        <f>G140+G141+G142+G143+G144+G145+G146</f>
        <v>48.326393037613144</v>
      </c>
      <c r="I137" s="5"/>
      <c r="J137" s="5"/>
      <c r="L137" s="18" t="s">
        <v>11</v>
      </c>
      <c r="M137" s="21">
        <v>22.949601360079686</v>
      </c>
      <c r="N137" s="21">
        <v>2.2304190222623821</v>
      </c>
      <c r="O137" s="21">
        <v>18.971491500684095</v>
      </c>
      <c r="P137" s="29">
        <v>15.650547330545594</v>
      </c>
    </row>
    <row r="138" spans="3:16" ht="13" x14ac:dyDescent="0.25">
      <c r="C138" s="124" t="s">
        <v>60</v>
      </c>
      <c r="D138" s="109">
        <v>0</v>
      </c>
      <c r="E138" s="109">
        <v>0</v>
      </c>
      <c r="F138" s="109">
        <v>381</v>
      </c>
      <c r="G138" s="256">
        <f>381*2</f>
        <v>762</v>
      </c>
      <c r="I138" s="5"/>
      <c r="J138" s="5"/>
      <c r="L138" s="18" t="s">
        <v>13</v>
      </c>
      <c r="M138" s="21">
        <v>11.046385181832068</v>
      </c>
      <c r="N138" s="21">
        <v>1.1817627287993229</v>
      </c>
      <c r="O138" s="21">
        <v>9.1421492088672345</v>
      </c>
      <c r="P138" s="29">
        <v>7.552484373933166</v>
      </c>
    </row>
    <row r="139" spans="3:16" ht="13" x14ac:dyDescent="0.25">
      <c r="C139" s="125" t="s">
        <v>130</v>
      </c>
      <c r="D139" s="128">
        <f>SUM(D133:D138)</f>
        <v>1566.1080476683114</v>
      </c>
      <c r="E139" s="128">
        <f>SUM(E133:E138)</f>
        <v>395.87407762674025</v>
      </c>
      <c r="F139" s="128">
        <f>SUM(F133:F138)</f>
        <v>1680.7847536562513</v>
      </c>
      <c r="G139" s="257">
        <f>SUM(G133:G138)</f>
        <v>1839.0583720219738</v>
      </c>
      <c r="I139" s="144"/>
      <c r="J139" s="5"/>
      <c r="K139" s="110"/>
      <c r="L139" s="18" t="s">
        <v>15</v>
      </c>
      <c r="M139" s="21">
        <v>21.299752764120282</v>
      </c>
      <c r="N139" s="21">
        <v>0.54655154893250046</v>
      </c>
      <c r="O139" s="21">
        <v>17.59038970665544</v>
      </c>
      <c r="P139" s="29">
        <v>14.493796586804672</v>
      </c>
    </row>
    <row r="140" spans="3:16" x14ac:dyDescent="0.25">
      <c r="C140" s="22" t="s">
        <v>53</v>
      </c>
      <c r="D140" s="9">
        <v>5.4606306922362216E-3</v>
      </c>
      <c r="E140" s="9">
        <v>5.4523019898784619E-3</v>
      </c>
      <c r="F140" s="9">
        <v>5.3154690952010022E-3</v>
      </c>
      <c r="G140" s="10">
        <v>5.1942875350026278E-3</v>
      </c>
      <c r="I140" s="5"/>
      <c r="J140" s="5"/>
      <c r="L140" s="18" t="s">
        <v>17</v>
      </c>
      <c r="M140" s="21">
        <v>1.6808139626197969</v>
      </c>
      <c r="N140" s="21">
        <v>0.38069866084514226</v>
      </c>
      <c r="O140" s="21">
        <v>1.3914779194015685</v>
      </c>
      <c r="P140" s="29">
        <v>1.149938877017614</v>
      </c>
    </row>
    <row r="141" spans="3:16" ht="13" x14ac:dyDescent="0.3">
      <c r="C141" s="22" t="s">
        <v>118</v>
      </c>
      <c r="D141" s="9">
        <v>3.9123403886719954</v>
      </c>
      <c r="E141" s="9">
        <v>3.3732159531930406</v>
      </c>
      <c r="F141" s="9">
        <v>3.283978146264614</v>
      </c>
      <c r="G141" s="10">
        <v>2.759418493712686</v>
      </c>
      <c r="I141" s="5"/>
      <c r="J141" s="5"/>
      <c r="K141" s="110"/>
      <c r="L141" s="62" t="s">
        <v>19</v>
      </c>
      <c r="M141" s="64">
        <v>82.113409224223503</v>
      </c>
      <c r="N141" s="64">
        <v>6.9132959562764791</v>
      </c>
      <c r="O141" s="64">
        <v>67.872420989863571</v>
      </c>
      <c r="P141" s="142">
        <v>55.983979361684142</v>
      </c>
    </row>
    <row r="142" spans="3:16" ht="13" x14ac:dyDescent="0.3">
      <c r="C142" s="22" t="s">
        <v>119</v>
      </c>
      <c r="D142" s="9">
        <v>9.9371032115065905</v>
      </c>
      <c r="E142" s="9">
        <v>2.9518297697810261</v>
      </c>
      <c r="F142" s="9">
        <v>8.1810087318573537</v>
      </c>
      <c r="G142" s="10">
        <v>6.715013088064409</v>
      </c>
      <c r="I142" s="5"/>
      <c r="J142" s="5"/>
      <c r="L142" s="62" t="s">
        <v>246</v>
      </c>
      <c r="M142" s="64"/>
      <c r="N142" s="64"/>
      <c r="O142" s="64"/>
      <c r="P142" s="142"/>
    </row>
    <row r="143" spans="3:16" ht="13.5" thickBot="1" x14ac:dyDescent="0.35">
      <c r="C143" s="22" t="s">
        <v>55</v>
      </c>
      <c r="D143" s="9">
        <v>22.949601360079686</v>
      </c>
      <c r="E143" s="9">
        <v>2.2304190222623821</v>
      </c>
      <c r="F143" s="9">
        <v>18.971491500684095</v>
      </c>
      <c r="G143" s="10">
        <v>15.650547330545594</v>
      </c>
      <c r="I143" s="5"/>
      <c r="J143" s="5"/>
      <c r="L143" s="72" t="s">
        <v>63</v>
      </c>
      <c r="M143" s="70">
        <f>SUM(M132:M141)</f>
        <v>1136.1080476683114</v>
      </c>
      <c r="N143" s="70"/>
      <c r="O143" s="70">
        <f t="shared" ref="O143:P143" si="34">SUM(O132:O141)</f>
        <v>938.78475365625127</v>
      </c>
      <c r="P143" s="71">
        <f t="shared" si="34"/>
        <v>774.05837202197381</v>
      </c>
    </row>
    <row r="144" spans="3:16" x14ac:dyDescent="0.25">
      <c r="C144" s="22" t="s">
        <v>56</v>
      </c>
      <c r="D144" s="9">
        <v>11.046385181832068</v>
      </c>
      <c r="E144" s="9">
        <v>1.1817627287993229</v>
      </c>
      <c r="F144" s="9">
        <v>9.1421492088672345</v>
      </c>
      <c r="G144" s="10">
        <v>7.552484373933166</v>
      </c>
    </row>
    <row r="145" spans="3:16" x14ac:dyDescent="0.25">
      <c r="C145" s="22" t="s">
        <v>57</v>
      </c>
      <c r="D145" s="9">
        <v>21.299752764120282</v>
      </c>
      <c r="E145" s="9">
        <v>0.54655154893250046</v>
      </c>
      <c r="F145" s="9">
        <v>17.59038970665544</v>
      </c>
      <c r="G145" s="10">
        <v>14.493796586804672</v>
      </c>
    </row>
    <row r="146" spans="3:16" ht="13" thickBot="1" x14ac:dyDescent="0.3">
      <c r="C146" s="180" t="s">
        <v>58</v>
      </c>
      <c r="D146" s="181">
        <v>1.6808139626197969</v>
      </c>
      <c r="E146" s="181">
        <v>0.38069866084514226</v>
      </c>
      <c r="F146" s="181">
        <v>1.3914779194015685</v>
      </c>
      <c r="G146" s="182">
        <v>1.149938877017614</v>
      </c>
      <c r="L146" s="4"/>
    </row>
    <row r="147" spans="3:16" x14ac:dyDescent="0.25">
      <c r="D147" s="130"/>
      <c r="E147" s="130"/>
      <c r="F147" s="130">
        <v>381</v>
      </c>
      <c r="G147" s="260">
        <v>381</v>
      </c>
    </row>
    <row r="148" spans="3:16" x14ac:dyDescent="0.25">
      <c r="D148" s="130"/>
      <c r="E148" s="130"/>
      <c r="F148" s="130">
        <v>0</v>
      </c>
      <c r="G148" s="261">
        <v>0</v>
      </c>
    </row>
    <row r="151" spans="3:16" ht="13" thickBot="1" x14ac:dyDescent="0.3"/>
    <row r="152" spans="3:16" ht="13" x14ac:dyDescent="0.3">
      <c r="C152" s="262" t="s">
        <v>210</v>
      </c>
      <c r="D152" s="263"/>
      <c r="E152" s="263"/>
      <c r="F152" s="263"/>
      <c r="G152" s="264"/>
      <c r="L152" s="139" t="s">
        <v>127</v>
      </c>
      <c r="M152" s="140" t="s">
        <v>428</v>
      </c>
      <c r="N152" s="140" t="s">
        <v>429</v>
      </c>
      <c r="O152" s="140" t="s">
        <v>430</v>
      </c>
      <c r="P152" s="141" t="s">
        <v>431</v>
      </c>
    </row>
    <row r="153" spans="3:16" ht="12.5" customHeight="1" x14ac:dyDescent="0.3">
      <c r="C153" s="342" t="s">
        <v>75</v>
      </c>
      <c r="D153" s="343" t="s">
        <v>398</v>
      </c>
      <c r="E153" s="343" t="s">
        <v>399</v>
      </c>
      <c r="F153" s="343" t="s">
        <v>400</v>
      </c>
      <c r="G153" s="346" t="s">
        <v>401</v>
      </c>
      <c r="L153" s="62" t="s">
        <v>106</v>
      </c>
      <c r="M153" s="64">
        <v>273</v>
      </c>
      <c r="N153" s="64">
        <v>203</v>
      </c>
      <c r="O153" s="64">
        <v>230</v>
      </c>
      <c r="P153" s="142">
        <v>196</v>
      </c>
    </row>
    <row r="154" spans="3:16" ht="12.5" customHeight="1" x14ac:dyDescent="0.3">
      <c r="C154" s="342"/>
      <c r="D154" s="344"/>
      <c r="E154" s="344"/>
      <c r="F154" s="344"/>
      <c r="G154" s="347"/>
      <c r="I154" s="4"/>
      <c r="J154" s="4"/>
      <c r="L154" s="62" t="s">
        <v>2</v>
      </c>
      <c r="M154" s="64">
        <v>213.1281722094997</v>
      </c>
      <c r="N154" s="64">
        <v>40.929086724713102</v>
      </c>
      <c r="O154" s="64">
        <v>175.79174682343282</v>
      </c>
      <c r="P154" s="142">
        <v>145.51493848772654</v>
      </c>
    </row>
    <row r="155" spans="3:16" ht="13" x14ac:dyDescent="0.25">
      <c r="C155" s="76" t="s">
        <v>106</v>
      </c>
      <c r="D155" s="191">
        <f>M153</f>
        <v>273</v>
      </c>
      <c r="E155" s="191">
        <f t="shared" ref="E155:G155" si="35">N153</f>
        <v>203</v>
      </c>
      <c r="F155" s="191">
        <f t="shared" si="35"/>
        <v>230</v>
      </c>
      <c r="G155" s="192">
        <f t="shared" si="35"/>
        <v>196</v>
      </c>
      <c r="L155" s="18" t="s">
        <v>4</v>
      </c>
      <c r="M155" s="21">
        <v>5.653344035196713E-3</v>
      </c>
      <c r="N155" s="21">
        <v>5.3912259835299523E-3</v>
      </c>
      <c r="O155" s="21">
        <v>5.4705228382361821E-3</v>
      </c>
      <c r="P155" s="29">
        <v>5.3222696971590008E-3</v>
      </c>
    </row>
    <row r="156" spans="3:16" ht="13" x14ac:dyDescent="0.25">
      <c r="C156" s="76" t="s">
        <v>52</v>
      </c>
      <c r="D156" s="191">
        <f>M154</f>
        <v>213.1281722094997</v>
      </c>
      <c r="E156" s="191">
        <f t="shared" ref="E156:G156" si="36">N154</f>
        <v>40.929086724713102</v>
      </c>
      <c r="F156" s="191">
        <f t="shared" si="36"/>
        <v>175.79174682343282</v>
      </c>
      <c r="G156" s="192">
        <f t="shared" si="36"/>
        <v>145.51493848772654</v>
      </c>
      <c r="L156" s="18" t="s">
        <v>6</v>
      </c>
      <c r="M156" s="21">
        <v>3.2976895686298815</v>
      </c>
      <c r="N156" s="21">
        <v>3.1462344373530895</v>
      </c>
      <c r="O156" s="21">
        <v>2.7653165323675686</v>
      </c>
      <c r="P156" s="29">
        <v>2.3336052419764353</v>
      </c>
    </row>
    <row r="157" spans="3:16" ht="13" x14ac:dyDescent="0.25">
      <c r="C157" s="76" t="s">
        <v>54</v>
      </c>
      <c r="D157" s="191">
        <f>M158</f>
        <v>20.718328062784362</v>
      </c>
      <c r="E157" s="191">
        <f t="shared" ref="E157:G157" si="37">N158</f>
        <v>21.84400321570039</v>
      </c>
      <c r="F157" s="191">
        <f t="shared" si="37"/>
        <v>17.415228910318795</v>
      </c>
      <c r="G157" s="192">
        <f t="shared" si="37"/>
        <v>14.736683792007812</v>
      </c>
      <c r="L157" s="18" t="s">
        <v>8</v>
      </c>
      <c r="M157" s="21">
        <v>3.1577265322454404</v>
      </c>
      <c r="N157" s="21">
        <v>2.7247226126005764</v>
      </c>
      <c r="O157" s="21">
        <v>2.5747418514465652</v>
      </c>
      <c r="P157" s="29">
        <v>2.1019886282687699</v>
      </c>
    </row>
    <row r="158" spans="3:16" ht="13" x14ac:dyDescent="0.3">
      <c r="C158" s="76" t="s">
        <v>59</v>
      </c>
      <c r="D158" s="191">
        <f>M163</f>
        <v>36.012096954436103</v>
      </c>
      <c r="E158" s="191">
        <f t="shared" ref="E158:G158" si="38">N163</f>
        <v>6.4507069080755031</v>
      </c>
      <c r="F158" s="191">
        <f t="shared" si="38"/>
        <v>29.697700748851997</v>
      </c>
      <c r="G158" s="192">
        <f t="shared" si="38"/>
        <v>24.577238313165306</v>
      </c>
      <c r="I158" s="5"/>
      <c r="J158" s="5"/>
      <c r="L158" s="62" t="s">
        <v>9</v>
      </c>
      <c r="M158" s="64">
        <v>20.718328062784362</v>
      </c>
      <c r="N158" s="64">
        <v>21.84400321570039</v>
      </c>
      <c r="O158" s="64">
        <v>17.415228910318795</v>
      </c>
      <c r="P158" s="142">
        <v>14.736683792007812</v>
      </c>
    </row>
    <row r="159" spans="3:16" ht="13" x14ac:dyDescent="0.25">
      <c r="C159" s="76" t="s">
        <v>200</v>
      </c>
      <c r="D159" s="9">
        <f>D162+D163+D164+D165+D166+D167+D168</f>
        <v>19.672358206366933</v>
      </c>
      <c r="E159" s="9">
        <f>E162+E163+E164+E165+E166+E167+E168</f>
        <v>9.9289986812514659</v>
      </c>
      <c r="F159" s="9">
        <f>F162+F163+F164+F165+F166+F167+F168</f>
        <v>16.281133882937791</v>
      </c>
      <c r="G159" s="10">
        <f>G162+G163+G164+G165+G166+G167+G168</f>
        <v>13.53112640894536</v>
      </c>
      <c r="I159" s="5"/>
      <c r="J159" s="5"/>
      <c r="L159" s="18" t="s">
        <v>11</v>
      </c>
      <c r="M159" s="21">
        <v>7.8249201994070949</v>
      </c>
      <c r="N159" s="21">
        <v>2.0798359135557156</v>
      </c>
      <c r="O159" s="21">
        <v>6.4626668313694422</v>
      </c>
      <c r="P159" s="29">
        <v>5.3579899989661257</v>
      </c>
    </row>
    <row r="160" spans="3:16" ht="13" x14ac:dyDescent="0.25">
      <c r="C160" s="124" t="s">
        <v>60</v>
      </c>
      <c r="D160" s="109">
        <v>0</v>
      </c>
      <c r="E160" s="109">
        <v>0</v>
      </c>
      <c r="F160" s="109">
        <v>121</v>
      </c>
      <c r="G160" s="256">
        <f>121*2</f>
        <v>242</v>
      </c>
      <c r="I160" s="5"/>
      <c r="J160" s="5"/>
      <c r="L160" s="18" t="s">
        <v>13</v>
      </c>
      <c r="M160" s="21">
        <v>3.7502875309950019</v>
      </c>
      <c r="N160" s="21">
        <v>1.1057268337031998</v>
      </c>
      <c r="O160" s="21">
        <v>3.1082593017540145</v>
      </c>
      <c r="P160" s="29">
        <v>2.5876265566038574</v>
      </c>
    </row>
    <row r="161" spans="3:16" ht="13" x14ac:dyDescent="0.25">
      <c r="C161" s="125" t="s">
        <v>130</v>
      </c>
      <c r="D161" s="128">
        <f>SUM(D155:D160)</f>
        <v>562.530955433087</v>
      </c>
      <c r="E161" s="128">
        <f>SUM(E155:E160)</f>
        <v>282.1527955297405</v>
      </c>
      <c r="F161" s="128">
        <f>SUM(F155:F160)</f>
        <v>590.18581036554144</v>
      </c>
      <c r="G161" s="257">
        <f>SUM(G155:G160)</f>
        <v>636.35998700184496</v>
      </c>
      <c r="I161" s="144"/>
      <c r="J161" s="5"/>
      <c r="K161" s="110"/>
      <c r="L161" s="18" t="s">
        <v>15</v>
      </c>
      <c r="M161" s="21">
        <v>1.1867671612244863</v>
      </c>
      <c r="N161" s="21">
        <v>0.51271583552183131</v>
      </c>
      <c r="O161" s="21">
        <v>0.99094531009310416</v>
      </c>
      <c r="P161" s="29">
        <v>0.83214969446193077</v>
      </c>
    </row>
    <row r="162" spans="3:16" x14ac:dyDescent="0.25">
      <c r="C162" s="22" t="s">
        <v>53</v>
      </c>
      <c r="D162" s="9">
        <v>5.653344035196713E-3</v>
      </c>
      <c r="E162" s="9">
        <v>5.3912259835299523E-3</v>
      </c>
      <c r="F162" s="9">
        <v>5.4705228382361821E-3</v>
      </c>
      <c r="G162" s="10">
        <v>5.3222696971590008E-3</v>
      </c>
      <c r="I162" s="5"/>
      <c r="J162" s="5"/>
      <c r="L162" s="18" t="s">
        <v>17</v>
      </c>
      <c r="M162" s="21">
        <v>0.44931386982983113</v>
      </c>
      <c r="N162" s="21">
        <v>0.35437182253352228</v>
      </c>
      <c r="O162" s="21">
        <v>0.37373353306885976</v>
      </c>
      <c r="P162" s="29">
        <v>0.31244401897108204</v>
      </c>
    </row>
    <row r="163" spans="3:16" ht="13" x14ac:dyDescent="0.3">
      <c r="C163" s="22" t="s">
        <v>118</v>
      </c>
      <c r="D163" s="9">
        <v>3.2976895686298815</v>
      </c>
      <c r="E163" s="9">
        <v>3.1462344373530895</v>
      </c>
      <c r="F163" s="9">
        <v>2.7653165323675686</v>
      </c>
      <c r="G163" s="10">
        <v>2.3336052419764353</v>
      </c>
      <c r="I163" s="5"/>
      <c r="J163" s="5"/>
      <c r="K163" s="110"/>
      <c r="L163" s="62" t="s">
        <v>19</v>
      </c>
      <c r="M163" s="64">
        <v>36.012096954436103</v>
      </c>
      <c r="N163" s="64">
        <v>6.4507069080755031</v>
      </c>
      <c r="O163" s="64">
        <v>29.697700748851997</v>
      </c>
      <c r="P163" s="142">
        <v>24.577238313165306</v>
      </c>
    </row>
    <row r="164" spans="3:16" ht="13" x14ac:dyDescent="0.3">
      <c r="C164" s="22" t="s">
        <v>119</v>
      </c>
      <c r="D164" s="9">
        <v>3.1577265322454404</v>
      </c>
      <c r="E164" s="9">
        <v>2.7247226126005764</v>
      </c>
      <c r="F164" s="9">
        <v>2.5747418514465652</v>
      </c>
      <c r="G164" s="10">
        <v>2.1019886282687699</v>
      </c>
      <c r="I164" s="5"/>
      <c r="J164" s="5"/>
      <c r="L164" s="62" t="s">
        <v>246</v>
      </c>
      <c r="M164" s="64"/>
      <c r="N164" s="64"/>
      <c r="O164" s="64"/>
      <c r="P164" s="142"/>
    </row>
    <row r="165" spans="3:16" ht="13.5" thickBot="1" x14ac:dyDescent="0.35">
      <c r="C165" s="22" t="s">
        <v>55</v>
      </c>
      <c r="D165" s="9">
        <v>7.8249201994070949</v>
      </c>
      <c r="E165" s="9">
        <v>2.0798359135557156</v>
      </c>
      <c r="F165" s="9">
        <v>6.4626668313694422</v>
      </c>
      <c r="G165" s="10">
        <v>5.3579899989661257</v>
      </c>
      <c r="I165" s="5"/>
      <c r="J165" s="5"/>
      <c r="L165" s="72" t="s">
        <v>63</v>
      </c>
      <c r="M165" s="70">
        <f>SUM(M154:M163)</f>
        <v>289.53095543308712</v>
      </c>
      <c r="N165" s="70"/>
      <c r="O165" s="70">
        <f t="shared" ref="O165:P165" si="39">SUM(O154:O163)</f>
        <v>239.18581036554139</v>
      </c>
      <c r="P165" s="71">
        <f t="shared" si="39"/>
        <v>198.35998700184504</v>
      </c>
    </row>
    <row r="166" spans="3:16" x14ac:dyDescent="0.25">
      <c r="C166" s="22" t="s">
        <v>56</v>
      </c>
      <c r="D166" s="9">
        <v>3.7502875309950019</v>
      </c>
      <c r="E166" s="9">
        <v>1.1057268337031998</v>
      </c>
      <c r="F166" s="9">
        <v>3.1082593017540145</v>
      </c>
      <c r="G166" s="10">
        <v>2.5876265566038574</v>
      </c>
    </row>
    <row r="167" spans="3:16" x14ac:dyDescent="0.25">
      <c r="C167" s="22" t="s">
        <v>57</v>
      </c>
      <c r="D167" s="9">
        <v>1.1867671612244863</v>
      </c>
      <c r="E167" s="9">
        <v>0.51271583552183131</v>
      </c>
      <c r="F167" s="9">
        <v>0.99094531009310416</v>
      </c>
      <c r="G167" s="10">
        <v>0.83214969446193077</v>
      </c>
    </row>
    <row r="168" spans="3:16" ht="13" thickBot="1" x14ac:dyDescent="0.3">
      <c r="C168" s="180" t="s">
        <v>58</v>
      </c>
      <c r="D168" s="181">
        <v>0.44931386982983113</v>
      </c>
      <c r="E168" s="181">
        <v>0.35437182253352228</v>
      </c>
      <c r="F168" s="181">
        <v>0.37373353306885976</v>
      </c>
      <c r="G168" s="182">
        <v>0.31244401897108204</v>
      </c>
    </row>
    <row r="169" spans="3:16" x14ac:dyDescent="0.25">
      <c r="D169" s="130"/>
      <c r="E169" s="130"/>
      <c r="F169" s="130">
        <v>121</v>
      </c>
      <c r="G169" s="260">
        <v>121</v>
      </c>
    </row>
    <row r="170" spans="3:16" x14ac:dyDescent="0.25">
      <c r="D170" s="130"/>
      <c r="E170" s="130"/>
      <c r="F170" s="130">
        <v>0</v>
      </c>
      <c r="G170" s="261">
        <v>0</v>
      </c>
    </row>
  </sheetData>
  <mergeCells count="48">
    <mergeCell ref="C2:G2"/>
    <mergeCell ref="C3:C4"/>
    <mergeCell ref="D3:D4"/>
    <mergeCell ref="E3:E4"/>
    <mergeCell ref="F3:F4"/>
    <mergeCell ref="G3:G4"/>
    <mergeCell ref="C23:G23"/>
    <mergeCell ref="C24:C25"/>
    <mergeCell ref="D24:D25"/>
    <mergeCell ref="E24:E25"/>
    <mergeCell ref="F24:F25"/>
    <mergeCell ref="G24:G25"/>
    <mergeCell ref="C45:G45"/>
    <mergeCell ref="C46:C47"/>
    <mergeCell ref="D46:D47"/>
    <mergeCell ref="E46:E47"/>
    <mergeCell ref="F46:F47"/>
    <mergeCell ref="G46:G47"/>
    <mergeCell ref="C66:G66"/>
    <mergeCell ref="C67:C68"/>
    <mergeCell ref="D67:D68"/>
    <mergeCell ref="E67:E68"/>
    <mergeCell ref="F67:F68"/>
    <mergeCell ref="G67:G68"/>
    <mergeCell ref="C87:G87"/>
    <mergeCell ref="C88:C89"/>
    <mergeCell ref="D88:D89"/>
    <mergeCell ref="E88:E89"/>
    <mergeCell ref="F88:F89"/>
    <mergeCell ref="G88:G89"/>
    <mergeCell ref="C109:G109"/>
    <mergeCell ref="C110:C111"/>
    <mergeCell ref="D110:D111"/>
    <mergeCell ref="E110:E111"/>
    <mergeCell ref="F110:F111"/>
    <mergeCell ref="G110:G111"/>
    <mergeCell ref="C130:G130"/>
    <mergeCell ref="C131:C132"/>
    <mergeCell ref="D131:D132"/>
    <mergeCell ref="E131:E132"/>
    <mergeCell ref="F131:F132"/>
    <mergeCell ref="G131:G132"/>
    <mergeCell ref="C152:G152"/>
    <mergeCell ref="C153:C154"/>
    <mergeCell ref="D153:D154"/>
    <mergeCell ref="E153:E154"/>
    <mergeCell ref="F153:F154"/>
    <mergeCell ref="G153:G15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5C023-4A13-4568-8395-D3563A0B2AB2}">
  <dimension ref="A1"/>
  <sheetViews>
    <sheetView topLeftCell="C38" workbookViewId="0">
      <selection activeCell="K45" sqref="K45"/>
    </sheetView>
  </sheetViews>
  <sheetFormatPr defaultRowHeight="12.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7CAFA-0B7F-4A2A-A9DE-FB81114D3702}">
  <dimension ref="D3:G22"/>
  <sheetViews>
    <sheetView tabSelected="1" workbookViewId="0">
      <selection activeCell="J21" sqref="J21"/>
    </sheetView>
  </sheetViews>
  <sheetFormatPr defaultRowHeight="12.5" x14ac:dyDescent="0.25"/>
  <cols>
    <col min="4" max="4" width="10.54296875" customWidth="1"/>
    <col min="5" max="6" width="14.54296875" customWidth="1"/>
    <col min="7" max="7" width="59.54296875" customWidth="1"/>
  </cols>
  <sheetData>
    <row r="3" spans="4:7" ht="13" x14ac:dyDescent="0.25">
      <c r="D3" s="23" t="s">
        <v>27</v>
      </c>
      <c r="E3" s="23" t="s">
        <v>43</v>
      </c>
      <c r="F3" s="23" t="s">
        <v>44</v>
      </c>
      <c r="G3" t="s">
        <v>29</v>
      </c>
    </row>
    <row r="4" spans="4:7" x14ac:dyDescent="0.25">
      <c r="D4" s="2" t="s">
        <v>37</v>
      </c>
      <c r="E4" s="2">
        <v>4.8</v>
      </c>
      <c r="F4" s="2">
        <v>5</v>
      </c>
    </row>
    <row r="5" spans="4:7" x14ac:dyDescent="0.25">
      <c r="D5" s="2"/>
      <c r="E5" s="2"/>
      <c r="F5" s="2"/>
      <c r="G5" s="35" t="s">
        <v>47</v>
      </c>
    </row>
    <row r="6" spans="4:7" x14ac:dyDescent="0.25">
      <c r="D6" s="2" t="s">
        <v>33</v>
      </c>
      <c r="E6" s="2">
        <v>3.7</v>
      </c>
      <c r="F6" s="2">
        <v>4</v>
      </c>
      <c r="G6" s="35" t="s">
        <v>34</v>
      </c>
    </row>
    <row r="7" spans="4:7" x14ac:dyDescent="0.25">
      <c r="D7" s="2"/>
      <c r="E7" s="2"/>
      <c r="F7" s="2"/>
      <c r="G7" s="35" t="s">
        <v>46</v>
      </c>
    </row>
    <row r="8" spans="4:7" x14ac:dyDescent="0.25">
      <c r="D8" s="2" t="s">
        <v>39</v>
      </c>
      <c r="E8" s="2">
        <v>4.26</v>
      </c>
      <c r="F8" s="2">
        <v>4</v>
      </c>
      <c r="G8" s="35" t="s">
        <v>42</v>
      </c>
    </row>
    <row r="9" spans="4:7" x14ac:dyDescent="0.25">
      <c r="D9" s="2"/>
      <c r="E9" s="2"/>
      <c r="F9" s="2"/>
      <c r="G9" s="35" t="s">
        <v>45</v>
      </c>
    </row>
    <row r="10" spans="4:7" x14ac:dyDescent="0.25">
      <c r="D10" s="2" t="s">
        <v>35</v>
      </c>
      <c r="E10" s="2">
        <v>4.5999999999999996</v>
      </c>
      <c r="F10" s="2">
        <v>5</v>
      </c>
      <c r="G10" s="35" t="s">
        <v>48</v>
      </c>
    </row>
    <row r="11" spans="4:7" x14ac:dyDescent="0.25">
      <c r="D11" s="2"/>
      <c r="E11" s="2"/>
      <c r="F11" s="2"/>
      <c r="G11" s="35"/>
    </row>
    <row r="12" spans="4:7" x14ac:dyDescent="0.25">
      <c r="D12" s="2" t="s">
        <v>28</v>
      </c>
      <c r="E12" s="2">
        <v>3</v>
      </c>
      <c r="F12" s="2">
        <v>3</v>
      </c>
      <c r="G12" s="35" t="s">
        <v>30</v>
      </c>
    </row>
    <row r="13" spans="4:7" x14ac:dyDescent="0.25">
      <c r="D13" s="2"/>
      <c r="E13" s="2"/>
      <c r="F13" s="2"/>
      <c r="G13" s="35" t="s">
        <v>50</v>
      </c>
    </row>
    <row r="14" spans="4:7" x14ac:dyDescent="0.25">
      <c r="D14" s="2" t="s">
        <v>31</v>
      </c>
      <c r="E14" s="2">
        <v>3.8</v>
      </c>
      <c r="F14" s="2">
        <v>4</v>
      </c>
      <c r="G14" s="35" t="s">
        <v>32</v>
      </c>
    </row>
    <row r="15" spans="4:7" x14ac:dyDescent="0.25">
      <c r="D15" s="2"/>
      <c r="E15" s="2"/>
      <c r="F15" s="2"/>
      <c r="G15" s="35" t="s">
        <v>49</v>
      </c>
    </row>
    <row r="16" spans="4:7" x14ac:dyDescent="0.25">
      <c r="D16" s="2" t="s">
        <v>40</v>
      </c>
      <c r="E16" s="2">
        <v>4.2</v>
      </c>
      <c r="F16" s="2">
        <v>4</v>
      </c>
    </row>
    <row r="17" spans="4:7" x14ac:dyDescent="0.25">
      <c r="D17" s="2"/>
      <c r="E17" s="2"/>
      <c r="F17" s="2"/>
      <c r="G17" s="35" t="s">
        <v>51</v>
      </c>
    </row>
    <row r="18" spans="4:7" x14ac:dyDescent="0.25">
      <c r="D18" s="2" t="s">
        <v>41</v>
      </c>
      <c r="E18" s="2">
        <v>3.75</v>
      </c>
      <c r="F18" s="2">
        <v>4</v>
      </c>
    </row>
    <row r="19" spans="4:7" x14ac:dyDescent="0.25">
      <c r="D19" s="2"/>
      <c r="E19" s="2"/>
      <c r="F19" s="2"/>
    </row>
    <row r="20" spans="4:7" x14ac:dyDescent="0.25">
      <c r="D20" s="2" t="s">
        <v>36</v>
      </c>
      <c r="E20" s="2">
        <v>3</v>
      </c>
      <c r="F20" s="2">
        <v>3</v>
      </c>
    </row>
    <row r="21" spans="4:7" x14ac:dyDescent="0.25">
      <c r="D21" s="2"/>
      <c r="E21" s="2"/>
      <c r="F21" s="2"/>
    </row>
    <row r="22" spans="4:7" x14ac:dyDescent="0.25">
      <c r="D22" s="2" t="s">
        <v>38</v>
      </c>
      <c r="E22" s="2">
        <v>3</v>
      </c>
      <c r="F22" s="2">
        <v>3</v>
      </c>
    </row>
  </sheetData>
  <hyperlinks>
    <hyperlink ref="G12" r:id="rId1" xr:uid="{DAC3DD42-2E82-42F5-9C67-33760181BB3B}"/>
    <hyperlink ref="G14" r:id="rId2" xr:uid="{397F0EF1-620A-4D1E-9107-4D8AA5B6DBE0}"/>
    <hyperlink ref="G6" r:id="rId3" xr:uid="{6892D1AF-2660-4F00-BBD7-91FAFFC9F81F}"/>
    <hyperlink ref="G8" r:id="rId4" xr:uid="{B474CDF4-0928-4DA6-BDCC-3734AD998831}"/>
    <hyperlink ref="G9" r:id="rId5" display="https://www.ceicdata.com/en/bangladesh/household-income-and-expenditure-survey-number-of-household-by-size/hies-average-household-size" xr:uid="{1A3F90B8-9B3B-40B1-85C7-D66267F24F5F}"/>
    <hyperlink ref="G7" r:id="rId6" xr:uid="{648368B3-D8BB-43A2-A688-EEB1C135EF0D}"/>
    <hyperlink ref="G5" r:id="rId7" xr:uid="{99EC5760-DDA6-4601-8476-013E1A639BBE}"/>
    <hyperlink ref="G10" r:id="rId8" xr:uid="{1BEEA604-941D-4687-90BE-867457E260FA}"/>
    <hyperlink ref="G15" r:id="rId9" xr:uid="{5FC5767E-FB02-4F0F-96CB-537F85F77A63}"/>
    <hyperlink ref="G13" r:id="rId10" location=":~:text=Description-,This%20map%20shows%20the%20average%20household%20size%20in%20Thailand%20in,household%20population%20by%20total%20households." xr:uid="{645CF49E-1A38-4376-8E05-8BCD158D531B}"/>
    <hyperlink ref="G17" r:id="rId11" xr:uid="{5238A572-FB38-4E93-8DA4-D9CE4D368100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7f2ec83-e677-438d-afb7-4c7c0dbc872b}" enabled="1" method="Standard" siteId="{3bc062e4-ac9d-4c17-b4dd-3aad637ff1a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Charts</vt:lpstr>
      </vt:variant>
      <vt:variant>
        <vt:i4>1</vt:i4>
      </vt:variant>
    </vt:vector>
  </HeadingPairs>
  <TitlesOfParts>
    <vt:vector size="13" baseType="lpstr">
      <vt:lpstr>EEC India Dengue Season Scenari</vt:lpstr>
      <vt:lpstr>EEC Dengue Endemic Asia Scenari</vt:lpstr>
      <vt:lpstr>ACC India Dengue Season</vt:lpstr>
      <vt:lpstr>ACC Dengue Endemic Asia</vt:lpstr>
      <vt:lpstr>Vector Products ACC and AEEC</vt:lpstr>
      <vt:lpstr>Dengue Treatment Costs Countrie</vt:lpstr>
      <vt:lpstr>SHC Summary India Deng. Scena  </vt:lpstr>
      <vt:lpstr>SHC Summary_Ind.Deng-Season</vt:lpstr>
      <vt:lpstr>Total SHC India Dengue Season</vt:lpstr>
      <vt:lpstr>Total SHC Dengue Endemic Asia </vt:lpstr>
      <vt:lpstr>Graphs_Dengue Endemic Asia</vt:lpstr>
      <vt:lpstr>Household</vt:lpstr>
      <vt:lpstr> SHC for Chennai_Ind.Deng. Seas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Upadhyayula Venkata Krishna Kumar</dc:creator>
  <cp:lastModifiedBy>Upadhyayula Venkata Krishna Kumar</cp:lastModifiedBy>
  <dcterms:created xsi:type="dcterms:W3CDTF">2024-11-12T10:30:18Z</dcterms:created>
  <dcterms:modified xsi:type="dcterms:W3CDTF">2025-08-30T07:18:33Z</dcterms:modified>
</cp:coreProperties>
</file>