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vbaProject.bin" ContentType="application/vnd.ms-office.vbaPro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 codeName="{00000000-0000-0000-0000-000000000000}"/>
  <workbookPr filterPrivacy="1" codeName="ThisWorkbook" defaultThemeVersion="124226"/>
  <xr:revisionPtr revIDLastSave="0" documentId="8_{ADAF6049-DFF1-4E8E-B5EA-CECDBAAAE780}" xr6:coauthVersionLast="47" xr6:coauthVersionMax="47" xr10:uidLastSave="{00000000-0000-0000-0000-000000000000}"/>
  <bookViews>
    <workbookView xWindow="-108" yWindow="-108" windowWidth="23256" windowHeight="13176" firstSheet="8" xr2:uid="{00000000-000D-0000-FFFF-FFFF00000000}"/>
  </bookViews>
  <sheets>
    <sheet name="Index" sheetId="4" r:id="rId1"/>
    <sheet name="1.Input --&gt;" sheetId="17" r:id="rId2"/>
    <sheet name="P&amp;L assumptions" sheetId="8" r:id="rId3"/>
    <sheet name="BS assumptions" sheetId="9" r:id="rId4"/>
    <sheet name="2.Output--&gt;" sheetId="18" r:id="rId5"/>
    <sheet name="P&amp;L" sheetId="5" r:id="rId6"/>
    <sheet name="BS" sheetId="7" r:id="rId7"/>
    <sheet name="Cash Flow" sheetId="6" r:id="rId8"/>
    <sheet name="DCF valuation" sheetId="11" r:id="rId9"/>
    <sheet name="3.Charts  --&gt;" sheetId="12" r:id="rId10"/>
    <sheet name="Revenues&amp;Ebitda" sheetId="13" r:id="rId11"/>
    <sheet name="Cash flows" sheetId="14" r:id="rId12"/>
    <sheet name="Ebitda bridge" sheetId="16" r:id="rId13"/>
    <sheet name="Working capital" sheetId="19" r:id="rId14"/>
    <sheet name="DCF results" sheetId="15" r:id="rId15"/>
    <sheet name="4.Sources --&gt;" sheetId="1" r:id="rId16"/>
    <sheet name="P&amp;L source" sheetId="2" r:id="rId17"/>
    <sheet name="BS source" sheetId="3" r:id="rId18"/>
  </sheets>
  <definedNames>
    <definedName name="_xlnm._FilterDatabase" localSheetId="8" hidden="1">'DCF valuation'!$G$21:$K$25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9" l="1"/>
  <c r="E11" i="19"/>
  <c r="G11" i="19"/>
  <c r="H11" i="19"/>
  <c r="I11" i="19"/>
  <c r="J11" i="19"/>
  <c r="K11" i="19"/>
  <c r="C11" i="19"/>
  <c r="D10" i="19"/>
  <c r="E10" i="19"/>
  <c r="G10" i="19"/>
  <c r="H10" i="19"/>
  <c r="I10" i="19"/>
  <c r="J10" i="19"/>
  <c r="K10" i="19"/>
  <c r="C10" i="19"/>
  <c r="D9" i="19"/>
  <c r="E9" i="19"/>
  <c r="G9" i="19"/>
  <c r="H9" i="19"/>
  <c r="I9" i="19"/>
  <c r="J9" i="19"/>
  <c r="K9" i="19"/>
  <c r="C9" i="19"/>
  <c r="C20" i="11"/>
  <c r="C19" i="11"/>
  <c r="H10" i="11"/>
  <c r="I10" i="11"/>
  <c r="J10" i="11"/>
  <c r="K10" i="11"/>
  <c r="G10" i="11"/>
  <c r="K27" i="6"/>
  <c r="K19" i="6"/>
  <c r="J27" i="6"/>
  <c r="J19" i="6"/>
  <c r="I27" i="6"/>
  <c r="I19" i="6"/>
  <c r="H19" i="6"/>
  <c r="H27" i="6"/>
  <c r="G19" i="6"/>
  <c r="G27" i="6"/>
  <c r="G31" i="6"/>
  <c r="E34" i="6"/>
  <c r="E31" i="6"/>
  <c r="E27" i="6"/>
  <c r="E19" i="6"/>
  <c r="D34" i="6"/>
  <c r="D31" i="6"/>
  <c r="D27" i="6"/>
  <c r="D19" i="6"/>
  <c r="H19" i="7"/>
  <c r="I19" i="7"/>
  <c r="J19" i="7"/>
  <c r="K19" i="7"/>
  <c r="G19" i="7"/>
  <c r="H6" i="7"/>
  <c r="I6" i="7"/>
  <c r="J6" i="7"/>
  <c r="K6" i="7"/>
  <c r="G6" i="7"/>
  <c r="H4" i="7"/>
  <c r="I4" i="7"/>
  <c r="J4" i="7"/>
  <c r="K4" i="7"/>
  <c r="G4" i="7"/>
  <c r="D19" i="7"/>
  <c r="E19" i="7"/>
  <c r="C19" i="7"/>
  <c r="D21" i="7"/>
  <c r="E21" i="7"/>
  <c r="C21" i="7"/>
  <c r="D12" i="7"/>
  <c r="E12" i="7"/>
  <c r="C12" i="7"/>
  <c r="D6" i="7"/>
  <c r="E6" i="7"/>
  <c r="C6" i="7"/>
  <c r="D4" i="7"/>
  <c r="E4" i="7"/>
  <c r="C4" i="7"/>
  <c r="E17" i="7"/>
  <c r="D17" i="7"/>
  <c r="E16" i="7"/>
  <c r="D16" i="7"/>
  <c r="E10" i="7"/>
  <c r="D10" i="7"/>
  <c r="E16" i="6" s="1"/>
  <c r="E9" i="7"/>
  <c r="E5" i="19" s="1"/>
  <c r="D9" i="7"/>
  <c r="E8" i="7"/>
  <c r="E4" i="19" s="1"/>
  <c r="D8" i="7"/>
  <c r="D5" i="7"/>
  <c r="D14" i="7" s="1"/>
  <c r="E5" i="7"/>
  <c r="E14" i="7" s="1"/>
  <c r="C17" i="7"/>
  <c r="C16" i="7"/>
  <c r="C8" i="7"/>
  <c r="C9" i="7"/>
  <c r="C10" i="7"/>
  <c r="D16" i="6" s="1"/>
  <c r="C5" i="7"/>
  <c r="C14" i="7" s="1"/>
  <c r="D21" i="5"/>
  <c r="E21" i="5"/>
  <c r="C21" i="5"/>
  <c r="E17" i="5"/>
  <c r="E21" i="6" s="1"/>
  <c r="D17" i="5"/>
  <c r="D21" i="6" s="1"/>
  <c r="C17" i="5"/>
  <c r="E16" i="5"/>
  <c r="E25" i="6" s="1"/>
  <c r="D16" i="5"/>
  <c r="D25" i="6" s="1"/>
  <c r="C16" i="5"/>
  <c r="E13" i="5"/>
  <c r="D13" i="5"/>
  <c r="C13" i="5"/>
  <c r="E10" i="5"/>
  <c r="D10" i="5"/>
  <c r="C10" i="5"/>
  <c r="C7" i="5"/>
  <c r="D7" i="5"/>
  <c r="E7" i="5"/>
  <c r="C5" i="5"/>
  <c r="D5" i="5"/>
  <c r="E5" i="5"/>
  <c r="D4" i="5"/>
  <c r="D4" i="13" s="1"/>
  <c r="E4" i="5"/>
  <c r="E4" i="13" s="1"/>
  <c r="C4" i="5"/>
  <c r="C4" i="13" s="1"/>
  <c r="D6" i="5"/>
  <c r="D8" i="5" s="1"/>
  <c r="D11" i="5" s="1"/>
  <c r="E6" i="5"/>
  <c r="E8" i="5" s="1"/>
  <c r="E11" i="5" s="1"/>
  <c r="H21" i="9"/>
  <c r="I21" i="9"/>
  <c r="J21" i="9"/>
  <c r="K21" i="9"/>
  <c r="G21" i="9"/>
  <c r="H18" i="9"/>
  <c r="I18" i="9"/>
  <c r="J18" i="9"/>
  <c r="K18" i="9"/>
  <c r="G18" i="9"/>
  <c r="H15" i="9"/>
  <c r="I15" i="9"/>
  <c r="J15" i="9"/>
  <c r="K15" i="9"/>
  <c r="G15" i="9"/>
  <c r="D21" i="9"/>
  <c r="E21" i="9"/>
  <c r="C21" i="9"/>
  <c r="D20" i="9"/>
  <c r="E20" i="9"/>
  <c r="C20" i="9"/>
  <c r="D18" i="9"/>
  <c r="E18" i="9"/>
  <c r="D15" i="9"/>
  <c r="E15" i="9"/>
  <c r="C18" i="9"/>
  <c r="C15" i="9"/>
  <c r="D17" i="9"/>
  <c r="E17" i="9"/>
  <c r="C17" i="9"/>
  <c r="D14" i="9"/>
  <c r="E14" i="9"/>
  <c r="C14" i="9"/>
  <c r="I12" i="9"/>
  <c r="J12" i="9"/>
  <c r="K12" i="9"/>
  <c r="H12" i="9"/>
  <c r="G12" i="9"/>
  <c r="I9" i="9"/>
  <c r="J9" i="9"/>
  <c r="K9" i="9"/>
  <c r="H9" i="9"/>
  <c r="G9" i="9"/>
  <c r="I6" i="9"/>
  <c r="J6" i="9"/>
  <c r="K6" i="9"/>
  <c r="H6" i="9"/>
  <c r="G6" i="9"/>
  <c r="D12" i="9"/>
  <c r="E12" i="9"/>
  <c r="C12" i="9"/>
  <c r="D9" i="9"/>
  <c r="E9" i="9"/>
  <c r="C9" i="9"/>
  <c r="D6" i="9"/>
  <c r="E6" i="9"/>
  <c r="C6" i="9"/>
  <c r="D11" i="9"/>
  <c r="E11" i="9"/>
  <c r="C11" i="9"/>
  <c r="D8" i="9"/>
  <c r="E8" i="9"/>
  <c r="C8" i="9"/>
  <c r="D5" i="9"/>
  <c r="E5" i="9"/>
  <c r="C5" i="9"/>
  <c r="D52" i="8"/>
  <c r="E52" i="8"/>
  <c r="C52" i="8"/>
  <c r="E46" i="8"/>
  <c r="D46" i="8"/>
  <c r="C46" i="8"/>
  <c r="E34" i="8"/>
  <c r="D34" i="8"/>
  <c r="C34" i="8"/>
  <c r="E28" i="8"/>
  <c r="D28" i="8"/>
  <c r="C28" i="8"/>
  <c r="D22" i="8"/>
  <c r="E22" i="8"/>
  <c r="C22" i="8"/>
  <c r="K52" i="8"/>
  <c r="K20" i="5" s="1"/>
  <c r="J52" i="8"/>
  <c r="J20" i="5" s="1"/>
  <c r="I52" i="8"/>
  <c r="I20" i="5" s="1"/>
  <c r="H52" i="8"/>
  <c r="H20" i="5" s="1"/>
  <c r="G52" i="8"/>
  <c r="G20" i="5" s="1"/>
  <c r="K46" i="8"/>
  <c r="J46" i="8"/>
  <c r="I46" i="8"/>
  <c r="H46" i="8"/>
  <c r="G46" i="8"/>
  <c r="K40" i="8"/>
  <c r="J40" i="8"/>
  <c r="I40" i="8"/>
  <c r="H40" i="8"/>
  <c r="G40" i="8"/>
  <c r="G39" i="8" s="1"/>
  <c r="K34" i="8"/>
  <c r="J34" i="8"/>
  <c r="I34" i="8"/>
  <c r="H34" i="8"/>
  <c r="G34" i="8"/>
  <c r="K28" i="8"/>
  <c r="J28" i="8"/>
  <c r="I28" i="8"/>
  <c r="H28" i="8"/>
  <c r="G28" i="8"/>
  <c r="K22" i="8"/>
  <c r="J22" i="8"/>
  <c r="I22" i="8"/>
  <c r="H22" i="8"/>
  <c r="G22" i="8"/>
  <c r="K16" i="8"/>
  <c r="J16" i="8"/>
  <c r="I16" i="8"/>
  <c r="H16" i="8"/>
  <c r="G16" i="8"/>
  <c r="G15" i="8" s="1"/>
  <c r="D51" i="8"/>
  <c r="E51" i="8"/>
  <c r="C51" i="8"/>
  <c r="D45" i="8"/>
  <c r="E45" i="8"/>
  <c r="C45" i="8"/>
  <c r="D39" i="8"/>
  <c r="E39" i="8"/>
  <c r="C39" i="8"/>
  <c r="D33" i="8"/>
  <c r="E33" i="8"/>
  <c r="C33" i="8"/>
  <c r="D27" i="8"/>
  <c r="E27" i="8"/>
  <c r="C27" i="8"/>
  <c r="D21" i="8"/>
  <c r="E21" i="8"/>
  <c r="C21" i="8"/>
  <c r="D15" i="8"/>
  <c r="E15" i="8"/>
  <c r="C15" i="8"/>
  <c r="H10" i="8"/>
  <c r="I10" i="8"/>
  <c r="J10" i="8"/>
  <c r="K10" i="8"/>
  <c r="G10" i="8"/>
  <c r="G9" i="8" s="1"/>
  <c r="D9" i="8"/>
  <c r="E9" i="8"/>
  <c r="E10" i="8" s="1"/>
  <c r="C9" i="8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E6" i="19" l="1"/>
  <c r="E7" i="19" s="1"/>
  <c r="E23" i="7"/>
  <c r="E25" i="7" s="1"/>
  <c r="D4" i="19"/>
  <c r="E12" i="6"/>
  <c r="D5" i="19"/>
  <c r="E13" i="6"/>
  <c r="D6" i="19"/>
  <c r="E14" i="6"/>
  <c r="D23" i="7"/>
  <c r="D25" i="7" s="1"/>
  <c r="C5" i="19"/>
  <c r="D13" i="6"/>
  <c r="C4" i="19"/>
  <c r="D12" i="6"/>
  <c r="C6" i="19"/>
  <c r="D14" i="6"/>
  <c r="C23" i="7"/>
  <c r="C25" i="7" s="1"/>
  <c r="E14" i="5"/>
  <c r="C3" i="16"/>
  <c r="F4" i="16" s="1"/>
  <c r="E5" i="13"/>
  <c r="E6" i="13" s="1"/>
  <c r="E18" i="6"/>
  <c r="E9" i="6"/>
  <c r="D14" i="5"/>
  <c r="D5" i="13"/>
  <c r="D6" i="13" s="1"/>
  <c r="D18" i="6"/>
  <c r="D9" i="6"/>
  <c r="H9" i="8"/>
  <c r="G4" i="5"/>
  <c r="C4" i="16" s="1"/>
  <c r="G4" i="16" s="1"/>
  <c r="G20" i="9"/>
  <c r="G17" i="7" s="1"/>
  <c r="G17" i="9"/>
  <c r="G10" i="7" s="1"/>
  <c r="G16" i="6" s="1"/>
  <c r="G14" i="9"/>
  <c r="G5" i="7" s="1"/>
  <c r="G5" i="9"/>
  <c r="G9" i="7" s="1"/>
  <c r="H15" i="8"/>
  <c r="G5" i="5"/>
  <c r="H39" i="8"/>
  <c r="G16" i="5"/>
  <c r="G25" i="6" s="1"/>
  <c r="G6" i="6"/>
  <c r="H6" i="6"/>
  <c r="I6" i="6"/>
  <c r="J6" i="6"/>
  <c r="K6" i="6"/>
  <c r="G21" i="8"/>
  <c r="H21" i="8"/>
  <c r="G27" i="8"/>
  <c r="G10" i="5" s="1"/>
  <c r="C6" i="16" s="1"/>
  <c r="I4" i="16" s="1"/>
  <c r="H27" i="8"/>
  <c r="H10" i="5" s="1"/>
  <c r="G33" i="8"/>
  <c r="G13" i="5" s="1"/>
  <c r="G9" i="6" s="1"/>
  <c r="H33" i="8"/>
  <c r="H13" i="5" s="1"/>
  <c r="H9" i="6" s="1"/>
  <c r="G45" i="8"/>
  <c r="G17" i="5" s="1"/>
  <c r="G21" i="6" s="1"/>
  <c r="H45" i="8"/>
  <c r="H17" i="5" s="1"/>
  <c r="H21" i="6" s="1"/>
  <c r="D10" i="8"/>
  <c r="F6" i="2"/>
  <c r="F14" i="2" s="1"/>
  <c r="F18" i="2" s="1"/>
  <c r="F23" i="2" s="1"/>
  <c r="F27" i="2" s="1"/>
  <c r="E6" i="2"/>
  <c r="E14" i="2" s="1"/>
  <c r="E18" i="2" s="1"/>
  <c r="E23" i="2" s="1"/>
  <c r="E27" i="2" s="1"/>
  <c r="D6" i="2"/>
  <c r="D14" i="2" s="1"/>
  <c r="D18" i="2" s="1"/>
  <c r="D23" i="2" s="1"/>
  <c r="D27" i="2" s="1"/>
  <c r="E15" i="6" l="1"/>
  <c r="D7" i="19"/>
  <c r="D15" i="6"/>
  <c r="C7" i="19"/>
  <c r="E18" i="5"/>
  <c r="E4" i="6"/>
  <c r="D18" i="5"/>
  <c r="D4" i="6"/>
  <c r="G13" i="6"/>
  <c r="G5" i="19"/>
  <c r="H7" i="5"/>
  <c r="H11" i="9"/>
  <c r="H16" i="7" s="1"/>
  <c r="H6" i="19" s="1"/>
  <c r="H8" i="9"/>
  <c r="H8" i="7" s="1"/>
  <c r="H4" i="19" s="1"/>
  <c r="G7" i="5"/>
  <c r="C5" i="16" s="1"/>
  <c r="H4" i="16" s="1"/>
  <c r="G11" i="9"/>
  <c r="G16" i="7" s="1"/>
  <c r="G6" i="19" s="1"/>
  <c r="G8" i="9"/>
  <c r="G8" i="7" s="1"/>
  <c r="I39" i="8"/>
  <c r="H16" i="5"/>
  <c r="H25" i="6" s="1"/>
  <c r="I15" i="8"/>
  <c r="H5" i="5"/>
  <c r="G18" i="6"/>
  <c r="G4" i="13"/>
  <c r="G6" i="5"/>
  <c r="G8" i="5" s="1"/>
  <c r="G11" i="5" s="1"/>
  <c r="C7" i="16" s="1"/>
  <c r="J4" i="16" s="1"/>
  <c r="I9" i="8"/>
  <c r="H4" i="5"/>
  <c r="H20" i="9"/>
  <c r="H17" i="7" s="1"/>
  <c r="H17" i="9"/>
  <c r="H10" i="7" s="1"/>
  <c r="H16" i="6" s="1"/>
  <c r="H14" i="9"/>
  <c r="H5" i="7" s="1"/>
  <c r="H18" i="6" s="1"/>
  <c r="H5" i="9"/>
  <c r="H9" i="7" s="1"/>
  <c r="E8" i="3"/>
  <c r="K17" i="3"/>
  <c r="J17" i="3"/>
  <c r="D15" i="3"/>
  <c r="F15" i="3"/>
  <c r="F8" i="3"/>
  <c r="D8" i="3"/>
  <c r="L17" i="3"/>
  <c r="E15" i="3"/>
  <c r="L8" i="3"/>
  <c r="K8" i="3"/>
  <c r="J8" i="3"/>
  <c r="E20" i="5" l="1"/>
  <c r="E6" i="6" s="1"/>
  <c r="E5" i="6" s="1"/>
  <c r="E23" i="5"/>
  <c r="E28" i="6" s="1"/>
  <c r="D20" i="5"/>
  <c r="D6" i="6" s="1"/>
  <c r="D5" i="6" s="1"/>
  <c r="D23" i="5"/>
  <c r="D28" i="6" s="1"/>
  <c r="H13" i="6"/>
  <c r="H5" i="19"/>
  <c r="G12" i="6"/>
  <c r="G4" i="19"/>
  <c r="G7" i="19" s="1"/>
  <c r="H7" i="19"/>
  <c r="H4" i="13"/>
  <c r="H6" i="5"/>
  <c r="H8" i="5" s="1"/>
  <c r="H11" i="5" s="1"/>
  <c r="J9" i="8"/>
  <c r="I4" i="5"/>
  <c r="I20" i="9"/>
  <c r="I17" i="7" s="1"/>
  <c r="I17" i="9"/>
  <c r="I10" i="7" s="1"/>
  <c r="I16" i="6" s="1"/>
  <c r="I14" i="9"/>
  <c r="I5" i="7" s="1"/>
  <c r="I5" i="9"/>
  <c r="I9" i="7" s="1"/>
  <c r="I21" i="8"/>
  <c r="I27" i="8"/>
  <c r="I10" i="5" s="1"/>
  <c r="I33" i="8"/>
  <c r="I13" i="5" s="1"/>
  <c r="I9" i="6" s="1"/>
  <c r="I45" i="8"/>
  <c r="I17" i="5" s="1"/>
  <c r="I21" i="6" s="1"/>
  <c r="G5" i="13"/>
  <c r="G14" i="5"/>
  <c r="J15" i="8"/>
  <c r="I5" i="5"/>
  <c r="J39" i="8"/>
  <c r="I16" i="5"/>
  <c r="I25" i="6" s="1"/>
  <c r="G14" i="6"/>
  <c r="G15" i="6" s="1"/>
  <c r="H12" i="6"/>
  <c r="H14" i="6"/>
  <c r="D19" i="3"/>
  <c r="F19" i="3"/>
  <c r="L19" i="3"/>
  <c r="J19" i="3"/>
  <c r="K19" i="3"/>
  <c r="E19" i="3"/>
  <c r="E26" i="6" l="1"/>
  <c r="E7" i="6"/>
  <c r="E10" i="6" s="1"/>
  <c r="E23" i="6" s="1"/>
  <c r="D26" i="6"/>
  <c r="D7" i="6"/>
  <c r="D10" i="6" s="1"/>
  <c r="D23" i="6" s="1"/>
  <c r="I13" i="6"/>
  <c r="I5" i="19"/>
  <c r="H15" i="6"/>
  <c r="K39" i="8"/>
  <c r="K16" i="5" s="1"/>
  <c r="K25" i="6" s="1"/>
  <c r="J16" i="5"/>
  <c r="J25" i="6" s="1"/>
  <c r="K15" i="8"/>
  <c r="K5" i="5" s="1"/>
  <c r="J5" i="5"/>
  <c r="G18" i="5"/>
  <c r="G4" i="6"/>
  <c r="M4" i="13"/>
  <c r="G6" i="13"/>
  <c r="I7" i="5"/>
  <c r="I11" i="9"/>
  <c r="I16" i="7" s="1"/>
  <c r="I6" i="19" s="1"/>
  <c r="I8" i="9"/>
  <c r="I8" i="7" s="1"/>
  <c r="I18" i="6"/>
  <c r="I4" i="13"/>
  <c r="I6" i="5"/>
  <c r="I8" i="5" s="1"/>
  <c r="I11" i="5" s="1"/>
  <c r="K9" i="8"/>
  <c r="J4" i="5"/>
  <c r="J20" i="9"/>
  <c r="J17" i="7" s="1"/>
  <c r="J17" i="9"/>
  <c r="J10" i="7" s="1"/>
  <c r="J16" i="6" s="1"/>
  <c r="J14" i="9"/>
  <c r="J5" i="7" s="1"/>
  <c r="J5" i="9"/>
  <c r="J9" i="7" s="1"/>
  <c r="J21" i="8"/>
  <c r="J27" i="8"/>
  <c r="J10" i="5" s="1"/>
  <c r="J33" i="8"/>
  <c r="J13" i="5" s="1"/>
  <c r="J9" i="6" s="1"/>
  <c r="J45" i="8"/>
  <c r="J17" i="5" s="1"/>
  <c r="J21" i="6" s="1"/>
  <c r="H5" i="13"/>
  <c r="H6" i="13" s="1"/>
  <c r="H14" i="5"/>
  <c r="L22" i="3"/>
  <c r="K22" i="3"/>
  <c r="J22" i="3"/>
  <c r="C6" i="5"/>
  <c r="E29" i="6" l="1"/>
  <c r="E32" i="6" s="1"/>
  <c r="E8" i="11"/>
  <c r="D8" i="11"/>
  <c r="D29" i="6"/>
  <c r="D32" i="6" s="1"/>
  <c r="J13" i="6"/>
  <c r="J5" i="19"/>
  <c r="I12" i="6"/>
  <c r="I4" i="19"/>
  <c r="I7" i="19" s="1"/>
  <c r="H18" i="5"/>
  <c r="H4" i="6"/>
  <c r="J7" i="5"/>
  <c r="J11" i="9"/>
  <c r="J16" i="7" s="1"/>
  <c r="J6" i="19" s="1"/>
  <c r="J8" i="9"/>
  <c r="J8" i="7" s="1"/>
  <c r="J18" i="6"/>
  <c r="J4" i="13"/>
  <c r="J6" i="5"/>
  <c r="J8" i="5" s="1"/>
  <c r="J11" i="5" s="1"/>
  <c r="K4" i="5"/>
  <c r="K20" i="9"/>
  <c r="K17" i="7" s="1"/>
  <c r="K17" i="9"/>
  <c r="K10" i="7" s="1"/>
  <c r="K16" i="6" s="1"/>
  <c r="K14" i="9"/>
  <c r="K5" i="7" s="1"/>
  <c r="K5" i="9"/>
  <c r="K9" i="7" s="1"/>
  <c r="K21" i="8"/>
  <c r="K27" i="8"/>
  <c r="K10" i="5" s="1"/>
  <c r="K33" i="8"/>
  <c r="K13" i="5" s="1"/>
  <c r="K9" i="6" s="1"/>
  <c r="K45" i="8"/>
  <c r="K17" i="5" s="1"/>
  <c r="K21" i="6" s="1"/>
  <c r="I5" i="13"/>
  <c r="I6" i="13" s="1"/>
  <c r="I14" i="5"/>
  <c r="I14" i="6"/>
  <c r="I15" i="6" s="1"/>
  <c r="G5" i="6"/>
  <c r="G7" i="6" s="1"/>
  <c r="G10" i="6" s="1"/>
  <c r="G23" i="6" s="1"/>
  <c r="G21" i="5"/>
  <c r="C8" i="5"/>
  <c r="C11" i="5" s="1"/>
  <c r="K13" i="6" l="1"/>
  <c r="K5" i="19"/>
  <c r="J12" i="6"/>
  <c r="J4" i="19"/>
  <c r="J7" i="19" s="1"/>
  <c r="C14" i="5"/>
  <c r="C18" i="5" s="1"/>
  <c r="C5" i="13"/>
  <c r="C6" i="13" s="1"/>
  <c r="G26" i="6"/>
  <c r="G23" i="5"/>
  <c r="G21" i="7" s="1"/>
  <c r="G8" i="11"/>
  <c r="I18" i="5"/>
  <c r="I4" i="6"/>
  <c r="K7" i="5"/>
  <c r="K11" i="9"/>
  <c r="K16" i="7" s="1"/>
  <c r="K6" i="19" s="1"/>
  <c r="K8" i="9"/>
  <c r="K8" i="7" s="1"/>
  <c r="K18" i="6"/>
  <c r="K4" i="13"/>
  <c r="K6" i="5"/>
  <c r="K8" i="5" s="1"/>
  <c r="K11" i="5" s="1"/>
  <c r="J5" i="13"/>
  <c r="J6" i="13" s="1"/>
  <c r="J14" i="5"/>
  <c r="J14" i="6"/>
  <c r="J15" i="6" s="1"/>
  <c r="H5" i="6"/>
  <c r="H7" i="6"/>
  <c r="H10" i="6" s="1"/>
  <c r="H23" i="6" s="1"/>
  <c r="H21" i="5"/>
  <c r="K12" i="6" l="1"/>
  <c r="K4" i="19"/>
  <c r="K7" i="19" s="1"/>
  <c r="G11" i="11"/>
  <c r="C5" i="14" s="1"/>
  <c r="C4" i="14"/>
  <c r="H26" i="6"/>
  <c r="H23" i="5"/>
  <c r="H8" i="11"/>
  <c r="J18" i="5"/>
  <c r="J4" i="6"/>
  <c r="K5" i="13"/>
  <c r="K14" i="5"/>
  <c r="K14" i="6"/>
  <c r="K15" i="6" s="1"/>
  <c r="I5" i="6"/>
  <c r="I7" i="6"/>
  <c r="I10" i="6" s="1"/>
  <c r="I23" i="6" s="1"/>
  <c r="I21" i="5"/>
  <c r="G28" i="6"/>
  <c r="G29" i="6" s="1"/>
  <c r="H21" i="7"/>
  <c r="G23" i="7"/>
  <c r="C23" i="5"/>
  <c r="C20" i="5"/>
  <c r="H11" i="11" l="1"/>
  <c r="D5" i="14" s="1"/>
  <c r="D4" i="14"/>
  <c r="H28" i="6"/>
  <c r="H29" i="6" s="1"/>
  <c r="H23" i="7"/>
  <c r="G32" i="6"/>
  <c r="G12" i="7"/>
  <c r="I26" i="6"/>
  <c r="I23" i="5"/>
  <c r="I21" i="7" s="1"/>
  <c r="I8" i="11"/>
  <c r="K18" i="5"/>
  <c r="K4" i="6"/>
  <c r="M5" i="13"/>
  <c r="K6" i="13"/>
  <c r="J5" i="6"/>
  <c r="J7" i="6"/>
  <c r="J10" i="6" s="1"/>
  <c r="J23" i="6" s="1"/>
  <c r="J21" i="5"/>
  <c r="I11" i="11" l="1"/>
  <c r="E5" i="14" s="1"/>
  <c r="E4" i="14"/>
  <c r="J26" i="6"/>
  <c r="J23" i="5"/>
  <c r="J8" i="11"/>
  <c r="K5" i="6"/>
  <c r="K7" i="6"/>
  <c r="K10" i="6" s="1"/>
  <c r="K23" i="6" s="1"/>
  <c r="K21" i="5"/>
  <c r="I28" i="6"/>
  <c r="I29" i="6" s="1"/>
  <c r="J21" i="7"/>
  <c r="I23" i="7"/>
  <c r="H12" i="7"/>
  <c r="H31" i="6"/>
  <c r="G34" i="6"/>
  <c r="G14" i="7"/>
  <c r="G25" i="7" s="1"/>
  <c r="H32" i="6"/>
  <c r="J11" i="11" l="1"/>
  <c r="F5" i="14" s="1"/>
  <c r="F4" i="14"/>
  <c r="I31" i="6"/>
  <c r="I12" i="7"/>
  <c r="H34" i="6"/>
  <c r="H14" i="7"/>
  <c r="H25" i="7" s="1"/>
  <c r="J28" i="6"/>
  <c r="J29" i="6" s="1"/>
  <c r="J23" i="7"/>
  <c r="I32" i="6"/>
  <c r="K26" i="6"/>
  <c r="K23" i="5"/>
  <c r="K21" i="7" s="1"/>
  <c r="K8" i="11"/>
  <c r="G4" i="14" s="1"/>
  <c r="C16" i="11" l="1"/>
  <c r="C17" i="11" s="1"/>
  <c r="K11" i="11"/>
  <c r="K28" i="6"/>
  <c r="K29" i="6" s="1"/>
  <c r="K23" i="7"/>
  <c r="I34" i="6"/>
  <c r="J31" i="6"/>
  <c r="J32" i="6" s="1"/>
  <c r="J12" i="7"/>
  <c r="I14" i="7"/>
  <c r="I25" i="7" s="1"/>
  <c r="C15" i="11" l="1"/>
  <c r="G5" i="14"/>
  <c r="K31" i="6"/>
  <c r="K12" i="7"/>
  <c r="J34" i="6"/>
  <c r="J14" i="7"/>
  <c r="J25" i="7" s="1"/>
  <c r="K32" i="6"/>
  <c r="C18" i="11"/>
  <c r="C21" i="11" s="1"/>
  <c r="K34" i="6" l="1"/>
  <c r="K14" i="7"/>
  <c r="K25" i="7" s="1"/>
</calcChain>
</file>

<file path=xl/sharedStrings.xml><?xml version="1.0" encoding="utf-8"?>
<sst xmlns="http://schemas.openxmlformats.org/spreadsheetml/2006/main" count="340" uniqueCount="184">
  <si>
    <t>DCF Valuation</t>
  </si>
  <si>
    <t>Sheet index</t>
  </si>
  <si>
    <t xml:space="preserve">#                </t>
  </si>
  <si>
    <t>Worksheet</t>
  </si>
  <si>
    <t>1.Input --&gt;</t>
  </si>
  <si>
    <t>P&amp;L assumptions</t>
  </si>
  <si>
    <t>BS assumptions</t>
  </si>
  <si>
    <t>2.Output --&gt;</t>
  </si>
  <si>
    <t>P&amp;L</t>
  </si>
  <si>
    <t>BS</t>
  </si>
  <si>
    <t>Cash Flow</t>
  </si>
  <si>
    <t>DCF valuation</t>
  </si>
  <si>
    <t>3.Charts --&gt;</t>
  </si>
  <si>
    <t>Revenue&amp;Ebitda</t>
  </si>
  <si>
    <t>Cash flows</t>
  </si>
  <si>
    <t>Ebitda bridge</t>
  </si>
  <si>
    <t>Working capital</t>
  </si>
  <si>
    <t>DCF results</t>
  </si>
  <si>
    <t>4. Sources --&gt;</t>
  </si>
  <si>
    <t>P&amp;L source</t>
  </si>
  <si>
    <t>BS source</t>
  </si>
  <si>
    <t>Scenarios:</t>
  </si>
  <si>
    <t>Case 1:</t>
  </si>
  <si>
    <t>Optimistic Case</t>
  </si>
  <si>
    <t>Case 2:</t>
  </si>
  <si>
    <t>Base Case</t>
  </si>
  <si>
    <t>Selected case</t>
  </si>
  <si>
    <t>Case 3:</t>
  </si>
  <si>
    <t>Worst Case</t>
  </si>
  <si>
    <t>$ in thousands</t>
  </si>
  <si>
    <t>FY22
Actual</t>
  </si>
  <si>
    <t>FY23
Actual</t>
  </si>
  <si>
    <t>FY24
Actual</t>
  </si>
  <si>
    <t>FY25
Forecast</t>
  </si>
  <si>
    <t>FY26
Forecast</t>
  </si>
  <si>
    <t>FY27
Forecast</t>
  </si>
  <si>
    <t>FY28
Forecast</t>
  </si>
  <si>
    <t>FY29
Forecast</t>
  </si>
  <si>
    <t>Revenues</t>
  </si>
  <si>
    <t>y-o-y growth %</t>
  </si>
  <si>
    <t>Other Revenues</t>
  </si>
  <si>
    <t>Cost Of Goods Sold</t>
  </si>
  <si>
    <t>% of revenues</t>
  </si>
  <si>
    <t>Operating Expense</t>
  </si>
  <si>
    <t>D&amp;A</t>
  </si>
  <si>
    <t>Interest Expense</t>
  </si>
  <si>
    <t>Extraordinary Income</t>
  </si>
  <si>
    <t>Taxes</t>
  </si>
  <si>
    <t>% Of EBIT</t>
  </si>
  <si>
    <t>31Dec22
Actual</t>
  </si>
  <si>
    <t>31Dec23
Actual</t>
  </si>
  <si>
    <t>31Dec24
Actual</t>
  </si>
  <si>
    <t>31Dec25
Forecast</t>
  </si>
  <si>
    <t>31Dec26
Forecast</t>
  </si>
  <si>
    <t>31Dec27
Forecast</t>
  </si>
  <si>
    <t>31Dec28
Forecast</t>
  </si>
  <si>
    <t>31Dec29
Forecast</t>
  </si>
  <si>
    <t>Trade receivable</t>
  </si>
  <si>
    <t>Days receivable</t>
  </si>
  <si>
    <t>Inventory</t>
  </si>
  <si>
    <t>Days inventory</t>
  </si>
  <si>
    <t>Trade payables</t>
  </si>
  <si>
    <t>Days Payable</t>
  </si>
  <si>
    <t>PP&amp;E</t>
  </si>
  <si>
    <t>as a % of revenue</t>
  </si>
  <si>
    <t>Other assets</t>
  </si>
  <si>
    <t>Other liabilities</t>
  </si>
  <si>
    <t>Other revenues</t>
  </si>
  <si>
    <t>Total Revenue</t>
  </si>
  <si>
    <t>Cost of goods sold</t>
  </si>
  <si>
    <t>Gross Margin</t>
  </si>
  <si>
    <t>EBITDA</t>
  </si>
  <si>
    <t>EBIT</t>
  </si>
  <si>
    <t>Interest expense</t>
  </si>
  <si>
    <t>EBT</t>
  </si>
  <si>
    <t>Tax rate</t>
  </si>
  <si>
    <t>Net income</t>
  </si>
  <si>
    <t>Balance Sheet</t>
  </si>
  <si>
    <t>31Dec16
Actual</t>
  </si>
  <si>
    <t>31Dec17
Actual</t>
  </si>
  <si>
    <t>31Dec18
Actual</t>
  </si>
  <si>
    <t>31Dec19
Forecast</t>
  </si>
  <si>
    <t>31Dec20
Forecast</t>
  </si>
  <si>
    <t>31Dec21
Forecast</t>
  </si>
  <si>
    <t>31Dec22
Forecast</t>
  </si>
  <si>
    <t>31Dec23
Forecast</t>
  </si>
  <si>
    <t>Note</t>
  </si>
  <si>
    <t>Intangible assets</t>
  </si>
  <si>
    <t>Flat</t>
  </si>
  <si>
    <t>Financial assets</t>
  </si>
  <si>
    <t>Other Assets</t>
  </si>
  <si>
    <t>Cash and equivalents</t>
  </si>
  <si>
    <t>Total Assets</t>
  </si>
  <si>
    <t>Financial liabilities</t>
  </si>
  <si>
    <t>Shareholder's equity</t>
  </si>
  <si>
    <t>Last year's equity + net income</t>
  </si>
  <si>
    <t>Total Liablities &amp; Equity</t>
  </si>
  <si>
    <t>CHECK</t>
  </si>
  <si>
    <t>.</t>
  </si>
  <si>
    <t xml:space="preserve">EBIT </t>
  </si>
  <si>
    <t>Operating texes</t>
  </si>
  <si>
    <t>Operating tax rate</t>
  </si>
  <si>
    <t>NOPAT</t>
  </si>
  <si>
    <t>Add-back D&amp;A</t>
  </si>
  <si>
    <t>Gross Cash Flow</t>
  </si>
  <si>
    <t>Investment in Working capital</t>
  </si>
  <si>
    <t>Investment in other assets/liabilities</t>
  </si>
  <si>
    <t>Capex</t>
  </si>
  <si>
    <t>Other investments</t>
  </si>
  <si>
    <t>Extraordinary items</t>
  </si>
  <si>
    <t>UFCF</t>
  </si>
  <si>
    <t>1+2+3+4+5+6</t>
  </si>
  <si>
    <t>Interest expenses</t>
  </si>
  <si>
    <t>Delta taxes vs operating taxes</t>
  </si>
  <si>
    <t>Delta financial liabilities</t>
  </si>
  <si>
    <t>Delta Equity (inc. dividends)</t>
  </si>
  <si>
    <t>Net Cash Flow</t>
  </si>
  <si>
    <t>Opening cash</t>
  </si>
  <si>
    <t>Closing cash</t>
  </si>
  <si>
    <t>check</t>
  </si>
  <si>
    <t>WACC</t>
  </si>
  <si>
    <t>G</t>
  </si>
  <si>
    <t>Discount factor</t>
  </si>
  <si>
    <t>Present Value</t>
  </si>
  <si>
    <t>PV of cash flow</t>
  </si>
  <si>
    <t>$</t>
  </si>
  <si>
    <t>Continuing Value</t>
  </si>
  <si>
    <t>PV of conitinuing value</t>
  </si>
  <si>
    <t>Enterprise value</t>
  </si>
  <si>
    <t>()Financial liabilities</t>
  </si>
  <si>
    <t>Cash</t>
  </si>
  <si>
    <t>Equity Value</t>
  </si>
  <si>
    <t>Revenues &amp; EBITDA</t>
  </si>
  <si>
    <t xml:space="preserve">Revenues </t>
  </si>
  <si>
    <t>EBITDA %</t>
  </si>
  <si>
    <t>Present Value OF UFCF</t>
  </si>
  <si>
    <t>EBITDA of FY 24</t>
  </si>
  <si>
    <t>Delta revenues</t>
  </si>
  <si>
    <t>Delta COGS</t>
  </si>
  <si>
    <t>Delta opex</t>
  </si>
  <si>
    <t>EBITDA of FY 25</t>
  </si>
  <si>
    <t>Trade recievable</t>
  </si>
  <si>
    <t>Trade payable</t>
  </si>
  <si>
    <t>DSO</t>
  </si>
  <si>
    <t>DIO</t>
  </si>
  <si>
    <t>DPO</t>
  </si>
  <si>
    <t>Scenario 1</t>
  </si>
  <si>
    <t>Scenario 2</t>
  </si>
  <si>
    <t>Scenario 3</t>
  </si>
  <si>
    <t>CFs in Forecast period</t>
  </si>
  <si>
    <t>Continuing value</t>
  </si>
  <si>
    <t>4.Sources --&gt;</t>
  </si>
  <si>
    <t>USD in thousands</t>
  </si>
  <si>
    <t>2022
Act</t>
  </si>
  <si>
    <t>2023
Act</t>
  </si>
  <si>
    <t>2024
Act</t>
  </si>
  <si>
    <t>Revenue from sales and services</t>
  </si>
  <si>
    <t>Other revenue</t>
  </si>
  <si>
    <t>Revenue</t>
  </si>
  <si>
    <t>Raw materials</t>
  </si>
  <si>
    <t>Direct costs</t>
  </si>
  <si>
    <t>Cost for services</t>
  </si>
  <si>
    <t>Lease costs</t>
  </si>
  <si>
    <t>Other operating expenses</t>
  </si>
  <si>
    <t>Financial income/expenses</t>
  </si>
  <si>
    <t>Extraordinary income</t>
  </si>
  <si>
    <t>Net Income</t>
  </si>
  <si>
    <t>31Dec22
Act</t>
  </si>
  <si>
    <t>31Dec1723
Act</t>
  </si>
  <si>
    <t>31Dec24
Act</t>
  </si>
  <si>
    <t>Share Capital</t>
  </si>
  <si>
    <t>Reserves</t>
  </si>
  <si>
    <t>Retained earnings</t>
  </si>
  <si>
    <t>Profit/(loss) for the year</t>
  </si>
  <si>
    <t>Fixed assets</t>
  </si>
  <si>
    <t>Total Equity</t>
  </si>
  <si>
    <t>Trade receivables</t>
  </si>
  <si>
    <t>Deferred taxes</t>
  </si>
  <si>
    <t>Provisions for retirement benefits</t>
  </si>
  <si>
    <t>Non fixed assets</t>
  </si>
  <si>
    <t>Bank borrowings</t>
  </si>
  <si>
    <t>Other Financial liabilities</t>
  </si>
  <si>
    <t>Total Liabilities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</si>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</sst>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_);@_)"/>
    <numFmt numFmtId="166" formatCode="_(* #,##0.0_);_(* \(#,##0.0\);_(* &quot;-&quot;?_);@_l"/>
    <numFmt numFmtId="167" formatCode="_(* #,##0_);_(* \(#,##0\);_(* &quot;-&quot;?_);@_)"/>
    <numFmt numFmtId="168" formatCode="0.0%"/>
    <numFmt numFmtId="169" formatCode="_(* #,##0_);_(* \(#,##0\);_(* &quot;-&quot;??_);_(@_)"/>
    <numFmt numFmtId="170" formatCode="_(* #,##0_);_(* \(#,##0\);_(* &quot;-&quot;?_);@_l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_-* #,##0\ _D_M_-;\-* #,##0\ _D_M_-;_-* &quot;-&quot;\ _D_M_-;_-@_-"/>
    <numFmt numFmtId="174" formatCode="_-* #,##0.00\ &quot;Kc&quot;_-;\-* #,##0.00\ &quot;Kc&quot;_-;_-* &quot;-&quot;??\ &quot;Kc&quot;_-;_-@_-"/>
    <numFmt numFmtId="175" formatCode="\(0\'\)"/>
    <numFmt numFmtId="176" formatCode="0.00_)"/>
    <numFmt numFmtId="177" formatCode="#,##0;\(#,##0\);&quot;-&quot;"/>
    <numFmt numFmtId="178" formatCode="#,##0_);\(#,##0\);&quot; - &quot;_);@_)"/>
    <numFmt numFmtId="179" formatCode="\ #,##0.0_);\(#,##0.0\);&quot; - &quot;_);@_)"/>
    <numFmt numFmtId="180" formatCode="_(* #,##0.0_);_(* \(#,##0.0\);_(* &quot;-&quot;??_);_(@_)"/>
    <numFmt numFmtId="181" formatCode="_(* #,##0.00_);_(* \(#,##0.00\);_(* &quot;-&quot;?_);@_)"/>
    <numFmt numFmtId="182" formatCode="0.0"/>
  </numFmts>
  <fonts count="8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charset val="238"/>
    </font>
    <font>
      <sz val="10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8"/>
      <name val="Verdana"/>
      <family val="2"/>
    </font>
    <font>
      <sz val="10"/>
      <name val="Garamond"/>
      <family val="1"/>
    </font>
    <font>
      <sz val="10"/>
      <color indexed="8"/>
      <name val="MS Sans Serif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4"/>
      <color indexed="25"/>
      <name val="Arial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8"/>
      <color indexed="25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theme="1"/>
      <name val="Tahoma                        "/>
    </font>
    <font>
      <sz val="8"/>
      <color theme="1"/>
      <name val="Tahoma                        "/>
    </font>
    <font>
      <b/>
      <sz val="8"/>
      <color theme="1"/>
      <name val="Tahoma                        "/>
    </font>
    <font>
      <b/>
      <sz val="10"/>
      <color theme="1"/>
      <name val="Tahoma                        "/>
    </font>
    <font>
      <b/>
      <sz val="9"/>
      <color indexed="9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42424"/>
      <name val="Aptos Narrow"/>
      <charset val="1"/>
    </font>
    <font>
      <sz val="9"/>
      <color rgb="FF000000"/>
      <name val="Arial"/>
    </font>
    <font>
      <b/>
      <sz val="9"/>
      <color rgb="FFFFFFFF"/>
      <name val="Arial"/>
    </font>
    <font>
      <b/>
      <sz val="8"/>
      <color rgb="FFFFFFFF"/>
      <name val="Arial"/>
    </font>
    <font>
      <sz val="9"/>
      <color rgb="FF000000"/>
      <name val="Arial"/>
      <family val="2"/>
    </font>
    <font>
      <b/>
      <sz val="12"/>
      <color rgb="FF963634"/>
      <name val="Arial"/>
    </font>
    <font>
      <b/>
      <sz val="9"/>
      <color theme="5" tint="-0.249977111117893"/>
      <name val="Arial"/>
      <family val="2"/>
    </font>
    <font>
      <b/>
      <sz val="9"/>
      <color theme="5" tint="-0.249977111117893"/>
      <name val="Calibri"/>
      <family val="2"/>
      <scheme val="minor"/>
    </font>
    <font>
      <sz val="9"/>
      <color theme="5" tint="-0.249977111117893"/>
      <name val="Arial"/>
      <family val="2"/>
    </font>
    <font>
      <sz val="8"/>
      <color theme="5" tint="-0.249977111117893"/>
      <name val="Arial"/>
      <family val="2"/>
    </font>
    <font>
      <b/>
      <sz val="32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9"/>
      <color theme="5" tint="-0.249977111117893"/>
      <name val="Arial"/>
    </font>
    <font>
      <b/>
      <sz val="10"/>
      <color theme="5" tint="-0.249977111117893"/>
      <name val="Arial"/>
    </font>
    <font>
      <b/>
      <sz val="12"/>
      <color rgb="FF00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5" tint="-0.249977111117893"/>
      </bottom>
      <diagonal/>
    </border>
    <border>
      <left/>
      <right/>
      <top style="thin">
        <color theme="5" tint="-0.249977111117893"/>
      </top>
      <bottom style="medium">
        <color theme="5" tint="-0.249977111117893"/>
      </bottom>
      <diagonal/>
    </border>
  </borders>
  <cellStyleXfs count="167">
    <xf numFmtId="0" fontId="0" fillId="0" borderId="0"/>
    <xf numFmtId="0" fontId="4" fillId="0" borderId="1" applyFill="0" applyProtection="0">
      <alignment horizontal="right" wrapText="1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/>
    <xf numFmtId="0" fontId="12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" borderId="4"/>
    <xf numFmtId="0" fontId="15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6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2" borderId="0" applyNumberFormat="0" applyBorder="0" applyAlignment="0" applyProtection="0"/>
    <xf numFmtId="0" fontId="12" fillId="0" borderId="0"/>
    <xf numFmtId="0" fontId="19" fillId="6" borderId="0" applyNumberFormat="0" applyBorder="0" applyAlignment="0" applyProtection="0"/>
    <xf numFmtId="0" fontId="20" fillId="23" borderId="5" applyNumberFormat="0" applyAlignment="0" applyProtection="0"/>
    <xf numFmtId="0" fontId="21" fillId="24" borderId="6" applyNumberFormat="0" applyAlignment="0" applyProtection="0"/>
    <xf numFmtId="49" fontId="13" fillId="0" borderId="0">
      <alignment horizontal="left" vertical="top" wrapText="1"/>
    </xf>
    <xf numFmtId="171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38" fontId="13" fillId="25" borderId="0" applyNumberFormat="0" applyBorder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5" applyNumberFormat="0" applyAlignment="0" applyProtection="0"/>
    <xf numFmtId="10" fontId="13" fillId="4" borderId="10" applyNumberFormat="0" applyBorder="0" applyAlignment="0" applyProtection="0"/>
    <xf numFmtId="0" fontId="28" fillId="0" borderId="11" applyNumberFormat="0" applyFill="0" applyAlignment="0" applyProtection="0"/>
    <xf numFmtId="174" fontId="29" fillId="0" borderId="0" applyFont="0" applyFill="0" applyBorder="0" applyAlignment="0" applyProtection="0"/>
    <xf numFmtId="173" fontId="12" fillId="0" borderId="0" applyFont="0" applyFill="0" applyBorder="0" applyAlignment="0" applyProtection="0"/>
    <xf numFmtId="4" fontId="30" fillId="0" borderId="0" applyFont="0" applyFill="0" applyBorder="0" applyAlignment="0" applyProtection="0"/>
    <xf numFmtId="42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31" fillId="26" borderId="0" applyNumberFormat="0" applyBorder="0" applyAlignment="0" applyProtection="0"/>
    <xf numFmtId="176" fontId="32" fillId="0" borderId="0"/>
    <xf numFmtId="0" fontId="29" fillId="0" borderId="0"/>
    <xf numFmtId="0" fontId="17" fillId="27" borderId="12" applyNumberFormat="0" applyFont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4" fillId="23" borderId="13" applyNumberFormat="0" applyAlignment="0" applyProtection="0"/>
    <xf numFmtId="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35" fillId="0" borderId="14">
      <alignment horizontal="center"/>
    </xf>
    <xf numFmtId="3" fontId="33" fillId="0" borderId="0" applyFont="0" applyFill="0" applyBorder="0" applyAlignment="0" applyProtection="0"/>
    <xf numFmtId="0" fontId="33" fillId="28" borderId="0" applyNumberFormat="0" applyFont="0" applyBorder="0" applyAlignment="0" applyProtection="0"/>
    <xf numFmtId="3" fontId="45" fillId="29" borderId="0" applyFont="0" applyFill="0" applyBorder="0" applyAlignment="0" applyProtection="0"/>
    <xf numFmtId="4" fontId="36" fillId="30" borderId="13" applyNumberFormat="0" applyProtection="0">
      <alignment vertical="center"/>
    </xf>
    <xf numFmtId="4" fontId="37" fillId="30" borderId="13" applyNumberFormat="0" applyProtection="0">
      <alignment vertical="center"/>
    </xf>
    <xf numFmtId="4" fontId="36" fillId="30" borderId="13" applyNumberFormat="0" applyProtection="0">
      <alignment horizontal="left" vertical="center" indent="1"/>
    </xf>
    <xf numFmtId="4" fontId="36" fillId="30" borderId="13" applyNumberFormat="0" applyProtection="0">
      <alignment horizontal="left" vertical="center" indent="1"/>
    </xf>
    <xf numFmtId="0" fontId="12" fillId="31" borderId="13" applyNumberFormat="0" applyProtection="0">
      <alignment horizontal="left" vertical="center" indent="1"/>
    </xf>
    <xf numFmtId="4" fontId="36" fillId="32" borderId="13" applyNumberFormat="0" applyProtection="0">
      <alignment horizontal="right" vertical="center"/>
    </xf>
    <xf numFmtId="4" fontId="36" fillId="33" borderId="13" applyNumberFormat="0" applyProtection="0">
      <alignment horizontal="right" vertical="center"/>
    </xf>
    <xf numFmtId="4" fontId="36" fillId="34" borderId="13" applyNumberFormat="0" applyProtection="0">
      <alignment horizontal="right" vertical="center"/>
    </xf>
    <xf numFmtId="4" fontId="36" fillId="35" borderId="13" applyNumberFormat="0" applyProtection="0">
      <alignment horizontal="right" vertical="center"/>
    </xf>
    <xf numFmtId="4" fontId="36" fillId="36" borderId="13" applyNumberFormat="0" applyProtection="0">
      <alignment horizontal="right" vertical="center"/>
    </xf>
    <xf numFmtId="4" fontId="36" fillId="37" borderId="13" applyNumberFormat="0" applyProtection="0">
      <alignment horizontal="right" vertical="center"/>
    </xf>
    <xf numFmtId="4" fontId="36" fillId="38" borderId="13" applyNumberFormat="0" applyProtection="0">
      <alignment horizontal="right" vertical="center"/>
    </xf>
    <xf numFmtId="4" fontId="36" fillId="39" borderId="13" applyNumberFormat="0" applyProtection="0">
      <alignment horizontal="right" vertical="center"/>
    </xf>
    <xf numFmtId="4" fontId="36" fillId="40" borderId="13" applyNumberFormat="0" applyProtection="0">
      <alignment horizontal="right" vertical="center"/>
    </xf>
    <xf numFmtId="4" fontId="38" fillId="41" borderId="13" applyNumberFormat="0" applyProtection="0">
      <alignment horizontal="left" vertical="center" indent="1"/>
    </xf>
    <xf numFmtId="4" fontId="36" fillId="42" borderId="15" applyNumberFormat="0" applyProtection="0">
      <alignment horizontal="left" vertical="center" indent="1"/>
    </xf>
    <xf numFmtId="4" fontId="39" fillId="43" borderId="0" applyNumberFormat="0" applyProtection="0">
      <alignment horizontal="left" vertical="center" indent="1"/>
    </xf>
    <xf numFmtId="0" fontId="12" fillId="31" borderId="13" applyNumberFormat="0" applyProtection="0">
      <alignment horizontal="left" vertical="center" indent="1"/>
    </xf>
    <xf numFmtId="4" fontId="36" fillId="42" borderId="13" applyNumberFormat="0" applyProtection="0">
      <alignment horizontal="left" vertical="center" indent="1"/>
    </xf>
    <xf numFmtId="4" fontId="36" fillId="44" borderId="13" applyNumberFormat="0" applyProtection="0">
      <alignment horizontal="left" vertical="center" indent="1"/>
    </xf>
    <xf numFmtId="0" fontId="12" fillId="44" borderId="13" applyNumberFormat="0" applyProtection="0">
      <alignment horizontal="left" vertical="center" indent="1"/>
    </xf>
    <xf numFmtId="0" fontId="12" fillId="44" borderId="13" applyNumberFormat="0" applyProtection="0">
      <alignment horizontal="left" vertical="center" indent="1"/>
    </xf>
    <xf numFmtId="0" fontId="12" fillId="45" borderId="13" applyNumberFormat="0" applyProtection="0">
      <alignment horizontal="left" vertical="center" indent="1"/>
    </xf>
    <xf numFmtId="0" fontId="12" fillId="45" borderId="13" applyNumberFormat="0" applyProtection="0">
      <alignment horizontal="left" vertical="center" indent="1"/>
    </xf>
    <xf numFmtId="0" fontId="12" fillId="25" borderId="13" applyNumberFormat="0" applyProtection="0">
      <alignment horizontal="left" vertical="center" indent="1"/>
    </xf>
    <xf numFmtId="0" fontId="12" fillId="25" borderId="13" applyNumberFormat="0" applyProtection="0">
      <alignment horizontal="left" vertical="center" indent="1"/>
    </xf>
    <xf numFmtId="0" fontId="12" fillId="31" borderId="13" applyNumberFormat="0" applyProtection="0">
      <alignment horizontal="left" vertical="center" indent="1"/>
    </xf>
    <xf numFmtId="0" fontId="12" fillId="31" borderId="13" applyNumberFormat="0" applyProtection="0">
      <alignment horizontal="left" vertical="center" indent="1"/>
    </xf>
    <xf numFmtId="4" fontId="36" fillId="4" borderId="13" applyNumberFormat="0" applyProtection="0">
      <alignment vertical="center"/>
    </xf>
    <xf numFmtId="4" fontId="37" fillId="4" borderId="13" applyNumberFormat="0" applyProtection="0">
      <alignment vertical="center"/>
    </xf>
    <xf numFmtId="4" fontId="36" fillId="4" borderId="13" applyNumberFormat="0" applyProtection="0">
      <alignment horizontal="left" vertical="center" indent="1"/>
    </xf>
    <xf numFmtId="4" fontId="36" fillId="4" borderId="13" applyNumberFormat="0" applyProtection="0">
      <alignment horizontal="left" vertical="center" indent="1"/>
    </xf>
    <xf numFmtId="4" fontId="36" fillId="42" borderId="13" applyNumberFormat="0" applyProtection="0">
      <alignment horizontal="right" vertical="center"/>
    </xf>
    <xf numFmtId="4" fontId="37" fillId="42" borderId="13" applyNumberFormat="0" applyProtection="0">
      <alignment horizontal="right" vertical="center"/>
    </xf>
    <xf numFmtId="0" fontId="12" fillId="31" borderId="13" applyNumberFormat="0" applyProtection="0">
      <alignment horizontal="left" vertical="center" indent="1"/>
    </xf>
    <xf numFmtId="0" fontId="12" fillId="31" borderId="13" applyNumberFormat="0" applyProtection="0">
      <alignment horizontal="left" vertical="center" indent="1"/>
    </xf>
    <xf numFmtId="0" fontId="40" fillId="0" borderId="0"/>
    <xf numFmtId="4" fontId="14" fillId="42" borderId="13" applyNumberFormat="0" applyProtection="0">
      <alignment horizontal="right" vertical="center"/>
    </xf>
    <xf numFmtId="0" fontId="12" fillId="0" borderId="0"/>
    <xf numFmtId="0" fontId="41" fillId="0" borderId="0" applyNumberFormat="0" applyFill="0" applyBorder="0" applyAlignment="0" applyProtection="0"/>
    <xf numFmtId="0" fontId="42" fillId="0" borderId="16" applyNumberFormat="0" applyFill="0" applyAlignment="0" applyProtection="0"/>
    <xf numFmtId="3" fontId="43" fillId="0" borderId="2" applyNumberFormat="0"/>
    <xf numFmtId="0" fontId="4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46" fillId="0" borderId="0"/>
    <xf numFmtId="0" fontId="12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8" fillId="0" borderId="0"/>
    <xf numFmtId="0" fontId="49" fillId="0" borderId="0"/>
    <xf numFmtId="177" fontId="50" fillId="0" borderId="0"/>
    <xf numFmtId="177" fontId="12" fillId="0" borderId="0"/>
    <xf numFmtId="177" fontId="52" fillId="0" borderId="0"/>
    <xf numFmtId="0" fontId="53" fillId="0" borderId="0">
      <alignment horizontal="left"/>
    </xf>
    <xf numFmtId="164" fontId="51" fillId="0" borderId="17" applyFill="0" applyBorder="0" applyProtection="0">
      <alignment horizontal="right" vertical="top"/>
    </xf>
    <xf numFmtId="177" fontId="54" fillId="0" borderId="17">
      <alignment horizontal="left"/>
    </xf>
    <xf numFmtId="0" fontId="53" fillId="0" borderId="17">
      <alignment horizontal="right" wrapText="1"/>
    </xf>
    <xf numFmtId="0" fontId="51" fillId="0" borderId="0" applyFill="0" applyBorder="0">
      <alignment horizontal="left" vertical="top" wrapText="1"/>
    </xf>
    <xf numFmtId="178" fontId="51" fillId="0" borderId="0" applyFill="0" applyBorder="0">
      <alignment horizontal="right" vertical="top"/>
    </xf>
    <xf numFmtId="179" fontId="51" fillId="0" borderId="0" applyFill="0" applyBorder="0">
      <alignment horizontal="right" vertical="top"/>
    </xf>
    <xf numFmtId="49" fontId="51" fillId="0" borderId="0" applyNumberFormat="0" applyFill="0" applyBorder="0" applyProtection="0">
      <alignment horizontal="center" vertical="top"/>
    </xf>
    <xf numFmtId="177" fontId="55" fillId="0" borderId="0">
      <alignment horizontal="left" vertical="top"/>
    </xf>
    <xf numFmtId="0" fontId="56" fillId="0" borderId="0"/>
    <xf numFmtId="0" fontId="6" fillId="0" borderId="0"/>
    <xf numFmtId="0" fontId="57" fillId="0" borderId="0"/>
    <xf numFmtId="0" fontId="6" fillId="0" borderId="0"/>
    <xf numFmtId="17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1" fillId="0" borderId="0"/>
    <xf numFmtId="0" fontId="58" fillId="0" borderId="0"/>
    <xf numFmtId="0" fontId="59" fillId="0" borderId="0"/>
    <xf numFmtId="0" fontId="60" fillId="0" borderId="0"/>
    <xf numFmtId="0" fontId="65" fillId="0" borderId="0" applyNumberFormat="0" applyFill="0" applyBorder="0" applyAlignment="0" applyProtection="0"/>
  </cellStyleXfs>
  <cellXfs count="148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5" fontId="2" fillId="2" borderId="0" xfId="0" applyNumberFormat="1" applyFont="1" applyFill="1"/>
    <xf numFmtId="165" fontId="1" fillId="2" borderId="0" xfId="0" applyNumberFormat="1" applyFont="1" applyFill="1"/>
    <xf numFmtId="165" fontId="3" fillId="2" borderId="2" xfId="0" applyNumberFormat="1" applyFont="1" applyFill="1" applyBorder="1"/>
    <xf numFmtId="165" fontId="3" fillId="2" borderId="2" xfId="0" applyNumberFormat="1" applyFont="1" applyFill="1" applyBorder="1" applyAlignment="1">
      <alignment horizontal="right" wrapText="1"/>
    </xf>
    <xf numFmtId="165" fontId="3" fillId="2" borderId="3" xfId="0" applyNumberFormat="1" applyFont="1" applyFill="1" applyBorder="1"/>
    <xf numFmtId="166" fontId="1" fillId="2" borderId="0" xfId="0" applyNumberFormat="1" applyFont="1" applyFill="1"/>
    <xf numFmtId="166" fontId="2" fillId="2" borderId="0" xfId="0" applyNumberFormat="1" applyFont="1" applyFill="1"/>
    <xf numFmtId="167" fontId="1" fillId="2" borderId="0" xfId="0" applyNumberFormat="1" applyFont="1" applyFill="1"/>
    <xf numFmtId="167" fontId="3" fillId="2" borderId="3" xfId="0" applyNumberFormat="1" applyFont="1" applyFill="1" applyBorder="1"/>
    <xf numFmtId="165" fontId="1" fillId="2" borderId="3" xfId="0" applyNumberFormat="1" applyFont="1" applyFill="1" applyBorder="1"/>
    <xf numFmtId="165" fontId="7" fillId="2" borderId="0" xfId="0" applyNumberFormat="1" applyFont="1" applyFill="1"/>
    <xf numFmtId="165" fontId="1" fillId="3" borderId="0" xfId="0" applyNumberFormat="1" applyFont="1" applyFill="1"/>
    <xf numFmtId="165" fontId="5" fillId="2" borderId="0" xfId="0" applyNumberFormat="1" applyFont="1" applyFill="1" applyAlignment="1">
      <alignment horizontal="right" wrapText="1"/>
    </xf>
    <xf numFmtId="165" fontId="5" fillId="2" borderId="0" xfId="0" applyNumberFormat="1" applyFont="1" applyFill="1"/>
    <xf numFmtId="9" fontId="1" fillId="2" borderId="0" xfId="2" applyFont="1" applyFill="1"/>
    <xf numFmtId="168" fontId="1" fillId="2" borderId="0" xfId="2" applyNumberFormat="1" applyFont="1" applyFill="1"/>
    <xf numFmtId="9" fontId="1" fillId="3" borderId="0" xfId="2" applyFont="1" applyFill="1"/>
    <xf numFmtId="167" fontId="1" fillId="3" borderId="0" xfId="0" applyNumberFormat="1" applyFont="1" applyFill="1"/>
    <xf numFmtId="0" fontId="8" fillId="2" borderId="0" xfId="0" applyFont="1" applyFill="1" applyAlignment="1">
      <alignment horizontal="left"/>
    </xf>
    <xf numFmtId="167" fontId="11" fillId="2" borderId="0" xfId="0" applyNumberFormat="1" applyFont="1" applyFill="1"/>
    <xf numFmtId="167" fontId="1" fillId="2" borderId="3" xfId="0" applyNumberFormat="1" applyFont="1" applyFill="1" applyBorder="1"/>
    <xf numFmtId="170" fontId="1" fillId="2" borderId="0" xfId="0" applyNumberFormat="1" applyFont="1" applyFill="1"/>
    <xf numFmtId="165" fontId="3" fillId="2" borderId="18" xfId="0" applyNumberFormat="1" applyFont="1" applyFill="1" applyBorder="1"/>
    <xf numFmtId="167" fontId="3" fillId="2" borderId="18" xfId="0" applyNumberFormat="1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/>
    <xf numFmtId="170" fontId="5" fillId="2" borderId="0" xfId="0" applyNumberFormat="1" applyFont="1" applyFill="1"/>
    <xf numFmtId="166" fontId="11" fillId="2" borderId="0" xfId="0" applyNumberFormat="1" applyFont="1" applyFill="1"/>
    <xf numFmtId="167" fontId="1" fillId="2" borderId="0" xfId="0" applyNumberFormat="1" applyFont="1" applyFill="1" applyAlignment="1">
      <alignment horizontal="right"/>
    </xf>
    <xf numFmtId="169" fontId="1" fillId="2" borderId="0" xfId="0" applyNumberFormat="1" applyFont="1" applyFill="1"/>
    <xf numFmtId="9" fontId="1" fillId="2" borderId="0" xfId="2" applyFont="1" applyFill="1" applyAlignment="1">
      <alignment horizontal="right"/>
    </xf>
    <xf numFmtId="169" fontId="1" fillId="3" borderId="0" xfId="0" applyNumberFormat="1" applyFont="1" applyFill="1"/>
    <xf numFmtId="168" fontId="7" fillId="2" borderId="0" xfId="2" applyNumberFormat="1" applyFont="1" applyFill="1"/>
    <xf numFmtId="165" fontId="7" fillId="3" borderId="0" xfId="0" applyNumberFormat="1" applyFont="1" applyFill="1"/>
    <xf numFmtId="169" fontId="1" fillId="2" borderId="0" xfId="3" applyNumberFormat="1" applyFont="1" applyFill="1"/>
    <xf numFmtId="180" fontId="1" fillId="2" borderId="0" xfId="3" applyNumberFormat="1" applyFont="1" applyFill="1"/>
    <xf numFmtId="166" fontId="64" fillId="2" borderId="0" xfId="0" applyNumberFormat="1" applyFont="1" applyFill="1"/>
    <xf numFmtId="43" fontId="1" fillId="3" borderId="0" xfId="3" applyFont="1" applyFill="1"/>
    <xf numFmtId="165" fontId="1" fillId="2" borderId="0" xfId="0" applyNumberFormat="1" applyFont="1" applyFill="1" applyAlignment="1">
      <alignment horizontal="right"/>
    </xf>
    <xf numFmtId="9" fontId="5" fillId="2" borderId="0" xfId="2" applyFont="1" applyFill="1"/>
    <xf numFmtId="165" fontId="10" fillId="2" borderId="0" xfId="0" applyNumberFormat="1" applyFont="1" applyFill="1"/>
    <xf numFmtId="166" fontId="8" fillId="2" borderId="0" xfId="0" applyNumberFormat="1" applyFont="1" applyFill="1"/>
    <xf numFmtId="167" fontId="8" fillId="2" borderId="0" xfId="0" applyNumberFormat="1" applyFont="1" applyFill="1"/>
    <xf numFmtId="181" fontId="1" fillId="2" borderId="0" xfId="0" applyNumberFormat="1" applyFont="1" applyFill="1"/>
    <xf numFmtId="0" fontId="13" fillId="25" borderId="0" xfId="58" applyNumberFormat="1" applyBorder="1"/>
    <xf numFmtId="9" fontId="13" fillId="3" borderId="0" xfId="58" applyNumberFormat="1" applyFill="1"/>
    <xf numFmtId="167" fontId="13" fillId="3" borderId="0" xfId="58" applyNumberFormat="1" applyFill="1"/>
    <xf numFmtId="0" fontId="66" fillId="0" borderId="0" xfId="0" applyFont="1"/>
    <xf numFmtId="168" fontId="1" fillId="2" borderId="0" xfId="0" applyNumberFormat="1" applyFont="1" applyFill="1"/>
    <xf numFmtId="9" fontId="1" fillId="2" borderId="0" xfId="0" applyNumberFormat="1" applyFont="1" applyFill="1"/>
    <xf numFmtId="182" fontId="7" fillId="2" borderId="0" xfId="0" applyNumberFormat="1" applyFont="1" applyFill="1"/>
    <xf numFmtId="165" fontId="13" fillId="3" borderId="0" xfId="58" applyNumberFormat="1" applyFill="1"/>
    <xf numFmtId="167" fontId="11" fillId="3" borderId="0" xfId="0" applyNumberFormat="1" applyFont="1" applyFill="1"/>
    <xf numFmtId="1" fontId="1" fillId="2" borderId="0" xfId="2" applyNumberFormat="1" applyFont="1" applyFill="1"/>
    <xf numFmtId="1" fontId="1" fillId="3" borderId="0" xfId="2" applyNumberFormat="1" applyFont="1" applyFill="1"/>
    <xf numFmtId="9" fontId="1" fillId="2" borderId="0" xfId="3" applyNumberFormat="1" applyFont="1" applyFill="1"/>
    <xf numFmtId="9" fontId="1" fillId="3" borderId="0" xfId="3" applyNumberFormat="1" applyFont="1" applyFill="1"/>
    <xf numFmtId="1" fontId="1" fillId="3" borderId="0" xfId="0" applyNumberFormat="1" applyFont="1" applyFill="1"/>
    <xf numFmtId="166" fontId="67" fillId="2" borderId="0" xfId="0" applyNumberFormat="1" applyFont="1" applyFill="1"/>
    <xf numFmtId="165" fontId="67" fillId="2" borderId="0" xfId="0" applyNumberFormat="1" applyFont="1" applyFill="1"/>
    <xf numFmtId="170" fontId="70" fillId="2" borderId="0" xfId="0" applyNumberFormat="1" applyFont="1" applyFill="1"/>
    <xf numFmtId="167" fontId="70" fillId="2" borderId="0" xfId="0" applyNumberFormat="1" applyFont="1" applyFill="1"/>
    <xf numFmtId="1" fontId="1" fillId="2" borderId="0" xfId="0" applyNumberFormat="1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9" fontId="70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 applyBorder="1"/>
    <xf numFmtId="1" fontId="1" fillId="2" borderId="0" xfId="0" applyNumberFormat="1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0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1" fontId="1" fillId="2" borderId="23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10" fontId="1" fillId="2" borderId="0" xfId="0" applyNumberFormat="1" applyFont="1" applyFill="1"/>
    <xf numFmtId="0" fontId="71" fillId="2" borderId="0" xfId="0" applyFont="1" applyFill="1"/>
    <xf numFmtId="0" fontId="72" fillId="2" borderId="0" xfId="0" applyFont="1" applyFill="1"/>
    <xf numFmtId="0" fontId="10" fillId="46" borderId="0" xfId="0" applyFont="1" applyFill="1"/>
    <xf numFmtId="0" fontId="63" fillId="46" borderId="0" xfId="0" applyFont="1" applyFill="1" applyAlignment="1">
      <alignment horizontal="left"/>
    </xf>
    <xf numFmtId="0" fontId="73" fillId="2" borderId="1" xfId="1" applyFont="1" applyFill="1" applyAlignment="1">
      <alignment horizontal="left" wrapText="1"/>
    </xf>
    <xf numFmtId="0" fontId="74" fillId="2" borderId="0" xfId="166" applyFont="1" applyFill="1"/>
    <xf numFmtId="0" fontId="75" fillId="2" borderId="0" xfId="0" applyFont="1" applyFill="1" applyAlignment="1">
      <alignment horizontal="left"/>
    </xf>
    <xf numFmtId="0" fontId="76" fillId="2" borderId="0" xfId="0" applyFont="1" applyFill="1"/>
    <xf numFmtId="0" fontId="74" fillId="2" borderId="0" xfId="0" applyFont="1" applyFill="1"/>
    <xf numFmtId="165" fontId="77" fillId="2" borderId="0" xfId="0" applyNumberFormat="1" applyFont="1" applyFill="1"/>
    <xf numFmtId="165" fontId="74" fillId="2" borderId="0" xfId="0" applyNumberFormat="1" applyFont="1" applyFill="1"/>
    <xf numFmtId="165" fontId="72" fillId="2" borderId="0" xfId="0" applyNumberFormat="1" applyFont="1" applyFill="1" applyAlignment="1">
      <alignment horizontal="right" wrapText="1"/>
    </xf>
    <xf numFmtId="165" fontId="72" fillId="2" borderId="26" xfId="0" applyNumberFormat="1" applyFont="1" applyFill="1" applyBorder="1" applyAlignment="1">
      <alignment horizontal="right" wrapText="1"/>
    </xf>
    <xf numFmtId="165" fontId="72" fillId="2" borderId="0" xfId="0" applyNumberFormat="1" applyFont="1" applyFill="1"/>
    <xf numFmtId="165" fontId="78" fillId="2" borderId="0" xfId="0" applyNumberFormat="1" applyFont="1" applyFill="1"/>
    <xf numFmtId="165" fontId="72" fillId="2" borderId="28" xfId="0" applyNumberFormat="1" applyFont="1" applyFill="1" applyBorder="1"/>
    <xf numFmtId="165" fontId="72" fillId="2" borderId="28" xfId="0" applyNumberFormat="1" applyFont="1" applyFill="1" applyBorder="1" applyAlignment="1">
      <alignment horizontal="right" wrapText="1"/>
    </xf>
    <xf numFmtId="165" fontId="72" fillId="3" borderId="28" xfId="0" applyNumberFormat="1" applyFont="1" applyFill="1" applyBorder="1" applyAlignment="1">
      <alignment horizontal="right" wrapText="1"/>
    </xf>
    <xf numFmtId="165" fontId="72" fillId="2" borderId="19" xfId="0" applyNumberFormat="1" applyFont="1" applyFill="1" applyBorder="1"/>
    <xf numFmtId="167" fontId="72" fillId="2" borderId="19" xfId="0" applyNumberFormat="1" applyFont="1" applyFill="1" applyBorder="1"/>
    <xf numFmtId="167" fontId="72" fillId="3" borderId="19" xfId="0" applyNumberFormat="1" applyFont="1" applyFill="1" applyBorder="1"/>
    <xf numFmtId="165" fontId="72" fillId="2" borderId="28" xfId="0" applyNumberFormat="1" applyFont="1" applyFill="1" applyBorder="1" applyAlignment="1">
      <alignment wrapText="1"/>
    </xf>
    <xf numFmtId="165" fontId="9" fillId="2" borderId="0" xfId="0" applyNumberFormat="1" applyFont="1" applyFill="1"/>
    <xf numFmtId="165" fontId="10" fillId="46" borderId="0" xfId="0" applyNumberFormat="1" applyFont="1" applyFill="1"/>
    <xf numFmtId="167" fontId="10" fillId="46" borderId="0" xfId="0" applyNumberFormat="1" applyFont="1" applyFill="1"/>
    <xf numFmtId="165" fontId="74" fillId="2" borderId="0" xfId="0" applyNumberFormat="1" applyFont="1" applyFill="1" applyBorder="1"/>
    <xf numFmtId="165" fontId="72" fillId="2" borderId="0" xfId="0" applyNumberFormat="1" applyFont="1" applyFill="1" applyBorder="1" applyAlignment="1">
      <alignment wrapText="1"/>
    </xf>
    <xf numFmtId="167" fontId="74" fillId="2" borderId="0" xfId="0" applyNumberFormat="1" applyFont="1" applyFill="1" applyBorder="1"/>
    <xf numFmtId="167" fontId="72" fillId="2" borderId="0" xfId="0" applyNumberFormat="1" applyFont="1" applyFill="1" applyBorder="1"/>
    <xf numFmtId="165" fontId="72" fillId="2" borderId="29" xfId="0" applyNumberFormat="1" applyFont="1" applyFill="1" applyBorder="1"/>
    <xf numFmtId="167" fontId="72" fillId="2" borderId="29" xfId="0" applyNumberFormat="1" applyFont="1" applyFill="1" applyBorder="1"/>
    <xf numFmtId="167" fontId="72" fillId="3" borderId="29" xfId="0" applyNumberFormat="1" applyFont="1" applyFill="1" applyBorder="1"/>
    <xf numFmtId="166" fontId="77" fillId="2" borderId="0" xfId="0" applyNumberFormat="1" applyFont="1" applyFill="1"/>
    <xf numFmtId="166" fontId="74" fillId="2" borderId="0" xfId="0" applyNumberFormat="1" applyFont="1" applyFill="1"/>
    <xf numFmtId="165" fontId="72" fillId="2" borderId="20" xfId="0" applyNumberFormat="1" applyFont="1" applyFill="1" applyBorder="1"/>
    <xf numFmtId="167" fontId="72" fillId="2" borderId="20" xfId="0" applyNumberFormat="1" applyFont="1" applyFill="1" applyBorder="1"/>
    <xf numFmtId="167" fontId="74" fillId="2" borderId="20" xfId="0" applyNumberFormat="1" applyFont="1" applyFill="1" applyBorder="1"/>
    <xf numFmtId="166" fontId="78" fillId="2" borderId="20" xfId="0" applyNumberFormat="1" applyFont="1" applyFill="1" applyBorder="1"/>
    <xf numFmtId="166" fontId="74" fillId="2" borderId="20" xfId="0" applyNumberFormat="1" applyFont="1" applyFill="1" applyBorder="1"/>
    <xf numFmtId="170" fontId="72" fillId="2" borderId="20" xfId="0" applyNumberFormat="1" applyFont="1" applyFill="1" applyBorder="1"/>
    <xf numFmtId="166" fontId="72" fillId="2" borderId="20" xfId="0" applyNumberFormat="1" applyFont="1" applyFill="1" applyBorder="1"/>
    <xf numFmtId="1" fontId="74" fillId="2" borderId="0" xfId="0" applyNumberFormat="1" applyFont="1" applyFill="1" applyAlignment="1">
      <alignment horizontal="left"/>
    </xf>
    <xf numFmtId="1" fontId="74" fillId="2" borderId="0" xfId="0" applyNumberFormat="1" applyFont="1" applyFill="1" applyAlignment="1">
      <alignment horizontal="left" vertical="top"/>
    </xf>
    <xf numFmtId="166" fontId="72" fillId="2" borderId="0" xfId="0" applyNumberFormat="1" applyFont="1" applyFill="1"/>
    <xf numFmtId="166" fontId="78" fillId="2" borderId="0" xfId="0" applyNumberFormat="1" applyFont="1" applyFill="1"/>
    <xf numFmtId="167" fontId="72" fillId="2" borderId="0" xfId="0" applyNumberFormat="1" applyFont="1" applyFill="1"/>
    <xf numFmtId="170" fontId="72" fillId="2" borderId="0" xfId="0" applyNumberFormat="1" applyFont="1" applyFill="1"/>
    <xf numFmtId="166" fontId="68" fillId="46" borderId="0" xfId="0" applyNumberFormat="1" applyFont="1" applyFill="1"/>
    <xf numFmtId="166" fontId="1" fillId="46" borderId="0" xfId="0" applyNumberFormat="1" applyFont="1" applyFill="1"/>
    <xf numFmtId="170" fontId="10" fillId="46" borderId="0" xfId="0" applyNumberFormat="1" applyFont="1" applyFill="1"/>
    <xf numFmtId="166" fontId="69" fillId="46" borderId="0" xfId="0" applyNumberFormat="1" applyFont="1" applyFill="1"/>
    <xf numFmtId="166" fontId="8" fillId="46" borderId="0" xfId="0" applyNumberFormat="1" applyFont="1" applyFill="1"/>
    <xf numFmtId="167" fontId="63" fillId="46" borderId="0" xfId="0" applyNumberFormat="1" applyFont="1" applyFill="1"/>
    <xf numFmtId="167" fontId="8" fillId="46" borderId="0" xfId="0" applyNumberFormat="1" applyFont="1" applyFill="1"/>
    <xf numFmtId="9" fontId="9" fillId="46" borderId="0" xfId="0" applyNumberFormat="1" applyFont="1" applyFill="1"/>
    <xf numFmtId="167" fontId="72" fillId="3" borderId="20" xfId="0" applyNumberFormat="1" applyFont="1" applyFill="1" applyBorder="1"/>
    <xf numFmtId="0" fontId="62" fillId="46" borderId="0" xfId="134" applyFont="1" applyFill="1"/>
    <xf numFmtId="9" fontId="74" fillId="2" borderId="0" xfId="0" applyNumberFormat="1" applyFont="1" applyFill="1"/>
    <xf numFmtId="0" fontId="77" fillId="2" borderId="0" xfId="0" applyFont="1" applyFill="1"/>
    <xf numFmtId="0" fontId="79" fillId="2" borderId="20" xfId="0" applyFont="1" applyFill="1" applyBorder="1"/>
    <xf numFmtId="1" fontId="72" fillId="2" borderId="20" xfId="0" applyNumberFormat="1" applyFont="1" applyFill="1" applyBorder="1"/>
    <xf numFmtId="0" fontId="79" fillId="2" borderId="26" xfId="0" applyFont="1" applyFill="1" applyBorder="1"/>
    <xf numFmtId="0" fontId="74" fillId="2" borderId="26" xfId="0" applyFont="1" applyFill="1" applyBorder="1"/>
    <xf numFmtId="165" fontId="80" fillId="2" borderId="0" xfId="0" applyNumberFormat="1" applyFont="1" applyFill="1"/>
    <xf numFmtId="165" fontId="1" fillId="47" borderId="0" xfId="0" applyNumberFormat="1" applyFont="1" applyFill="1"/>
    <xf numFmtId="0" fontId="9" fillId="2" borderId="0" xfId="0" applyFont="1" applyFill="1"/>
  </cellXfs>
  <cellStyles count="167">
    <cellStyle name="%" xfId="136" xr:uid="{00000000-0005-0000-0000-000000000000}"/>
    <cellStyle name="_x0002_._x0011__x0002_._x001b__x0002_ _x0015_%_x0018__x0001_" xfId="5" xr:uid="{00000000-0005-0000-0000-000001000000}"/>
    <cellStyle name="_060510 Goal Setting CNV" xfId="6" xr:uid="{00000000-0005-0000-0000-000002000000}"/>
    <cellStyle name="_2008-08-18 WC SRL" xfId="7" xr:uid="{00000000-0005-0000-0000-000003000000}"/>
    <cellStyle name="_2008-10-06 Goodwill Test KPMG incl PL 19 (2)" xfId="8" xr:uid="{00000000-0005-0000-0000-000004000000}"/>
    <cellStyle name="_2008-10-06 Goodwill Test KPMG incl PL 19 (3)" xfId="9" xr:uid="{00000000-0005-0000-0000-000005000000}"/>
    <cellStyle name="_2009-03-17 Version für 53-19" xfId="10" xr:uid="{00000000-0005-0000-0000-000006000000}"/>
    <cellStyle name="_Access Bluebook 2007 DCL V7" xfId="11" xr:uid="{00000000-0005-0000-0000-000007000000}"/>
    <cellStyle name="_AL_cost_outlook_070405_Bluebook2007" xfId="12" xr:uid="{00000000-0005-0000-0000-000008000000}"/>
    <cellStyle name="_BB_08_BG_COM" xfId="13" xr:uid="{00000000-0005-0000-0000-000009000000}"/>
    <cellStyle name="_Bluebook-2005-PL-Projections-COM-SR2" xfId="14" xr:uid="{00000000-0005-0000-0000-00000A000000}"/>
    <cellStyle name="_COM Cash Flow Bluebook 2008" xfId="15" xr:uid="{00000000-0005-0000-0000-00000B000000}"/>
    <cellStyle name="_Cordless_Bizcase_070524" xfId="16" xr:uid="{00000000-0005-0000-0000-00000C000000}"/>
    <cellStyle name="_Cordless_Bizcase_Bluebook (2)" xfId="17" xr:uid="{00000000-0005-0000-0000-00000D000000}"/>
    <cellStyle name="_Cordless_Bizcase_Master" xfId="18" xr:uid="{00000000-0005-0000-0000-00000E000000}"/>
    <cellStyle name="_Data" xfId="19" xr:uid="{00000000-0005-0000-0000-00000F000000}"/>
    <cellStyle name="_Foundry Wafer Price Database - BU" xfId="20" xr:uid="{00000000-0005-0000-0000-000010000000}"/>
    <cellStyle name="_Segment_DCL_FRFC_2007_03" xfId="21" xr:uid="{00000000-0005-0000-0000-000011000000}"/>
    <cellStyle name="_SR_CSP_Segments" xfId="22" xr:uid="{00000000-0005-0000-0000-000012000000}"/>
    <cellStyle name="_Wireless_MPP_FRFC0810_V3" xfId="23" xr:uid="{00000000-0005-0000-0000-000013000000}"/>
    <cellStyle name="_WLS_MPP_BB2008_vs_VRFC0904_bw (2)" xfId="24" xr:uid="{00000000-0005-0000-0000-000014000000}"/>
    <cellStyle name="0,0_x000d__x000a_NA_x000d__x000a_" xfId="25" xr:uid="{00000000-0005-0000-0000-000015000000}"/>
    <cellStyle name="20% - Accent1 2" xfId="26" xr:uid="{00000000-0005-0000-0000-000016000000}"/>
    <cellStyle name="20% - Accent2 2" xfId="27" xr:uid="{00000000-0005-0000-0000-000017000000}"/>
    <cellStyle name="20% - Accent3 2" xfId="28" xr:uid="{00000000-0005-0000-0000-000018000000}"/>
    <cellStyle name="20% - Accent4 2" xfId="29" xr:uid="{00000000-0005-0000-0000-000019000000}"/>
    <cellStyle name="20% - Accent5 2" xfId="30" xr:uid="{00000000-0005-0000-0000-00001A000000}"/>
    <cellStyle name="20% - Accent6 2" xfId="31" xr:uid="{00000000-0005-0000-0000-00001B000000}"/>
    <cellStyle name="40% - Accent1 2" xfId="32" xr:uid="{00000000-0005-0000-0000-00001C000000}"/>
    <cellStyle name="40% - Accent2 2" xfId="33" xr:uid="{00000000-0005-0000-0000-00001D000000}"/>
    <cellStyle name="40% - Accent3 2" xfId="34" xr:uid="{00000000-0005-0000-0000-00001E000000}"/>
    <cellStyle name="40% - Accent4 2" xfId="35" xr:uid="{00000000-0005-0000-0000-00001F000000}"/>
    <cellStyle name="40% - Accent5 2" xfId="36" xr:uid="{00000000-0005-0000-0000-000020000000}"/>
    <cellStyle name="40% - Accent6 2" xfId="37" xr:uid="{00000000-0005-0000-0000-000021000000}"/>
    <cellStyle name="60% - Accent1 2" xfId="38" xr:uid="{00000000-0005-0000-0000-000022000000}"/>
    <cellStyle name="60% - Accent2 2" xfId="39" xr:uid="{00000000-0005-0000-0000-000023000000}"/>
    <cellStyle name="60% - Accent3 2" xfId="40" xr:uid="{00000000-0005-0000-0000-000024000000}"/>
    <cellStyle name="60% - Accent4 2" xfId="41" xr:uid="{00000000-0005-0000-0000-000025000000}"/>
    <cellStyle name="60% - Accent5 2" xfId="42" xr:uid="{00000000-0005-0000-0000-000026000000}"/>
    <cellStyle name="60% - Accent6 2" xfId="43" xr:uid="{00000000-0005-0000-0000-000027000000}"/>
    <cellStyle name="Accent1 2" xfId="44" xr:uid="{00000000-0005-0000-0000-000028000000}"/>
    <cellStyle name="Accent2 2" xfId="45" xr:uid="{00000000-0005-0000-0000-000029000000}"/>
    <cellStyle name="Accent3 2" xfId="46" xr:uid="{00000000-0005-0000-0000-00002A000000}"/>
    <cellStyle name="Accent4 2" xfId="47" xr:uid="{00000000-0005-0000-0000-00002B000000}"/>
    <cellStyle name="Accent5 2" xfId="48" xr:uid="{00000000-0005-0000-0000-00002C000000}"/>
    <cellStyle name="Accent6 2" xfId="49" xr:uid="{00000000-0005-0000-0000-00002D000000}"/>
    <cellStyle name="AFE" xfId="50" xr:uid="{00000000-0005-0000-0000-00002E000000}"/>
    <cellStyle name="AFE 2" xfId="133" xr:uid="{00000000-0005-0000-0000-00002F000000}"/>
    <cellStyle name="Bad 2" xfId="51" xr:uid="{00000000-0005-0000-0000-000030000000}"/>
    <cellStyle name="Calculation 2" xfId="52" xr:uid="{00000000-0005-0000-0000-000031000000}"/>
    <cellStyle name="Check Cell 2" xfId="53" xr:uid="{00000000-0005-0000-0000-000032000000}"/>
    <cellStyle name="Comma" xfId="3" builtinId="3"/>
    <cellStyle name="Comma 2" xfId="155" xr:uid="{00000000-0005-0000-0000-000034000000}"/>
    <cellStyle name="Detail" xfId="54" xr:uid="{00000000-0005-0000-0000-000035000000}"/>
    <cellStyle name="Euro" xfId="55" xr:uid="{00000000-0005-0000-0000-000036000000}"/>
    <cellStyle name="Explanatory Text 2" xfId="56" xr:uid="{00000000-0005-0000-0000-000037000000}"/>
    <cellStyle name="EY Narrative text" xfId="149" xr:uid="{00000000-0005-0000-0000-000038000000}"/>
    <cellStyle name="EY0dp" xfId="147" xr:uid="{00000000-0005-0000-0000-000039000000}"/>
    <cellStyle name="EY1dp" xfId="148" xr:uid="{00000000-0005-0000-0000-00003A000000}"/>
    <cellStyle name="EYChartTitle" xfId="142" xr:uid="{00000000-0005-0000-0000-00003B000000}"/>
    <cellStyle name="EYColumnHeading" xfId="145" xr:uid="{00000000-0005-0000-0000-00003C000000}"/>
    <cellStyle name="EYCurrency" xfId="144" xr:uid="{00000000-0005-0000-0000-00003D000000}"/>
    <cellStyle name="EYnumber" xfId="143" xr:uid="{00000000-0005-0000-0000-00003E000000}"/>
    <cellStyle name="EYSectionHeading" xfId="139" xr:uid="{00000000-0005-0000-0000-00003F000000}"/>
    <cellStyle name="EYSheetHeading" xfId="141" xr:uid="{00000000-0005-0000-0000-000040000000}"/>
    <cellStyle name="EYsmallheading" xfId="140" xr:uid="{00000000-0005-0000-0000-000041000000}"/>
    <cellStyle name="EYSource" xfId="150" xr:uid="{00000000-0005-0000-0000-000042000000}"/>
    <cellStyle name="EYtext" xfId="146" xr:uid="{00000000-0005-0000-0000-000043000000}"/>
    <cellStyle name="Good 2" xfId="57" xr:uid="{00000000-0005-0000-0000-000044000000}"/>
    <cellStyle name="Grey" xfId="58" xr:uid="{00000000-0005-0000-0000-000045000000}"/>
    <cellStyle name="Heading 1 2" xfId="59" xr:uid="{00000000-0005-0000-0000-000046000000}"/>
    <cellStyle name="Heading 2 2" xfId="60" xr:uid="{00000000-0005-0000-0000-000047000000}"/>
    <cellStyle name="Heading 3 2" xfId="61" xr:uid="{00000000-0005-0000-0000-000048000000}"/>
    <cellStyle name="Heading 4 2" xfId="62" xr:uid="{00000000-0005-0000-0000-000049000000}"/>
    <cellStyle name="Hyperlink" xfId="166" builtinId="8"/>
    <cellStyle name="Input [yellow]" xfId="64" xr:uid="{00000000-0005-0000-0000-00004B000000}"/>
    <cellStyle name="Input 2" xfId="63" xr:uid="{00000000-0005-0000-0000-00004C000000}"/>
    <cellStyle name="Linked Cell 2" xfId="65" xr:uid="{00000000-0005-0000-0000-00004D000000}"/>
    <cellStyle name="meny_33-34" xfId="66" xr:uid="{00000000-0005-0000-0000-00004E000000}"/>
    <cellStyle name="Milliers [0]_foxz" xfId="67" xr:uid="{00000000-0005-0000-0000-00004F000000}"/>
    <cellStyle name="Milliers_foxz" xfId="68" xr:uid="{00000000-0005-0000-0000-000050000000}"/>
    <cellStyle name="Monétaire [0]_foxz" xfId="69" xr:uid="{00000000-0005-0000-0000-000051000000}"/>
    <cellStyle name="Monétaire_foxz" xfId="70" xr:uid="{00000000-0005-0000-0000-000052000000}"/>
    <cellStyle name="Neutral 2" xfId="71" xr:uid="{00000000-0005-0000-0000-000053000000}"/>
    <cellStyle name="Normal" xfId="0" builtinId="0"/>
    <cellStyle name="Normal - Style1" xfId="72" xr:uid="{00000000-0005-0000-0000-000055000000}"/>
    <cellStyle name="Normal 2" xfId="151" xr:uid="{00000000-0005-0000-0000-000056000000}"/>
    <cellStyle name="Normal 2 2" xfId="153" xr:uid="{00000000-0005-0000-0000-000057000000}"/>
    <cellStyle name="Normal 3" xfId="152" xr:uid="{00000000-0005-0000-0000-000058000000}"/>
    <cellStyle name="Normal 4" xfId="154" xr:uid="{00000000-0005-0000-0000-000059000000}"/>
    <cellStyle name="Normal 5" xfId="4" xr:uid="{00000000-0005-0000-0000-00005A000000}"/>
    <cellStyle name="Normal_Project Accel Valuation v56" xfId="134" xr:uid="{00000000-0005-0000-0000-00005B000000}"/>
    <cellStyle name="normální_33-34" xfId="73" xr:uid="{00000000-0005-0000-0000-00005C000000}"/>
    <cellStyle name="Note 2" xfId="74" xr:uid="{00000000-0005-0000-0000-00005D000000}"/>
    <cellStyle name="Œ…‹æØ‚è [0.00]_laroux" xfId="75" xr:uid="{00000000-0005-0000-0000-00005E000000}"/>
    <cellStyle name="Œ…‹æØ‚è_laroux" xfId="76" xr:uid="{00000000-0005-0000-0000-00005F000000}"/>
    <cellStyle name="Output 2" xfId="77" xr:uid="{00000000-0005-0000-0000-000060000000}"/>
    <cellStyle name="Percent" xfId="2" builtinId="5"/>
    <cellStyle name="Percent [2]" xfId="79" xr:uid="{00000000-0005-0000-0000-000062000000}"/>
    <cellStyle name="Percent 2" xfId="156" xr:uid="{00000000-0005-0000-0000-000063000000}"/>
    <cellStyle name="Percent 3" xfId="78" xr:uid="{00000000-0005-0000-0000-000064000000}"/>
    <cellStyle name="Percent 5" xfId="80" xr:uid="{00000000-0005-0000-0000-000065000000}"/>
    <cellStyle name="Prozent 2" xfId="135" xr:uid="{00000000-0005-0000-0000-000066000000}"/>
    <cellStyle name="PSChar" xfId="81" xr:uid="{00000000-0005-0000-0000-000067000000}"/>
    <cellStyle name="PSDate" xfId="82" xr:uid="{00000000-0005-0000-0000-000068000000}"/>
    <cellStyle name="PSDec" xfId="83" xr:uid="{00000000-0005-0000-0000-000069000000}"/>
    <cellStyle name="PSHeading" xfId="84" xr:uid="{00000000-0005-0000-0000-00006A000000}"/>
    <cellStyle name="PSInt" xfId="85" xr:uid="{00000000-0005-0000-0000-00006B000000}"/>
    <cellStyle name="PSSpacer" xfId="86" xr:uid="{00000000-0005-0000-0000-00006C000000}"/>
    <cellStyle name="Revenue" xfId="87" xr:uid="{00000000-0005-0000-0000-00006D000000}"/>
    <cellStyle name="SAPBEXaggData" xfId="88" xr:uid="{00000000-0005-0000-0000-00006E000000}"/>
    <cellStyle name="SAPBEXaggDataEmph" xfId="89" xr:uid="{00000000-0005-0000-0000-00006F000000}"/>
    <cellStyle name="SAPBEXaggItem" xfId="90" xr:uid="{00000000-0005-0000-0000-000070000000}"/>
    <cellStyle name="SAPBEXaggItemX" xfId="91" xr:uid="{00000000-0005-0000-0000-000071000000}"/>
    <cellStyle name="SAPBEXchaText" xfId="92" xr:uid="{00000000-0005-0000-0000-000072000000}"/>
    <cellStyle name="SAPBEXexcBad7" xfId="93" xr:uid="{00000000-0005-0000-0000-000073000000}"/>
    <cellStyle name="SAPBEXexcBad8" xfId="94" xr:uid="{00000000-0005-0000-0000-000074000000}"/>
    <cellStyle name="SAPBEXexcBad9" xfId="95" xr:uid="{00000000-0005-0000-0000-000075000000}"/>
    <cellStyle name="SAPBEXexcCritical4" xfId="96" xr:uid="{00000000-0005-0000-0000-000076000000}"/>
    <cellStyle name="SAPBEXexcCritical5" xfId="97" xr:uid="{00000000-0005-0000-0000-000077000000}"/>
    <cellStyle name="SAPBEXexcCritical6" xfId="98" xr:uid="{00000000-0005-0000-0000-000078000000}"/>
    <cellStyle name="SAPBEXexcGood1" xfId="99" xr:uid="{00000000-0005-0000-0000-000079000000}"/>
    <cellStyle name="SAPBEXexcGood2" xfId="100" xr:uid="{00000000-0005-0000-0000-00007A000000}"/>
    <cellStyle name="SAPBEXexcGood3" xfId="101" xr:uid="{00000000-0005-0000-0000-00007B000000}"/>
    <cellStyle name="SAPBEXfilterDrill" xfId="102" xr:uid="{00000000-0005-0000-0000-00007C000000}"/>
    <cellStyle name="SAPBEXfilterItem" xfId="103" xr:uid="{00000000-0005-0000-0000-00007D000000}"/>
    <cellStyle name="SAPBEXfilterText" xfId="104" xr:uid="{00000000-0005-0000-0000-00007E000000}"/>
    <cellStyle name="SAPBEXformats" xfId="105" xr:uid="{00000000-0005-0000-0000-00007F000000}"/>
    <cellStyle name="SAPBEXheaderItem" xfId="106" xr:uid="{00000000-0005-0000-0000-000080000000}"/>
    <cellStyle name="SAPBEXheaderText" xfId="107" xr:uid="{00000000-0005-0000-0000-000081000000}"/>
    <cellStyle name="SAPBEXHLevel0" xfId="108" xr:uid="{00000000-0005-0000-0000-000082000000}"/>
    <cellStyle name="SAPBEXHLevel0X" xfId="109" xr:uid="{00000000-0005-0000-0000-000083000000}"/>
    <cellStyle name="SAPBEXHLevel1" xfId="110" xr:uid="{00000000-0005-0000-0000-000084000000}"/>
    <cellStyle name="SAPBEXHLevel1X" xfId="111" xr:uid="{00000000-0005-0000-0000-000085000000}"/>
    <cellStyle name="SAPBEXHLevel2" xfId="112" xr:uid="{00000000-0005-0000-0000-000086000000}"/>
    <cellStyle name="SAPBEXHLevel2X" xfId="113" xr:uid="{00000000-0005-0000-0000-000087000000}"/>
    <cellStyle name="SAPBEXHLevel3" xfId="114" xr:uid="{00000000-0005-0000-0000-000088000000}"/>
    <cellStyle name="SAPBEXHLevel3X" xfId="115" xr:uid="{00000000-0005-0000-0000-000089000000}"/>
    <cellStyle name="SAPBEXresData" xfId="116" xr:uid="{00000000-0005-0000-0000-00008A000000}"/>
    <cellStyle name="SAPBEXresDataEmph" xfId="117" xr:uid="{00000000-0005-0000-0000-00008B000000}"/>
    <cellStyle name="SAPBEXresItem" xfId="118" xr:uid="{00000000-0005-0000-0000-00008C000000}"/>
    <cellStyle name="SAPBEXresItemX" xfId="119" xr:uid="{00000000-0005-0000-0000-00008D000000}"/>
    <cellStyle name="SAPBEXstdData" xfId="120" xr:uid="{00000000-0005-0000-0000-00008E000000}"/>
    <cellStyle name="SAPBEXstdDataEmph" xfId="121" xr:uid="{00000000-0005-0000-0000-00008F000000}"/>
    <cellStyle name="SAPBEXstdItem" xfId="122" xr:uid="{00000000-0005-0000-0000-000090000000}"/>
    <cellStyle name="SAPBEXstdItemX" xfId="123" xr:uid="{00000000-0005-0000-0000-000091000000}"/>
    <cellStyle name="SAPBEXtitle" xfId="124" xr:uid="{00000000-0005-0000-0000-000092000000}"/>
    <cellStyle name="SAPBEXundefined" xfId="125" xr:uid="{00000000-0005-0000-0000-000093000000}"/>
    <cellStyle name="Smart Subtitle 1" xfId="1" xr:uid="{00000000-0005-0000-0000-000094000000}"/>
    <cellStyle name="Standard 2" xfId="132" xr:uid="{00000000-0005-0000-0000-000095000000}"/>
    <cellStyle name="Standard 3" xfId="137" xr:uid="{00000000-0005-0000-0000-000096000000}"/>
    <cellStyle name="Standard 4" xfId="157" xr:uid="{00000000-0005-0000-0000-000097000000}"/>
    <cellStyle name="Stil 1" xfId="131" xr:uid="{00000000-0005-0000-0000-000098000000}"/>
    <cellStyle name="Style 1" xfId="126" xr:uid="{00000000-0005-0000-0000-000099000000}"/>
    <cellStyle name="Tahoma:10:1" xfId="161" xr:uid="{00000000-0005-0000-0000-00009A000000}"/>
    <cellStyle name="Tahoma:10:129" xfId="162" xr:uid="{00000000-0005-0000-0000-00009B000000}"/>
    <cellStyle name="Tahoma:12:1" xfId="158" xr:uid="{00000000-0005-0000-0000-00009C000000}"/>
    <cellStyle name="Tahoma:12:129" xfId="163" xr:uid="{00000000-0005-0000-0000-00009D000000}"/>
    <cellStyle name="Tahoma:8:0" xfId="159" xr:uid="{00000000-0005-0000-0000-00009E000000}"/>
    <cellStyle name="Tahoma:8:1" xfId="160" xr:uid="{00000000-0005-0000-0000-00009F000000}"/>
    <cellStyle name="Tahoma:8:128" xfId="164" xr:uid="{00000000-0005-0000-0000-0000A0000000}"/>
    <cellStyle name="Tahoma:8:129" xfId="165" xr:uid="{00000000-0005-0000-0000-0000A1000000}"/>
    <cellStyle name="Title 2" xfId="127" xr:uid="{00000000-0005-0000-0000-0000A2000000}"/>
    <cellStyle name="Total 2" xfId="128" xr:uid="{00000000-0005-0000-0000-0000A3000000}"/>
    <cellStyle name="Total Row" xfId="129" xr:uid="{00000000-0005-0000-0000-0000A4000000}"/>
    <cellStyle name="TTS" xfId="138" xr:uid="{00000000-0005-0000-0000-0000A5000000}"/>
    <cellStyle name="Warning Text 2" xfId="130" xr:uid="{00000000-0005-0000-0000-0000A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6/relationships/vbaProject" Target="vbaProject.bin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&amp;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'Revenues&amp;Ebitda'!$B$4</c:f>
              <c:strCache>
                <c:ptCount val="1"/>
                <c:pt idx="0">
                  <c:v>Revenues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'Revenues&amp;Ebitda'!$C$3:$K$3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'Revenues&amp;Ebitda'!$C$4:$K$4</c:f>
              <c:numCache>
                <c:formatCode>General</c:formatCode>
                <c:ptCount val="9"/>
                <c:pt idx="0">
                  <c:v>177203</c:v>
                </c:pt>
                <c:pt idx="1">
                  <c:v>188618</c:v>
                </c:pt>
                <c:pt idx="2">
                  <c:v>208366</c:v>
                </c:pt>
                <c:pt idx="4">
                  <c:v>216700.64</c:v>
                </c:pt>
                <c:pt idx="5">
                  <c:v>225368.66560000004</c:v>
                </c:pt>
                <c:pt idx="6">
                  <c:v>234383.41222400006</c:v>
                </c:pt>
                <c:pt idx="7">
                  <c:v>243758.74871296008</c:v>
                </c:pt>
                <c:pt idx="8">
                  <c:v>253509.09866147849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55E-4158-8077-82FE822E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47688"/>
        <c:axId val="1408649736"/>
      </c:barChart>
      <c:lineChart>
        <c:grouping val="standard"/>
        <c:varyColors val="0"/>
        <c:ser>
          <c:idx val="1"/>
          <c:order val="1"/>
          <c:tx>
            <c:strRef>
              <c:f>'Revenues&amp;Ebitda'!$B$6</c:f>
              <c:strCache>
                <c:ptCount val="1"/>
                <c:pt idx="0">
                  <c:v>EBITDA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'Revenues&amp;Ebitda'!$C$3:$K$3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'Revenues&amp;Ebitda'!$C$6:$K$6</c:f>
              <c:numCache>
                <c:formatCode>0.0%</c:formatCode>
                <c:ptCount val="9"/>
                <c:pt idx="0">
                  <c:v>0.11465560590584409</c:v>
                </c:pt>
                <c:pt idx="1">
                  <c:v>0.11247036868167416</c:v>
                </c:pt>
                <c:pt idx="2">
                  <c:v>0.14186994795025576</c:v>
                </c:pt>
                <c:pt idx="4">
                  <c:v>0.10192889877944059</c:v>
                </c:pt>
                <c:pt idx="5">
                  <c:v>0.10147009498023128</c:v>
                </c:pt>
                <c:pt idx="6">
                  <c:v>0.10102893748099169</c:v>
                </c:pt>
                <c:pt idx="7">
                  <c:v>0.10060474757787663</c:v>
                </c:pt>
                <c:pt idx="8">
                  <c:v>0.10019687267103522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55E-4158-8077-82FE822E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65447"/>
        <c:axId val="949554183"/>
      </c:lineChart>
      <c:catAx>
        <c:axId val="14086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49736"/>
        <c:crosses val="autoZero"/>
        <c:auto val="1"/>
        <c:lblAlgn val="ctr"/>
        <c:lblOffset val="100"/>
        <c:noMultiLvlLbl val="0"/>
      </c:catAx>
      <c:valAx>
        <c:axId val="14086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47688"/>
        <c:crosses val="autoZero"/>
        <c:crossBetween val="between"/>
      </c:valAx>
      <c:valAx>
        <c:axId val="9495541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65447"/>
        <c:crosses val="max"/>
        <c:crossBetween val="between"/>
      </c:valAx>
      <c:catAx>
        <c:axId val="949565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554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'Cash flows'!$B$4</c:f>
              <c:strCache>
                <c:ptCount val="1"/>
                <c:pt idx="0">
                  <c:v>UFCF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'Cash flows'!$C$3:$G$3</c:f>
              <c:strCache>
                <c:ptCount val="5"/>
                <c:pt idx="0">
                  <c:v>FY25
Forecast </c:v>
                </c:pt>
                <c:pt idx="1">
                  <c:v>FY26
Forecast </c:v>
                </c:pt>
                <c:pt idx="2">
                  <c:v>FY27
Forecast </c:v>
                </c:pt>
                <c:pt idx="3">
                  <c:v>FY28
Forecast </c:v>
                </c:pt>
                <c:pt idx="4">
                  <c:v>FY29
Forecast </c:v>
                </c:pt>
              </c:strCache>
            </c:strRef>
          </c:cat>
          <c:val>
            <c:numRef>
              <c:f>'Cash flows'!$C$4:$G$4</c:f>
              <c:numCache>
                <c:formatCode>0</c:formatCode>
                <c:ptCount val="5"/>
                <c:pt idx="0">
                  <c:v>11550.056073053489</c:v>
                </c:pt>
                <c:pt idx="1">
                  <c:v>7785.5380519379978</c:v>
                </c:pt>
                <c:pt idx="2">
                  <c:v>8016.3075740155473</c:v>
                </c:pt>
                <c:pt idx="3">
                  <c:v>8256.307876976136</c:v>
                </c:pt>
                <c:pt idx="4">
                  <c:v>8505.9081920552126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1-452D-82DF-EAF99C224EDC}"/>
            </c:ext>
          </c:extLst>
        </c:ser>
        <c:ser>
          <c:idx val="1"/>
          <c:order val="1"/>
          <c:tx>
            <c:strRef>
              <c:f>'Cash flows'!$B$5</c:f>
              <c:strCache>
                <c:ptCount val="1"/>
                <c:pt idx="0">
                  <c:v>Present Value OF UFCF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'Cash flows'!$C$3:$G$3</c:f>
              <c:strCache>
                <c:ptCount val="5"/>
                <c:pt idx="0">
                  <c:v>FY25
Forecast </c:v>
                </c:pt>
                <c:pt idx="1">
                  <c:v>FY26
Forecast </c:v>
                </c:pt>
                <c:pt idx="2">
                  <c:v>FY27
Forecast </c:v>
                </c:pt>
                <c:pt idx="3">
                  <c:v>FY28
Forecast </c:v>
                </c:pt>
                <c:pt idx="4">
                  <c:v>FY29
Forecast </c:v>
                </c:pt>
              </c:strCache>
            </c:strRef>
          </c:cat>
          <c:val>
            <c:numRef>
              <c:f>'Cash flows'!$C$5:$G$5</c:f>
              <c:numCache>
                <c:formatCode>0</c:formatCode>
                <c:ptCount val="5"/>
                <c:pt idx="0">
                  <c:v>10500.050975503171</c:v>
                </c:pt>
                <c:pt idx="1">
                  <c:v>6434.3289685437994</c:v>
                </c:pt>
                <c:pt idx="2">
                  <c:v>6022.7705289372989</c:v>
                </c:pt>
                <c:pt idx="3">
                  <c:v>5639.1693716113205</c:v>
                </c:pt>
                <c:pt idx="4">
                  <c:v>5281.4997684306272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1-452D-82DF-EAF99C22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16008"/>
        <c:axId val="1402823176"/>
      </c:areaChart>
      <c:catAx>
        <c:axId val="140281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23176"/>
        <c:crosses val="autoZero"/>
        <c:auto val="1"/>
        <c:lblAlgn val="ctr"/>
        <c:lblOffset val="100"/>
        <c:noMultiLvlLbl val="0"/>
      </c:catAx>
      <c:valAx>
        <c:axId val="140282317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1600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'Ebitda bridge'!$F$3:$J$3</c:f>
              <c:strCache>
                <c:ptCount val="5"/>
                <c:pt idx="0">
                  <c:v>EBITDA of FY 24</c:v>
                </c:pt>
                <c:pt idx="1">
                  <c:v>Delta revenues</c:v>
                </c:pt>
                <c:pt idx="2">
                  <c:v>Delta COGS</c:v>
                </c:pt>
                <c:pt idx="3">
                  <c:v>Delta opex</c:v>
                </c:pt>
                <c:pt idx="4">
                  <c:v>EBITDA of FY 25</c:v>
                </c:pt>
              </c:strCache>
            </c:strRef>
          </c:cat>
          <c:val>
            <c:numRef>
              <c:f>'Ebitda bridge'!$F$4:$J$4</c:f>
              <c:numCache>
                <c:formatCode>0</c:formatCode>
                <c:ptCount val="5"/>
                <c:pt idx="0">
                  <c:v>29560.873574602992</c:v>
                </c:pt>
                <c:pt idx="1">
                  <c:v>8334.640000000014</c:v>
                </c:pt>
                <c:pt idx="2">
                  <c:v>-15837.393574603018</c:v>
                </c:pt>
                <c:pt idx="3">
                  <c:v>29.937600000008388</c:v>
                </c:pt>
                <c:pt idx="4">
                  <c:v>22088.057599999996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7-4CA2-86C7-80662AF2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561491976"/>
        <c:axId val="561494024"/>
      </c:barChart>
      <c:catAx>
        <c:axId val="56149197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94024"/>
        <c:crosses val="autoZero"/>
        <c:auto val="1"/>
        <c:lblAlgn val="ctr"/>
        <c:lblOffset val="100"/>
        <c:noMultiLvlLbl val="0"/>
      </c:catAx>
      <c:valAx>
        <c:axId val="56149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'Working capital'!$B$7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strRef>
              <c:f>'Working capital'!$C$3:$K$3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'Working capital'!$C$7:$K$7</c:f>
              <c:numCache>
                <c:formatCode>0</c:formatCode>
                <c:ptCount val="9"/>
                <c:pt idx="0">
                  <c:v>48159.600000000006</c:v>
                </c:pt>
                <c:pt idx="1">
                  <c:v>48601.200000000004</c:v>
                </c:pt>
                <c:pt idx="2">
                  <c:v>53604.000000000007</c:v>
                </c:pt>
                <c:pt idx="4">
                  <c:v>56354.917320660206</c:v>
                </c:pt>
                <c:pt idx="5">
                  <c:v>58609.114013486607</c:v>
                </c:pt>
                <c:pt idx="6">
                  <c:v>60953.47857402607</c:v>
                </c:pt>
                <c:pt idx="7">
                  <c:v>63391.617716987144</c:v>
                </c:pt>
                <c:pt idx="8">
                  <c:v>65927.282425666621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F4-4B3C-B105-7323A3E6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92904"/>
        <c:axId val="1900709896"/>
      </c:areaChart>
      <c:barChart>
        <c:barDir val="col"/>
        <c:grouping val="clustered"/>
        <c:varyColors val="0"/>
        <c:ser>
          <c:idx val="5"/>
          <c:order val="1"/>
          <c:tx>
            <c:strRef>
              <c:f>'Working capital'!$B$9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'Working capital'!$C$3:$K$3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'Working capital'!$C$9:$K$9</c:f>
              <c:numCache>
                <c:formatCode>0</c:formatCode>
                <c:ptCount val="9"/>
                <c:pt idx="0">
                  <c:v>66.805279820319072</c:v>
                </c:pt>
                <c:pt idx="1">
                  <c:v>73.588734903349632</c:v>
                </c:pt>
                <c:pt idx="2">
                  <c:v>75.297198199322338</c:v>
                </c:pt>
                <c:pt idx="4">
                  <c:v>75.297198199322338</c:v>
                </c:pt>
                <c:pt idx="5">
                  <c:v>75.297198199322338</c:v>
                </c:pt>
                <c:pt idx="6">
                  <c:v>75.297198199322338</c:v>
                </c:pt>
                <c:pt idx="7">
                  <c:v>75.297198199322338</c:v>
                </c:pt>
                <c:pt idx="8">
                  <c:v>75.297198199322338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F4-4B3C-B105-7323A3E6F5A6}"/>
            </c:ext>
          </c:extLst>
        </c:ser>
        <c:ser>
          <c:idx val="6"/>
          <c:order val="2"/>
          <c:tx>
            <c:strRef>
              <c:f>'Working capital'!$B$10</c:f>
              <c:strCache>
                <c:ptCount val="1"/>
                <c:pt idx="0">
                  <c:v>DIO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'Working capital'!$C$3:$K$3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'Working capital'!$C$10:$K$10</c:f>
              <c:numCache>
                <c:formatCode>0</c:formatCode>
                <c:ptCount val="9"/>
                <c:pt idx="0">
                  <c:v>78.796599890979181</c:v>
                </c:pt>
                <c:pt idx="1">
                  <c:v>87.020385727810066</c:v>
                </c:pt>
                <c:pt idx="2">
                  <c:v>105.61192646702818</c:v>
                </c:pt>
                <c:pt idx="4">
                  <c:v>105.61192646702818</c:v>
                </c:pt>
                <c:pt idx="5">
                  <c:v>105.61192646702818</c:v>
                </c:pt>
                <c:pt idx="6">
                  <c:v>105.61192646702818</c:v>
                </c:pt>
                <c:pt idx="7">
                  <c:v>105.61192646702818</c:v>
                </c:pt>
                <c:pt idx="8">
                  <c:v>105.61192646702818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F4-4B3C-B105-7323A3E6F5A6}"/>
            </c:ext>
          </c:extLst>
        </c:ser>
        <c:ser>
          <c:idx val="7"/>
          <c:order val="3"/>
          <c:tx>
            <c:strRef>
              <c:f>'Working capital'!$B$11</c:f>
              <c:strCache>
                <c:ptCount val="1"/>
                <c:pt idx="0">
                  <c:v>DPO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'Working capital'!$C$3:$K$3</c:f>
              <c:strCache>
                <c:ptCount val="9"/>
                <c:pt idx="0">
                  <c:v>FY22
Actual </c:v>
                </c:pt>
                <c:pt idx="1">
                  <c:v>FY23
Actual </c:v>
                </c:pt>
                <c:pt idx="2">
                  <c:v>FY24
Actual </c:v>
                </c:pt>
                <c:pt idx="4">
                  <c:v>FY25
Forecast </c:v>
                </c:pt>
                <c:pt idx="5">
                  <c:v>FY26
Forecast </c:v>
                </c:pt>
                <c:pt idx="6">
                  <c:v>FY27
Forecast </c:v>
                </c:pt>
                <c:pt idx="7">
                  <c:v>FY28
Forecast </c:v>
                </c:pt>
                <c:pt idx="8">
                  <c:v>FY29
Forecast </c:v>
                </c:pt>
              </c:strCache>
            </c:strRef>
          </c:cat>
          <c:val>
            <c:numRef>
              <c:f>'Working capital'!$C$11:$K$11</c:f>
              <c:numCache>
                <c:formatCode>0</c:formatCode>
                <c:ptCount val="9"/>
                <c:pt idx="0">
                  <c:v>40.175971155173656</c:v>
                </c:pt>
                <c:pt idx="1">
                  <c:v>63.003516697758023</c:v>
                </c:pt>
                <c:pt idx="2">
                  <c:v>82.706945686643365</c:v>
                </c:pt>
                <c:pt idx="4">
                  <c:v>82.706945686643365</c:v>
                </c:pt>
                <c:pt idx="5">
                  <c:v>82.706945686643365</c:v>
                </c:pt>
                <c:pt idx="6">
                  <c:v>82.706945686643365</c:v>
                </c:pt>
                <c:pt idx="7">
                  <c:v>82.706945686643365</c:v>
                </c:pt>
                <c:pt idx="8">
                  <c:v>82.706945686643365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F4-4B3C-B105-7323A3E6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222728"/>
        <c:axId val="730717704"/>
      </c:barChart>
      <c:catAx>
        <c:axId val="7122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7704"/>
        <c:crosses val="autoZero"/>
        <c:auto val="1"/>
        <c:lblAlgn val="ctr"/>
        <c:lblOffset val="100"/>
        <c:noMultiLvlLbl val="0"/>
      </c:catAx>
      <c:valAx>
        <c:axId val="730717704"/>
        <c:scaling>
          <c:orientation val="minMax"/>
          <c:max val="1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22728"/>
        <c:crosses val="autoZero"/>
        <c:crossBetween val="between"/>
        <c:majorUnit val="30"/>
      </c:valAx>
      <c:valAx>
        <c:axId val="1900709896"/>
        <c:scaling>
          <c:orientation val="minMax"/>
          <c:min val="3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92904"/>
        <c:crosses val="max"/>
        <c:crossBetween val="between"/>
      </c:valAx>
      <c:catAx>
        <c:axId val="106619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70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D-4E87-9721-632D628C8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D-4E87-9721-632D628C8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'DCF results'!$B$6:$B$7</c:f>
              <c:strCache>
                <c:ptCount val="2"/>
                <c:pt idx="0">
                  <c:v>CFs in Forecast period</c:v>
                </c:pt>
                <c:pt idx="1">
                  <c:v>Continuing value</c:v>
                </c:pt>
              </c:strCache>
            </c:strRef>
          </c:cat>
          <c:val>
            <c:numRef>
              <c:f>'DCF results'!$C$6:$C$7</c:f>
              <c:numCache>
                <c:formatCode>0.00%</c:formatCode>
                <c:ptCount val="2"/>
                <c:pt idx="0">
                  <c:v>0.30099999999999999</c:v>
                </c:pt>
                <c:pt idx="1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8-4AF0-81BC-F0D4E466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7</xdr:row>
      <xdr:rowOff>76200</xdr:rowOff>
    </xdr:from>
    <xdr:to>
      <xdr:col>12</xdr:col>
      <xdr:colOff>504825</xdr:colOff>
      <xdr:row>26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52CB-2C01-9D5D-C091-B7FA6DA6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990600</xdr:colOff>
      <xdr:row>9</xdr:row>
      <xdr:rowOff>57150</xdr:rowOff>
    </xdr:from>
    <xdr:to>
      <xdr:col>3</xdr:col>
      <xdr:colOff>152400</xdr:colOff>
      <xdr:row>10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A3F7C4-8682-38A3-E9F3-D6722BC5EAED}"/>
            </a:ext>
            <a:ext uri="{147F2762-F138-4A5C-976F-8EAC2B608ADB}">
              <a16:predDERef xmlns:a16="http://schemas.microsoft.com/office/drawing/2014/main" pred="{F5EE52CB-2C01-9D5D-C091-B7FA6DA6DF43}"/>
            </a:ext>
          </a:extLst>
        </xdr:cNvPr>
        <xdr:cNvSpPr txBox="1"/>
      </xdr:nvSpPr>
      <xdr:spPr>
        <a:xfrm>
          <a:off x="1123950" y="1647825"/>
          <a:ext cx="1333500" cy="1905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0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Historical Figures</a:t>
          </a:r>
        </a:p>
      </xdr:txBody>
    </xdr:sp>
    <xdr:clientData/>
  </xdr:twoCellAnchor>
  <xdr:twoCellAnchor>
    <xdr:from>
      <xdr:col>8</xdr:col>
      <xdr:colOff>476250</xdr:colOff>
      <xdr:row>9</xdr:row>
      <xdr:rowOff>66675</xdr:rowOff>
    </xdr:from>
    <xdr:to>
      <xdr:col>10</xdr:col>
      <xdr:colOff>590550</xdr:colOff>
      <xdr:row>10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C26B5C-5B23-45EA-8A24-0C87EA32AE16}"/>
            </a:ext>
            <a:ext uri="{147F2762-F138-4A5C-976F-8EAC2B608ADB}">
              <a16:predDERef xmlns:a16="http://schemas.microsoft.com/office/drawing/2014/main" pred="{DAA3F7C4-8682-38A3-E9F3-D6722BC5EAED}"/>
            </a:ext>
          </a:extLst>
        </xdr:cNvPr>
        <xdr:cNvSpPr txBox="1"/>
      </xdr:nvSpPr>
      <xdr:spPr>
        <a:xfrm>
          <a:off x="5343525" y="1657350"/>
          <a:ext cx="1333500" cy="1905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Forecast Figures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114300</xdr:rowOff>
    </xdr:from>
    <xdr:to>
      <xdr:col>9</xdr:col>
      <xdr:colOff>476250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343DA-6892-6B0E-4B9B-09697240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47625</xdr:rowOff>
    </xdr:from>
    <xdr:to>
      <xdr:col>10</xdr:col>
      <xdr:colOff>504825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4584D-3DEB-B1BC-730B-AE1C077D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66675</xdr:rowOff>
    </xdr:from>
    <xdr:to>
      <xdr:col>13</xdr:col>
      <xdr:colOff>114300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4D8A1-4C9B-62E4-048C-3ACCC644BCE2}"/>
            </a:ext>
            <a:ext uri="{147F2762-F138-4A5C-976F-8EAC2B608ADB}">
              <a16:predDERef xmlns:a16="http://schemas.microsoft.com/office/drawing/2014/main" pred="{75028CB2-4A6A-E266-4523-2C05928F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9</xdr:row>
      <xdr:rowOff>0</xdr:rowOff>
    </xdr:from>
    <xdr:to>
      <xdr:col>8</xdr:col>
      <xdr:colOff>180975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4602A-CE9E-A319-8E0A-902E545C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1:F21"/>
  <sheetViews>
    <sheetView tabSelected="1" zoomScale="130" zoomScaleNormal="130" workbookViewId="0">
      <pane xSplit="3" ySplit="4" topLeftCell="D5" activePane="bottomRight" state="frozen"/>
      <selection pane="bottomRight" activeCell="F18" sqref="F18"/>
      <selection pane="bottomLeft" activeCell="A5" sqref="A5"/>
      <selection pane="topRight" activeCell="D1" sqref="D1"/>
    </sheetView>
  </sheetViews>
  <sheetFormatPr defaultColWidth="9.140625" defaultRowHeight="11.45"/>
  <cols>
    <col min="1" max="1" width="2" style="1" customWidth="1"/>
    <col min="2" max="2" width="10" style="1" customWidth="1"/>
    <col min="3" max="3" width="26" style="1" customWidth="1"/>
    <col min="4" max="16384" width="9.140625" style="1"/>
  </cols>
  <sheetData>
    <row r="1" spans="2:6" ht="15.75">
      <c r="B1" s="82" t="s">
        <v>0</v>
      </c>
    </row>
    <row r="2" spans="2:6" ht="12">
      <c r="B2" s="83" t="s">
        <v>1</v>
      </c>
    </row>
    <row r="4" spans="2:6" ht="12.75">
      <c r="B4" s="86" t="s">
        <v>2</v>
      </c>
      <c r="C4" s="86" t="s">
        <v>3</v>
      </c>
    </row>
    <row r="5" spans="2:6" ht="12">
      <c r="B5" s="85">
        <v>1</v>
      </c>
      <c r="C5" s="84" t="s">
        <v>4</v>
      </c>
    </row>
    <row r="6" spans="2:6" ht="12">
      <c r="B6" s="21">
        <f>B5+1</f>
        <v>2</v>
      </c>
      <c r="C6" s="87" t="s">
        <v>5</v>
      </c>
    </row>
    <row r="7" spans="2:6" ht="12">
      <c r="B7" s="21">
        <f t="shared" ref="B7:B21" si="0">B6+1</f>
        <v>3</v>
      </c>
      <c r="C7" s="87" t="s">
        <v>6</v>
      </c>
    </row>
    <row r="8" spans="2:6" ht="12">
      <c r="B8" s="85">
        <f t="shared" si="0"/>
        <v>4</v>
      </c>
      <c r="C8" s="84" t="s">
        <v>7</v>
      </c>
      <c r="F8" s="147"/>
    </row>
    <row r="9" spans="2:6" ht="12">
      <c r="B9" s="21">
        <f t="shared" si="0"/>
        <v>5</v>
      </c>
      <c r="C9" s="87" t="s">
        <v>8</v>
      </c>
    </row>
    <row r="10" spans="2:6" ht="12">
      <c r="B10" s="21">
        <f t="shared" si="0"/>
        <v>6</v>
      </c>
      <c r="C10" s="87" t="s">
        <v>9</v>
      </c>
    </row>
    <row r="11" spans="2:6" ht="12">
      <c r="B11" s="88">
        <f t="shared" si="0"/>
        <v>7</v>
      </c>
      <c r="C11" s="87" t="s">
        <v>10</v>
      </c>
    </row>
    <row r="12" spans="2:6" ht="12">
      <c r="B12" s="88">
        <f t="shared" si="0"/>
        <v>8</v>
      </c>
      <c r="C12" s="87" t="s">
        <v>11</v>
      </c>
    </row>
    <row r="13" spans="2:6" ht="12">
      <c r="B13" s="85">
        <f t="shared" si="0"/>
        <v>9</v>
      </c>
      <c r="C13" s="84" t="s">
        <v>12</v>
      </c>
    </row>
    <row r="14" spans="2:6" ht="12">
      <c r="B14" s="88">
        <f t="shared" si="0"/>
        <v>10</v>
      </c>
      <c r="C14" s="87" t="s">
        <v>13</v>
      </c>
    </row>
    <row r="15" spans="2:6" ht="12">
      <c r="B15" s="88">
        <f t="shared" si="0"/>
        <v>11</v>
      </c>
      <c r="C15" s="87" t="s">
        <v>14</v>
      </c>
    </row>
    <row r="16" spans="2:6" ht="12">
      <c r="B16" s="88">
        <f t="shared" si="0"/>
        <v>12</v>
      </c>
      <c r="C16" s="87" t="s">
        <v>15</v>
      </c>
    </row>
    <row r="17" spans="2:3" ht="12">
      <c r="B17" s="88">
        <f t="shared" si="0"/>
        <v>13</v>
      </c>
      <c r="C17" s="87" t="s">
        <v>16</v>
      </c>
    </row>
    <row r="18" spans="2:3" ht="12">
      <c r="B18" s="88">
        <f t="shared" si="0"/>
        <v>14</v>
      </c>
      <c r="C18" s="87" t="s">
        <v>17</v>
      </c>
    </row>
    <row r="19" spans="2:3" ht="12">
      <c r="B19" s="85">
        <f t="shared" si="0"/>
        <v>15</v>
      </c>
      <c r="C19" s="84" t="s">
        <v>18</v>
      </c>
    </row>
    <row r="20" spans="2:3" ht="12">
      <c r="B20" s="88">
        <f t="shared" si="0"/>
        <v>16</v>
      </c>
      <c r="C20" s="87" t="s">
        <v>19</v>
      </c>
    </row>
    <row r="21" spans="2:3" ht="12">
      <c r="B21" s="88">
        <f t="shared" si="0"/>
        <v>17</v>
      </c>
      <c r="C21" s="87" t="s">
        <v>20</v>
      </c>
    </row>
  </sheetData>
  <hyperlinks>
    <hyperlink ref="C6" location="'P&amp;L assumptions'!A1" display="P&amp;L assumptions" xr:uid="{00000000-0004-0000-0000-000000000000}"/>
    <hyperlink ref="C7" location="'BS assumptions'!A1" display="BS assumptions" xr:uid="{00000000-0004-0000-0000-000001000000}"/>
    <hyperlink ref="C9" location="'P&amp;L'!A1" display="P&amp;L" xr:uid="{00000000-0004-0000-0000-000002000000}"/>
    <hyperlink ref="C10" location="BS!A1" display="BS" xr:uid="{00000000-0004-0000-0000-000003000000}"/>
    <hyperlink ref="C11" location="'Cash Flow'!A1" display="Cash Flow" xr:uid="{00000000-0004-0000-0000-000004000000}"/>
    <hyperlink ref="C12" location="'DCF valuation'!A1" display="DCF valuation" xr:uid="{00000000-0004-0000-0000-000005000000}"/>
    <hyperlink ref="C14" location="'Revenues&amp;Ebitda'!A1" display="Revenue&amp;Ebitda" xr:uid="{00000000-0004-0000-0000-000006000000}"/>
    <hyperlink ref="C15" location="'Cash flows'!A1" display="Cash flows" xr:uid="{00000000-0004-0000-0000-000007000000}"/>
    <hyperlink ref="C16" location="'Ebitda bridge'!A1" display="Ebitda bridge" xr:uid="{00000000-0004-0000-0000-000008000000}"/>
    <hyperlink ref="C17" location="'Working capital'!A1" display="Working capital" xr:uid="{00000000-0004-0000-0000-000009000000}"/>
    <hyperlink ref="C18" location="'DCF results'!A1" display="DCF results" xr:uid="{00000000-0004-0000-0000-00000A000000}"/>
    <hyperlink ref="C20" location="'P&amp;L source'!A1" display="P&amp;L source" xr:uid="{00000000-0004-0000-0000-00000B000000}"/>
    <hyperlink ref="C21" location="'BS source'!A1" display="BS source" xr:uid="{00000000-0004-0000-0000-00000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B1:B11"/>
  <sheetViews>
    <sheetView zoomScale="130" zoomScaleNormal="130" workbookViewId="0">
      <selection activeCell="A11" sqref="A11:XFD11"/>
    </sheetView>
  </sheetViews>
  <sheetFormatPr defaultColWidth="9.140625" defaultRowHeight="11.45"/>
  <cols>
    <col min="1" max="1" width="2" style="1" customWidth="1"/>
    <col min="2" max="16384" width="9.140625" style="1"/>
  </cols>
  <sheetData>
    <row r="1" spans="2:2" ht="15.6">
      <c r="B1" s="2"/>
    </row>
    <row r="11" spans="2:2" s="90" customFormat="1" ht="41.25">
      <c r="B11" s="89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"/>
  <sheetViews>
    <sheetView zoomScale="130" zoomScaleNormal="130" workbookViewId="0">
      <selection activeCell="G3" sqref="G3:K3"/>
    </sheetView>
  </sheetViews>
  <sheetFormatPr defaultColWidth="9.140625" defaultRowHeight="11.45"/>
  <cols>
    <col min="1" max="1" width="2" style="1" customWidth="1"/>
    <col min="2" max="2" width="23.42578125" style="1" bestFit="1" customWidth="1"/>
    <col min="3" max="5" width="9.140625" style="1"/>
    <col min="6" max="6" width="1.85546875" style="1" customWidth="1"/>
    <col min="7" max="16384" width="9.140625" style="1"/>
  </cols>
  <sheetData>
    <row r="1" spans="1:13" ht="15.75">
      <c r="B1" s="140" t="s">
        <v>132</v>
      </c>
    </row>
    <row r="2" spans="1:13" ht="12"/>
    <row r="3" spans="1:13" s="90" customFormat="1" ht="21.75">
      <c r="A3" s="92"/>
      <c r="B3" s="97" t="s">
        <v>29</v>
      </c>
      <c r="C3" s="98" t="s">
        <v>30</v>
      </c>
      <c r="D3" s="98" t="s">
        <v>31</v>
      </c>
      <c r="E3" s="98" t="s">
        <v>32</v>
      </c>
      <c r="F3" s="94"/>
      <c r="G3" s="99" t="s">
        <v>33</v>
      </c>
      <c r="H3" s="99" t="s">
        <v>34</v>
      </c>
      <c r="I3" s="99" t="s">
        <v>35</v>
      </c>
      <c r="J3" s="99" t="s">
        <v>36</v>
      </c>
      <c r="K3" s="99" t="s">
        <v>37</v>
      </c>
      <c r="L3" s="92"/>
      <c r="M3" s="108"/>
    </row>
    <row r="4" spans="1:13" ht="12">
      <c r="B4" s="1" t="s">
        <v>133</v>
      </c>
      <c r="C4" s="1">
        <f>'P&amp;L'!C4</f>
        <v>177203</v>
      </c>
      <c r="D4" s="1">
        <f>'P&amp;L'!D4</f>
        <v>188618</v>
      </c>
      <c r="E4" s="1">
        <f>'P&amp;L'!E4</f>
        <v>208366</v>
      </c>
      <c r="G4" s="1">
        <f>'P&amp;L'!G4</f>
        <v>216700.64</v>
      </c>
      <c r="H4" s="1">
        <f>'P&amp;L'!H4</f>
        <v>225368.66560000004</v>
      </c>
      <c r="I4" s="1">
        <f>'P&amp;L'!I4</f>
        <v>234383.41222400006</v>
      </c>
      <c r="J4" s="1">
        <f>'P&amp;L'!J4</f>
        <v>243758.74871296008</v>
      </c>
      <c r="K4" s="1">
        <f>'P&amp;L'!K4</f>
        <v>253509.09866147849</v>
      </c>
      <c r="M4" s="1">
        <f>G5/G4</f>
        <v>0.10192889877944059</v>
      </c>
    </row>
    <row r="5" spans="1:13" ht="15">
      <c r="B5" s="50" t="s">
        <v>71</v>
      </c>
      <c r="C5" s="68">
        <f>'P&amp;L'!C11</f>
        <v>20317.317333333289</v>
      </c>
      <c r="D5" s="68">
        <f>'P&amp;L'!D11</f>
        <v>21213.936000000016</v>
      </c>
      <c r="E5" s="68">
        <f>'P&amp;L'!E11</f>
        <v>29560.873574602992</v>
      </c>
      <c r="F5" s="68"/>
      <c r="G5" s="68">
        <f>'P&amp;L'!G11</f>
        <v>22088.057599999996</v>
      </c>
      <c r="H5" s="68">
        <f>'P&amp;L'!H11</f>
        <v>22868.179903999986</v>
      </c>
      <c r="I5" s="68">
        <f>'P&amp;L'!I11</f>
        <v>23679.507100160004</v>
      </c>
      <c r="J5" s="68">
        <f>'P&amp;L'!J11</f>
        <v>24523.287384166408</v>
      </c>
      <c r="K5" s="68">
        <f>'P&amp;L'!K11</f>
        <v>25400.818879533064</v>
      </c>
      <c r="M5" s="1">
        <f>K5/K4</f>
        <v>0.10019687267103522</v>
      </c>
    </row>
    <row r="6" spans="1:13" ht="15">
      <c r="B6" s="50" t="s">
        <v>134</v>
      </c>
      <c r="C6" s="51">
        <f>C5/C4</f>
        <v>0.11465560590584409</v>
      </c>
      <c r="D6" s="51">
        <f t="shared" ref="D6:K6" si="0">D5/D4</f>
        <v>0.11247036868167416</v>
      </c>
      <c r="E6" s="51">
        <f t="shared" si="0"/>
        <v>0.14186994795025576</v>
      </c>
      <c r="F6" s="51"/>
      <c r="G6" s="51">
        <f>G5/G4</f>
        <v>0.10192889877944059</v>
      </c>
      <c r="H6" s="51">
        <f t="shared" si="0"/>
        <v>0.10147009498023128</v>
      </c>
      <c r="I6" s="51">
        <f t="shared" si="0"/>
        <v>0.10102893748099169</v>
      </c>
      <c r="J6" s="51">
        <f t="shared" si="0"/>
        <v>0.10060474757787663</v>
      </c>
      <c r="K6" s="51">
        <f t="shared" si="0"/>
        <v>0.10019687267103522</v>
      </c>
    </row>
    <row r="7" spans="1:13" ht="12">
      <c r="C7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5"/>
  <sheetViews>
    <sheetView zoomScale="130" zoomScaleNormal="130" workbookViewId="0">
      <selection activeCell="M13" sqref="M13"/>
    </sheetView>
  </sheetViews>
  <sheetFormatPr defaultColWidth="9.140625" defaultRowHeight="11.45"/>
  <cols>
    <col min="1" max="1" width="2" style="1" customWidth="1"/>
    <col min="2" max="2" width="19.5703125" style="1" bestFit="1" customWidth="1"/>
    <col min="3" max="5" width="9.140625" style="1"/>
    <col min="6" max="6" width="8.85546875" style="1" customWidth="1"/>
    <col min="7" max="16384" width="9.140625" style="1"/>
  </cols>
  <sheetData>
    <row r="1" spans="2:7" ht="15.75">
      <c r="B1" s="140" t="s">
        <v>14</v>
      </c>
    </row>
    <row r="2" spans="2:7" ht="12"/>
    <row r="3" spans="2:7" s="90" customFormat="1" ht="26.25" customHeight="1">
      <c r="B3" s="97" t="s">
        <v>29</v>
      </c>
      <c r="C3" s="99" t="s">
        <v>33</v>
      </c>
      <c r="D3" s="99" t="s">
        <v>34</v>
      </c>
      <c r="E3" s="99" t="s">
        <v>35</v>
      </c>
      <c r="F3" s="99" t="s">
        <v>36</v>
      </c>
      <c r="G3" s="99" t="s">
        <v>37</v>
      </c>
    </row>
    <row r="4" spans="2:7" ht="12">
      <c r="B4" s="1" t="s">
        <v>110</v>
      </c>
      <c r="C4" s="68">
        <f>'DCF valuation'!G8</f>
        <v>11550.056073053489</v>
      </c>
      <c r="D4" s="68">
        <f>'DCF valuation'!H8</f>
        <v>7785.5380519379978</v>
      </c>
      <c r="E4" s="68">
        <f>'DCF valuation'!I8</f>
        <v>8016.3075740155473</v>
      </c>
      <c r="F4" s="68">
        <f>'DCF valuation'!J8</f>
        <v>8256.307876976136</v>
      </c>
      <c r="G4" s="68">
        <f>'DCF valuation'!K8</f>
        <v>8505.9081920552126</v>
      </c>
    </row>
    <row r="5" spans="2:7">
      <c r="B5" s="1" t="s">
        <v>135</v>
      </c>
      <c r="C5" s="68">
        <f>'DCF valuation'!G11</f>
        <v>10500.050975503171</v>
      </c>
      <c r="D5" s="68">
        <f>'DCF valuation'!H11</f>
        <v>6434.3289685437994</v>
      </c>
      <c r="E5" s="68">
        <f>'DCF valuation'!I11</f>
        <v>6022.7705289372989</v>
      </c>
      <c r="F5" s="68">
        <f>'DCF valuation'!J11</f>
        <v>5639.1693716113205</v>
      </c>
      <c r="G5" s="68">
        <f>'DCF valuation'!K11</f>
        <v>5281.4997684306272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7"/>
  <sheetViews>
    <sheetView zoomScale="130" zoomScaleNormal="130" workbookViewId="0">
      <selection activeCell="M15" sqref="M15"/>
    </sheetView>
  </sheetViews>
  <sheetFormatPr defaultColWidth="9.140625" defaultRowHeight="11.45"/>
  <cols>
    <col min="1" max="1" width="2" style="1" customWidth="1"/>
    <col min="2" max="2" width="15.7109375" style="1" bestFit="1" customWidth="1"/>
    <col min="3" max="3" width="11" style="1" customWidth="1"/>
    <col min="4" max="5" width="9.140625" style="1"/>
    <col min="6" max="6" width="14.140625" style="1" customWidth="1"/>
    <col min="7" max="7" width="13.7109375" style="1" customWidth="1"/>
    <col min="8" max="8" width="13.42578125" style="1" customWidth="1"/>
    <col min="9" max="9" width="10.85546875" style="1" customWidth="1"/>
    <col min="10" max="10" width="14" style="1" bestFit="1" customWidth="1"/>
    <col min="11" max="16384" width="9.140625" style="1"/>
  </cols>
  <sheetData>
    <row r="1" spans="2:11" ht="15.75">
      <c r="B1" s="140" t="s">
        <v>15</v>
      </c>
    </row>
    <row r="2" spans="2:11" ht="12">
      <c r="E2" s="69"/>
      <c r="F2" s="71"/>
      <c r="G2" s="72"/>
      <c r="H2" s="72"/>
      <c r="I2" s="72"/>
      <c r="J2" s="73"/>
      <c r="K2" s="69"/>
    </row>
    <row r="3" spans="2:11" ht="12">
      <c r="B3" s="1" t="s">
        <v>136</v>
      </c>
      <c r="C3" s="68">
        <f>'P&amp;L'!E11</f>
        <v>29560.873574602992</v>
      </c>
      <c r="E3" s="69"/>
      <c r="F3" s="74" t="s">
        <v>136</v>
      </c>
      <c r="G3" s="69" t="s">
        <v>137</v>
      </c>
      <c r="H3" s="69" t="s">
        <v>138</v>
      </c>
      <c r="I3" s="69" t="s">
        <v>139</v>
      </c>
      <c r="J3" s="75" t="s">
        <v>140</v>
      </c>
      <c r="K3" s="69"/>
    </row>
    <row r="4" spans="2:11" ht="12">
      <c r="B4" s="1" t="s">
        <v>137</v>
      </c>
      <c r="C4" s="68">
        <f>'P&amp;L'!G4-'P&amp;L'!E4</f>
        <v>8334.640000000014</v>
      </c>
      <c r="E4" s="69"/>
      <c r="F4" s="76">
        <f>C3</f>
        <v>29560.873574602992</v>
      </c>
      <c r="G4" s="70">
        <f>C4</f>
        <v>8334.640000000014</v>
      </c>
      <c r="H4" s="70">
        <f>C5</f>
        <v>-15837.393574603018</v>
      </c>
      <c r="I4" s="70">
        <f>C6</f>
        <v>29.937600000008388</v>
      </c>
      <c r="J4" s="77">
        <f>C7</f>
        <v>22088.057599999996</v>
      </c>
      <c r="K4" s="69"/>
    </row>
    <row r="5" spans="2:11" ht="12">
      <c r="B5" s="1" t="s">
        <v>138</v>
      </c>
      <c r="C5" s="68">
        <f>'P&amp;L'!G7-'P&amp;L'!E7</f>
        <v>-15837.393574603018</v>
      </c>
      <c r="E5" s="69"/>
      <c r="F5" s="78"/>
      <c r="G5" s="79"/>
      <c r="H5" s="79"/>
      <c r="I5" s="79"/>
      <c r="J5" s="80"/>
      <c r="K5" s="69"/>
    </row>
    <row r="6" spans="2:11" ht="12">
      <c r="B6" s="1" t="s">
        <v>139</v>
      </c>
      <c r="C6" s="68">
        <f>'P&amp;L'!G10-'P&amp;L'!E10</f>
        <v>29.937600000008388</v>
      </c>
    </row>
    <row r="7" spans="2:11">
      <c r="B7" s="1" t="s">
        <v>140</v>
      </c>
      <c r="C7" s="68">
        <f>'P&amp;L'!G11</f>
        <v>22088.057599999996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1"/>
  <sheetViews>
    <sheetView zoomScale="130" zoomScaleNormal="130" workbookViewId="0">
      <selection activeCell="Q13" sqref="Q13"/>
    </sheetView>
  </sheetViews>
  <sheetFormatPr defaultColWidth="9.140625" defaultRowHeight="11.45"/>
  <cols>
    <col min="1" max="1" width="2" style="1" customWidth="1"/>
    <col min="2" max="2" width="18.140625" style="1" bestFit="1" customWidth="1"/>
    <col min="3" max="5" width="9.140625" style="1"/>
    <col min="6" max="6" width="1.42578125" style="1" customWidth="1"/>
    <col min="7" max="16384" width="9.140625" style="1"/>
  </cols>
  <sheetData>
    <row r="1" spans="1:13" ht="15.75">
      <c r="B1" s="140" t="s">
        <v>16</v>
      </c>
    </row>
    <row r="2" spans="1:13" ht="12"/>
    <row r="3" spans="1:13" s="90" customFormat="1" ht="21.75">
      <c r="A3" s="92"/>
      <c r="B3" s="97" t="s">
        <v>29</v>
      </c>
      <c r="C3" s="98" t="s">
        <v>30</v>
      </c>
      <c r="D3" s="98" t="s">
        <v>31</v>
      </c>
      <c r="E3" s="98" t="s">
        <v>32</v>
      </c>
      <c r="F3" s="93"/>
      <c r="G3" s="99" t="s">
        <v>33</v>
      </c>
      <c r="H3" s="99" t="s">
        <v>34</v>
      </c>
      <c r="I3" s="99" t="s">
        <v>35</v>
      </c>
      <c r="J3" s="99" t="s">
        <v>36</v>
      </c>
      <c r="K3" s="99" t="s">
        <v>37</v>
      </c>
      <c r="L3" s="92"/>
      <c r="M3" s="108"/>
    </row>
    <row r="4" spans="1:13" ht="12">
      <c r="B4" s="1" t="s">
        <v>59</v>
      </c>
      <c r="C4" s="68">
        <f>BS!C8</f>
        <v>31167.200000000001</v>
      </c>
      <c r="D4" s="68">
        <f>BS!D8</f>
        <v>36396.800000000003</v>
      </c>
      <c r="E4" s="68">
        <f>BS!E8</f>
        <v>46212</v>
      </c>
      <c r="F4" s="68"/>
      <c r="G4" s="68">
        <f>BS!G8</f>
        <v>50858.160126750998</v>
      </c>
      <c r="H4" s="68">
        <f>BS!H8</f>
        <v>52892.48653182105</v>
      </c>
      <c r="I4" s="68">
        <f>BS!I8</f>
        <v>55008.185993093881</v>
      </c>
      <c r="J4" s="68">
        <f>BS!J8</f>
        <v>57208.51343281765</v>
      </c>
      <c r="K4" s="68">
        <f>BS!K8</f>
        <v>59496.85397013036</v>
      </c>
    </row>
    <row r="5" spans="1:13">
      <c r="B5" s="1" t="s">
        <v>141</v>
      </c>
      <c r="C5" s="68">
        <f>BS!C9</f>
        <v>32883.599999999999</v>
      </c>
      <c r="D5" s="68">
        <f>BS!D9</f>
        <v>38556</v>
      </c>
      <c r="E5" s="68">
        <f>BS!E9</f>
        <v>43581.599999999999</v>
      </c>
      <c r="F5" s="68"/>
      <c r="G5" s="68">
        <f>BS!G9</f>
        <v>45324.863999999994</v>
      </c>
      <c r="H5" s="68">
        <f>BS!H9</f>
        <v>47137.858560000001</v>
      </c>
      <c r="I5" s="68">
        <f>BS!I9</f>
        <v>49023.372902400006</v>
      </c>
      <c r="J5" s="68">
        <f>BS!J9</f>
        <v>50984.30781849601</v>
      </c>
      <c r="K5" s="68">
        <f>BS!K9</f>
        <v>53023.680131235851</v>
      </c>
    </row>
    <row r="6" spans="1:13">
      <c r="B6" s="1" t="s">
        <v>142</v>
      </c>
      <c r="C6" s="68">
        <f>BS!C16</f>
        <v>15891.2</v>
      </c>
      <c r="D6" s="68">
        <f>BS!D16</f>
        <v>26351.599999999999</v>
      </c>
      <c r="E6" s="68">
        <f>BS!E16</f>
        <v>36189.599999999999</v>
      </c>
      <c r="F6" s="68"/>
      <c r="G6" s="68">
        <f>BS!G16</f>
        <v>39828.106806090793</v>
      </c>
      <c r="H6" s="68">
        <f>BS!H16</f>
        <v>41421.231078334436</v>
      </c>
      <c r="I6" s="68">
        <f>BS!I16</f>
        <v>43078.080321467816</v>
      </c>
      <c r="J6" s="68">
        <f>BS!J16</f>
        <v>44801.203534326523</v>
      </c>
      <c r="K6" s="68">
        <f>BS!K16</f>
        <v>46593.25167569959</v>
      </c>
    </row>
    <row r="7" spans="1:13" s="90" customFormat="1" ht="12.75">
      <c r="B7" s="141" t="s">
        <v>16</v>
      </c>
      <c r="C7" s="142">
        <f>C4+C5-C6</f>
        <v>48159.600000000006</v>
      </c>
      <c r="D7" s="142">
        <f t="shared" ref="D7:K7" si="0">D4+D5-D6</f>
        <v>48601.200000000004</v>
      </c>
      <c r="E7" s="142">
        <f t="shared" si="0"/>
        <v>53604.000000000007</v>
      </c>
      <c r="F7" s="142"/>
      <c r="G7" s="142">
        <f t="shared" si="0"/>
        <v>56354.917320660206</v>
      </c>
      <c r="H7" s="142">
        <f t="shared" si="0"/>
        <v>58609.114013486607</v>
      </c>
      <c r="I7" s="142">
        <f t="shared" si="0"/>
        <v>60953.47857402607</v>
      </c>
      <c r="J7" s="142">
        <f t="shared" si="0"/>
        <v>63391.617716987144</v>
      </c>
      <c r="K7" s="142">
        <f t="shared" si="0"/>
        <v>65927.282425666621</v>
      </c>
    </row>
    <row r="9" spans="1:13">
      <c r="B9" s="1" t="s">
        <v>143</v>
      </c>
      <c r="C9" s="68">
        <f>'BS assumptions'!C6</f>
        <v>66.805279820319072</v>
      </c>
      <c r="D9" s="68">
        <f>'BS assumptions'!D6</f>
        <v>73.588734903349632</v>
      </c>
      <c r="E9" s="68">
        <f>'BS assumptions'!E6</f>
        <v>75.297198199322338</v>
      </c>
      <c r="F9" s="68"/>
      <c r="G9" s="68">
        <f>'BS assumptions'!G6</f>
        <v>75.297198199322338</v>
      </c>
      <c r="H9" s="68">
        <f>'BS assumptions'!H6</f>
        <v>75.297198199322338</v>
      </c>
      <c r="I9" s="68">
        <f>'BS assumptions'!I6</f>
        <v>75.297198199322338</v>
      </c>
      <c r="J9" s="68">
        <f>'BS assumptions'!J6</f>
        <v>75.297198199322338</v>
      </c>
      <c r="K9" s="68">
        <f>'BS assumptions'!K6</f>
        <v>75.297198199322338</v>
      </c>
    </row>
    <row r="10" spans="1:13">
      <c r="B10" s="1" t="s">
        <v>144</v>
      </c>
      <c r="C10" s="68">
        <f>'BS assumptions'!C9</f>
        <v>78.796599890979181</v>
      </c>
      <c r="D10" s="68">
        <f>'BS assumptions'!D9</f>
        <v>87.020385727810066</v>
      </c>
      <c r="E10" s="68">
        <f>'BS assumptions'!E9</f>
        <v>105.61192646702818</v>
      </c>
      <c r="F10" s="68"/>
      <c r="G10" s="68">
        <f>'BS assumptions'!G9</f>
        <v>105.61192646702818</v>
      </c>
      <c r="H10" s="68">
        <f>'BS assumptions'!H9</f>
        <v>105.61192646702818</v>
      </c>
      <c r="I10" s="68">
        <f>'BS assumptions'!I9</f>
        <v>105.61192646702818</v>
      </c>
      <c r="J10" s="68">
        <f>'BS assumptions'!J9</f>
        <v>105.61192646702818</v>
      </c>
      <c r="K10" s="68">
        <f>'BS assumptions'!K9</f>
        <v>105.61192646702818</v>
      </c>
    </row>
    <row r="11" spans="1:13">
      <c r="B11" s="1" t="s">
        <v>145</v>
      </c>
      <c r="C11" s="68">
        <f>'BS assumptions'!C12</f>
        <v>40.175971155173656</v>
      </c>
      <c r="D11" s="68">
        <f>'BS assumptions'!D12</f>
        <v>63.003516697758023</v>
      </c>
      <c r="E11" s="68">
        <f>'BS assumptions'!E12</f>
        <v>82.706945686643365</v>
      </c>
      <c r="F11" s="68"/>
      <c r="G11" s="68">
        <f>'BS assumptions'!G12</f>
        <v>82.706945686643365</v>
      </c>
      <c r="H11" s="68">
        <f>'BS assumptions'!H12</f>
        <v>82.706945686643365</v>
      </c>
      <c r="I11" s="68">
        <f>'BS assumptions'!I12</f>
        <v>82.706945686643365</v>
      </c>
      <c r="J11" s="68">
        <f>'BS assumptions'!J12</f>
        <v>82.706945686643365</v>
      </c>
      <c r="K11" s="68">
        <f>'BS assumptions'!K12</f>
        <v>82.706945686643365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7"/>
  <sheetViews>
    <sheetView zoomScale="130" zoomScaleNormal="130" workbookViewId="0">
      <selection activeCell="B1" sqref="B1"/>
    </sheetView>
  </sheetViews>
  <sheetFormatPr defaultColWidth="9.140625" defaultRowHeight="11.45"/>
  <cols>
    <col min="1" max="1" width="2" style="1" customWidth="1"/>
    <col min="2" max="2" width="18.140625" style="1" bestFit="1" customWidth="1"/>
    <col min="3" max="3" width="10.42578125" style="1" bestFit="1" customWidth="1"/>
    <col min="4" max="6" width="9.140625" style="1"/>
    <col min="7" max="7" width="18.140625" style="1" bestFit="1" customWidth="1"/>
    <col min="8" max="12" width="9.140625" style="1"/>
    <col min="13" max="13" width="18.140625" style="1" bestFit="1" customWidth="1"/>
    <col min="14" max="16384" width="9.140625" style="1"/>
  </cols>
  <sheetData>
    <row r="1" spans="2:14" ht="15.75">
      <c r="B1" s="140" t="s">
        <v>17</v>
      </c>
    </row>
    <row r="4" spans="2:14" s="90" customFormat="1" ht="12.75">
      <c r="B4" s="143" t="s">
        <v>146</v>
      </c>
      <c r="C4" s="144"/>
      <c r="G4" s="143" t="s">
        <v>147</v>
      </c>
      <c r="H4" s="144"/>
      <c r="M4" s="143" t="s">
        <v>148</v>
      </c>
      <c r="N4" s="144"/>
    </row>
    <row r="5" spans="2:14">
      <c r="B5" s="1" t="s">
        <v>128</v>
      </c>
      <c r="C5" s="68">
        <v>208374</v>
      </c>
      <c r="G5" s="1" t="s">
        <v>128</v>
      </c>
      <c r="H5" s="68">
        <v>134687</v>
      </c>
      <c r="M5" s="1" t="s">
        <v>128</v>
      </c>
      <c r="N5" s="68">
        <v>101217</v>
      </c>
    </row>
    <row r="6" spans="2:14">
      <c r="B6" s="1" t="s">
        <v>149</v>
      </c>
      <c r="C6" s="81">
        <v>0.30099999999999999</v>
      </c>
      <c r="G6" s="1" t="s">
        <v>149</v>
      </c>
      <c r="H6" s="51">
        <v>0.316</v>
      </c>
      <c r="M6" s="1" t="s">
        <v>149</v>
      </c>
      <c r="N6" s="51">
        <v>0.33500000000000002</v>
      </c>
    </row>
    <row r="7" spans="2:14">
      <c r="B7" s="1" t="s">
        <v>150</v>
      </c>
      <c r="C7" s="81">
        <v>0.69899999999999995</v>
      </c>
      <c r="G7" s="1" t="s">
        <v>150</v>
      </c>
      <c r="H7" s="51">
        <v>0.68400000000000005</v>
      </c>
      <c r="M7" s="1" t="s">
        <v>150</v>
      </c>
      <c r="N7" s="51">
        <v>0.66500000000000004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B1:B11"/>
  <sheetViews>
    <sheetView zoomScale="130" zoomScaleNormal="130" workbookViewId="0">
      <selection activeCell="L13" sqref="L13"/>
    </sheetView>
  </sheetViews>
  <sheetFormatPr defaultColWidth="9.140625" defaultRowHeight="11.45"/>
  <cols>
    <col min="1" max="1" width="2" style="1" customWidth="1"/>
    <col min="2" max="16384" width="9.140625" style="1"/>
  </cols>
  <sheetData>
    <row r="1" spans="2:2" ht="15.6">
      <c r="B1" s="2"/>
    </row>
    <row r="11" spans="2:2" s="90" customFormat="1" ht="41.25">
      <c r="B11" s="89" t="s">
        <v>151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M27"/>
  <sheetViews>
    <sheetView zoomScale="130" zoomScaleNormal="130" workbookViewId="0">
      <selection activeCell="I17" sqref="I17"/>
    </sheetView>
  </sheetViews>
  <sheetFormatPr defaultColWidth="9.140625" defaultRowHeight="11.45"/>
  <cols>
    <col min="1" max="1" width="2" style="4" customWidth="1"/>
    <col min="2" max="2" width="27.85546875" style="4" bestFit="1" customWidth="1"/>
    <col min="3" max="3" width="9.140625" style="4"/>
    <col min="4" max="6" width="10.5703125" style="4" bestFit="1" customWidth="1"/>
    <col min="7" max="16384" width="9.140625" style="4"/>
  </cols>
  <sheetData>
    <row r="1" spans="2:13" ht="15.75">
      <c r="B1" s="145" t="s">
        <v>19</v>
      </c>
    </row>
    <row r="3" spans="2:13" ht="21.75">
      <c r="B3" s="5" t="s">
        <v>152</v>
      </c>
      <c r="C3" s="5"/>
      <c r="D3" s="6" t="s">
        <v>153</v>
      </c>
      <c r="E3" s="6" t="s">
        <v>154</v>
      </c>
      <c r="F3" s="6" t="s">
        <v>155</v>
      </c>
    </row>
    <row r="4" spans="2:13">
      <c r="B4" s="4" t="s">
        <v>156</v>
      </c>
      <c r="D4" s="10">
        <v>177203</v>
      </c>
      <c r="E4" s="10">
        <v>188618</v>
      </c>
      <c r="F4" s="10">
        <v>208366</v>
      </c>
    </row>
    <row r="5" spans="2:13">
      <c r="B5" s="4" t="s">
        <v>157</v>
      </c>
      <c r="D5" s="10">
        <v>3520</v>
      </c>
      <c r="E5" s="10">
        <v>2416</v>
      </c>
      <c r="F5" s="10">
        <v>2585</v>
      </c>
      <c r="J5" s="46"/>
      <c r="K5" s="46"/>
      <c r="L5" s="46"/>
      <c r="M5" s="46"/>
    </row>
    <row r="6" spans="2:13" ht="12">
      <c r="B6" s="25" t="s">
        <v>158</v>
      </c>
      <c r="C6" s="25"/>
      <c r="D6" s="26">
        <f>D4+D5</f>
        <v>180723</v>
      </c>
      <c r="E6" s="26">
        <f>E4+E5</f>
        <v>191034</v>
      </c>
      <c r="F6" s="26">
        <f>F4+F5</f>
        <v>210951</v>
      </c>
    </row>
    <row r="7" spans="2:13">
      <c r="D7" s="10"/>
      <c r="E7" s="10"/>
      <c r="F7" s="10"/>
    </row>
    <row r="8" spans="2:13">
      <c r="B8" s="4" t="s">
        <v>159</v>
      </c>
      <c r="D8" s="10">
        <v>-139903.0394666667</v>
      </c>
      <c r="E8" s="10">
        <v>-138922.98879999999</v>
      </c>
      <c r="F8" s="10">
        <v>-150080.46882539699</v>
      </c>
    </row>
    <row r="9" spans="2:13">
      <c r="B9" s="4" t="s">
        <v>160</v>
      </c>
      <c r="D9" s="10">
        <v>-2491.3280000000004</v>
      </c>
      <c r="E9" s="10">
        <v>-11649.177600000001</v>
      </c>
      <c r="F9" s="10">
        <v>-7442.6495999999997</v>
      </c>
    </row>
    <row r="10" spans="2:13">
      <c r="B10" s="4" t="s">
        <v>161</v>
      </c>
      <c r="D10" s="10">
        <v>-16389.593600000004</v>
      </c>
      <c r="E10" s="10">
        <v>-17878.310399999998</v>
      </c>
      <c r="F10" s="10">
        <v>-22293.312000000005</v>
      </c>
    </row>
    <row r="11" spans="2:13">
      <c r="B11" s="4" t="s">
        <v>162</v>
      </c>
      <c r="D11" s="10">
        <v>-290.72640000000007</v>
      </c>
      <c r="E11" s="10">
        <v>-246.13120000000004</v>
      </c>
      <c r="F11" s="10">
        <v>-120.92160000000001</v>
      </c>
    </row>
    <row r="12" spans="2:13">
      <c r="B12" s="4" t="s">
        <v>163</v>
      </c>
      <c r="D12" s="10">
        <v>-1330.9952000000003</v>
      </c>
      <c r="E12" s="10">
        <v>-1123.4560000000001</v>
      </c>
      <c r="F12" s="10">
        <v>-1452.7744000000002</v>
      </c>
    </row>
    <row r="13" spans="2:13">
      <c r="D13" s="10"/>
      <c r="E13" s="10"/>
      <c r="F13" s="10"/>
    </row>
    <row r="14" spans="2:13" ht="12">
      <c r="B14" s="25" t="s">
        <v>71</v>
      </c>
      <c r="C14" s="25"/>
      <c r="D14" s="26">
        <f>D6+SUM(D8:D12)</f>
        <v>20317.317333333282</v>
      </c>
      <c r="E14" s="26">
        <f>E6+SUM(E8:E12)</f>
        <v>21213.936000000016</v>
      </c>
      <c r="F14" s="26">
        <f>F6+SUM(F8:F12)</f>
        <v>29560.873574603</v>
      </c>
    </row>
    <row r="15" spans="2:13">
      <c r="D15" s="10"/>
      <c r="E15" s="10"/>
      <c r="F15" s="10"/>
    </row>
    <row r="16" spans="2:13">
      <c r="B16" s="4" t="s">
        <v>44</v>
      </c>
      <c r="D16" s="10">
        <v>-2907.8000000000006</v>
      </c>
      <c r="E16" s="10">
        <v>-4649.8</v>
      </c>
      <c r="F16" s="10">
        <v>-6430.6600000000008</v>
      </c>
    </row>
    <row r="17" spans="2:6">
      <c r="D17" s="10"/>
      <c r="E17" s="10"/>
      <c r="F17" s="10"/>
    </row>
    <row r="18" spans="2:6" ht="12">
      <c r="B18" s="25" t="s">
        <v>72</v>
      </c>
      <c r="C18" s="25"/>
      <c r="D18" s="26">
        <f>D14+D16</f>
        <v>17409.517333333282</v>
      </c>
      <c r="E18" s="26">
        <f>E14+E16</f>
        <v>16564.136000000017</v>
      </c>
      <c r="F18" s="26">
        <f>F14+F16</f>
        <v>23130.213574603</v>
      </c>
    </row>
    <row r="19" spans="2:6">
      <c r="D19" s="10"/>
      <c r="E19" s="10"/>
      <c r="F19" s="10"/>
    </row>
    <row r="20" spans="2:6">
      <c r="B20" s="4" t="s">
        <v>164</v>
      </c>
      <c r="D20" s="10">
        <v>-1266.3000000000002</v>
      </c>
      <c r="E20" s="10">
        <v>-2190.9</v>
      </c>
      <c r="F20" s="10">
        <v>-2663.92</v>
      </c>
    </row>
    <row r="21" spans="2:6">
      <c r="B21" s="4" t="s">
        <v>165</v>
      </c>
      <c r="D21" s="10">
        <v>-317.58000000000004</v>
      </c>
      <c r="E21" s="10">
        <v>-864.30000000000007</v>
      </c>
      <c r="F21" s="10">
        <v>-320.26</v>
      </c>
    </row>
    <row r="22" spans="2:6">
      <c r="D22" s="10"/>
      <c r="E22" s="10"/>
      <c r="F22" s="10"/>
    </row>
    <row r="23" spans="2:6" ht="12">
      <c r="B23" s="25" t="s">
        <v>74</v>
      </c>
      <c r="C23" s="25"/>
      <c r="D23" s="26">
        <f>D18+D21+D20</f>
        <v>15825.637333333281</v>
      </c>
      <c r="E23" s="26">
        <f>E18+E21+E20</f>
        <v>13508.936000000018</v>
      </c>
      <c r="F23" s="26">
        <f>F18+F21+F20</f>
        <v>20146.033574603003</v>
      </c>
    </row>
    <row r="24" spans="2:6">
      <c r="D24" s="10"/>
      <c r="E24" s="10"/>
      <c r="F24" s="10"/>
    </row>
    <row r="25" spans="2:6">
      <c r="B25" s="4" t="s">
        <v>47</v>
      </c>
      <c r="D25" s="10">
        <v>-3805.7759999999998</v>
      </c>
      <c r="E25" s="10">
        <v>-3050.192</v>
      </c>
      <c r="F25" s="10">
        <v>-3814.88</v>
      </c>
    </row>
    <row r="26" spans="2:6">
      <c r="D26" s="10"/>
      <c r="E26" s="10"/>
      <c r="F26" s="10"/>
    </row>
    <row r="27" spans="2:6" ht="12.6" thickBot="1">
      <c r="B27" s="7" t="s">
        <v>166</v>
      </c>
      <c r="C27" s="7"/>
      <c r="D27" s="11">
        <f>D23+D25</f>
        <v>12019.861333333281</v>
      </c>
      <c r="E27" s="11">
        <f>E23+E25</f>
        <v>10458.744000000017</v>
      </c>
      <c r="F27" s="11">
        <f>F23+F25</f>
        <v>16331.153574603002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22"/>
  <sheetViews>
    <sheetView zoomScale="130" zoomScaleNormal="130" workbookViewId="0">
      <selection activeCell="N20" sqref="N20"/>
    </sheetView>
  </sheetViews>
  <sheetFormatPr defaultColWidth="9.140625" defaultRowHeight="11.45"/>
  <cols>
    <col min="1" max="1" width="2" style="4" customWidth="1"/>
    <col min="2" max="2" width="24.140625" style="4" bestFit="1" customWidth="1"/>
    <col min="3" max="3" width="9.140625" style="4"/>
    <col min="4" max="4" width="10.85546875" style="4" customWidth="1"/>
    <col min="5" max="5" width="10.7109375" style="4" customWidth="1"/>
    <col min="6" max="6" width="10" style="4" bestFit="1" customWidth="1"/>
    <col min="7" max="7" width="9.140625" style="4"/>
    <col min="8" max="8" width="22.140625" style="4" bestFit="1" customWidth="1"/>
    <col min="9" max="9" width="9.140625" style="4"/>
    <col min="10" max="10" width="10" style="4" bestFit="1" customWidth="1"/>
    <col min="11" max="11" width="10.5703125" style="4" customWidth="1"/>
    <col min="12" max="12" width="11.140625" style="4" customWidth="1"/>
    <col min="13" max="16384" width="9.140625" style="4"/>
  </cols>
  <sheetData>
    <row r="1" spans="2:12" ht="15.75">
      <c r="B1" s="145" t="s">
        <v>20</v>
      </c>
    </row>
    <row r="3" spans="2:12" ht="21.75">
      <c r="B3" s="5" t="s">
        <v>152</v>
      </c>
      <c r="C3" s="5"/>
      <c r="D3" s="6" t="s">
        <v>167</v>
      </c>
      <c r="E3" s="6" t="s">
        <v>168</v>
      </c>
      <c r="F3" s="6" t="s">
        <v>169</v>
      </c>
      <c r="H3" s="5" t="s">
        <v>152</v>
      </c>
      <c r="I3" s="5"/>
      <c r="J3" s="6" t="s">
        <v>167</v>
      </c>
      <c r="K3" s="6" t="s">
        <v>168</v>
      </c>
      <c r="L3" s="6" t="s">
        <v>169</v>
      </c>
    </row>
    <row r="4" spans="2:12">
      <c r="B4" s="4" t="s">
        <v>87</v>
      </c>
      <c r="D4" s="10">
        <v>5961.6</v>
      </c>
      <c r="E4" s="10">
        <v>5840</v>
      </c>
      <c r="F4" s="10">
        <v>5650</v>
      </c>
      <c r="G4" s="10"/>
      <c r="H4" s="10" t="s">
        <v>170</v>
      </c>
      <c r="I4" s="10"/>
      <c r="J4" s="10">
        <v>6784.8</v>
      </c>
      <c r="K4" s="10">
        <v>6800</v>
      </c>
      <c r="L4" s="10">
        <v>7508</v>
      </c>
    </row>
    <row r="5" spans="2:12">
      <c r="B5" s="4" t="s">
        <v>63</v>
      </c>
      <c r="D5" s="10">
        <v>45106.400000000001</v>
      </c>
      <c r="E5" s="10">
        <v>49072.4</v>
      </c>
      <c r="F5" s="10">
        <v>56109.2</v>
      </c>
      <c r="G5" s="10"/>
      <c r="H5" s="10" t="s">
        <v>171</v>
      </c>
      <c r="I5" s="10"/>
      <c r="J5" s="10">
        <v>46224</v>
      </c>
      <c r="K5" s="10">
        <v>44414.400000000001</v>
      </c>
      <c r="L5" s="10">
        <v>46513.2</v>
      </c>
    </row>
    <row r="6" spans="2:12">
      <c r="B6" s="4" t="s">
        <v>89</v>
      </c>
      <c r="D6" s="10">
        <v>8824</v>
      </c>
      <c r="E6" s="10">
        <v>9831</v>
      </c>
      <c r="F6" s="10">
        <v>10323</v>
      </c>
      <c r="G6" s="10"/>
      <c r="H6" s="10" t="s">
        <v>172</v>
      </c>
      <c r="I6" s="10"/>
      <c r="J6" s="10">
        <v>16393.7</v>
      </c>
      <c r="K6" s="10">
        <v>25993.7</v>
      </c>
      <c r="L6" s="10">
        <v>21516</v>
      </c>
    </row>
    <row r="7" spans="2:12">
      <c r="D7" s="10"/>
      <c r="E7" s="10"/>
      <c r="F7" s="10"/>
      <c r="G7" s="10"/>
      <c r="H7" s="10" t="s">
        <v>173</v>
      </c>
      <c r="I7" s="10"/>
      <c r="J7" s="10">
        <v>12019.861333333281</v>
      </c>
      <c r="K7" s="10">
        <v>10458.744000000017</v>
      </c>
      <c r="L7" s="10">
        <v>16331.153574603002</v>
      </c>
    </row>
    <row r="8" spans="2:12" ht="12.6" thickBot="1">
      <c r="B8" s="7" t="s">
        <v>174</v>
      </c>
      <c r="C8" s="12"/>
      <c r="D8" s="11">
        <f>D6+D5+D4</f>
        <v>59892</v>
      </c>
      <c r="E8" s="11">
        <f>E6+E5+E4</f>
        <v>64743.4</v>
      </c>
      <c r="F8" s="11">
        <f>F6+F5+F4</f>
        <v>72082.2</v>
      </c>
      <c r="G8" s="10"/>
      <c r="H8" s="11" t="s">
        <v>175</v>
      </c>
      <c r="I8" s="23"/>
      <c r="J8" s="11">
        <f>SUM(J4:J7)</f>
        <v>81422.361333333276</v>
      </c>
      <c r="K8" s="11">
        <f>SUM(K4:K7)</f>
        <v>87666.844000000026</v>
      </c>
      <c r="L8" s="11">
        <f>SUM(L4:L7)</f>
        <v>91868.353574602996</v>
      </c>
    </row>
    <row r="9" spans="2:12">
      <c r="D9" s="10"/>
      <c r="E9" s="10"/>
      <c r="F9" s="10"/>
      <c r="G9" s="10"/>
      <c r="H9" s="10"/>
      <c r="I9" s="10"/>
      <c r="J9" s="10"/>
      <c r="K9" s="10"/>
      <c r="L9" s="10"/>
    </row>
    <row r="10" spans="2:12">
      <c r="B10" s="4" t="s">
        <v>59</v>
      </c>
      <c r="D10" s="10">
        <v>31167.200000000001</v>
      </c>
      <c r="E10" s="10">
        <v>36396.800000000003</v>
      </c>
      <c r="F10" s="10">
        <v>46212</v>
      </c>
      <c r="G10" s="10"/>
      <c r="H10" s="10" t="s">
        <v>142</v>
      </c>
      <c r="I10" s="10"/>
      <c r="J10" s="10">
        <v>15891.2</v>
      </c>
      <c r="K10" s="10">
        <v>26351.599999999999</v>
      </c>
      <c r="L10" s="10">
        <v>36189.599999999999</v>
      </c>
    </row>
    <row r="11" spans="2:12">
      <c r="B11" s="4" t="s">
        <v>176</v>
      </c>
      <c r="D11" s="10">
        <v>32883.599999999999</v>
      </c>
      <c r="E11" s="10">
        <v>38556</v>
      </c>
      <c r="F11" s="10">
        <v>43581.599999999999</v>
      </c>
      <c r="G11" s="10"/>
      <c r="H11" s="10" t="s">
        <v>66</v>
      </c>
      <c r="I11" s="10"/>
      <c r="J11" s="10">
        <v>5315</v>
      </c>
      <c r="K11" s="10">
        <v>4334</v>
      </c>
      <c r="L11" s="10">
        <v>6473.0464253970422</v>
      </c>
    </row>
    <row r="12" spans="2:12">
      <c r="B12" s="4" t="s">
        <v>65</v>
      </c>
      <c r="D12" s="10">
        <v>8841.6</v>
      </c>
      <c r="E12" s="10">
        <v>11359.199999999999</v>
      </c>
      <c r="F12" s="10">
        <v>17602.8</v>
      </c>
      <c r="G12" s="10"/>
      <c r="H12" s="10" t="s">
        <v>177</v>
      </c>
      <c r="I12" s="10"/>
      <c r="J12" s="10">
        <v>478.83866666668911</v>
      </c>
      <c r="K12" s="10">
        <v>1217.9560000000056</v>
      </c>
      <c r="L12" s="10">
        <v>1760.3999999999999</v>
      </c>
    </row>
    <row r="13" spans="2:12">
      <c r="D13" s="10"/>
      <c r="E13" s="10"/>
      <c r="F13" s="10"/>
      <c r="G13" s="10"/>
      <c r="H13" s="10" t="s">
        <v>178</v>
      </c>
      <c r="I13" s="10"/>
      <c r="J13" s="10">
        <v>175.2</v>
      </c>
      <c r="K13" s="10">
        <v>248.39999999999998</v>
      </c>
      <c r="L13" s="10">
        <v>240</v>
      </c>
    </row>
    <row r="14" spans="2:12">
      <c r="B14" s="4" t="s">
        <v>91</v>
      </c>
      <c r="D14" s="10">
        <v>11791.199999999999</v>
      </c>
      <c r="E14" s="10">
        <v>19408.8</v>
      </c>
      <c r="F14" s="10">
        <v>8173.6</v>
      </c>
      <c r="G14" s="10"/>
      <c r="H14" s="10"/>
      <c r="I14" s="10"/>
      <c r="J14" s="10"/>
      <c r="K14" s="10"/>
      <c r="L14" s="10"/>
    </row>
    <row r="15" spans="2:12" ht="12.6" thickBot="1">
      <c r="B15" s="7" t="s">
        <v>179</v>
      </c>
      <c r="C15" s="12"/>
      <c r="D15" s="11">
        <f>+D14+D12+D11+D10</f>
        <v>84683.599999999991</v>
      </c>
      <c r="E15" s="11">
        <f>+E14+E12+E11+E10</f>
        <v>105720.8</v>
      </c>
      <c r="F15" s="11">
        <f>+F14+F12+F11+F10</f>
        <v>115570</v>
      </c>
      <c r="G15" s="10"/>
      <c r="H15" s="10" t="s">
        <v>180</v>
      </c>
      <c r="I15" s="10"/>
      <c r="J15" s="10">
        <v>37402.600000000006</v>
      </c>
      <c r="K15" s="10">
        <v>45594.6</v>
      </c>
      <c r="L15" s="10">
        <v>50680.399999999994</v>
      </c>
    </row>
    <row r="16" spans="2:12">
      <c r="D16" s="10"/>
      <c r="E16" s="10"/>
      <c r="F16" s="10"/>
      <c r="G16" s="10"/>
      <c r="H16" s="10" t="s">
        <v>181</v>
      </c>
      <c r="I16" s="10"/>
      <c r="J16" s="10">
        <v>3890.3999999999996</v>
      </c>
      <c r="K16" s="10">
        <v>5050.8</v>
      </c>
      <c r="L16" s="10">
        <v>440.4</v>
      </c>
    </row>
    <row r="17" spans="2:12" ht="12.6" thickBot="1">
      <c r="D17" s="10"/>
      <c r="E17" s="10"/>
      <c r="F17" s="10"/>
      <c r="G17" s="10"/>
      <c r="H17" s="11" t="s">
        <v>182</v>
      </c>
      <c r="I17" s="23"/>
      <c r="J17" s="11">
        <f>J16+J15+SUM(J10:J13)</f>
        <v>63153.238666666701</v>
      </c>
      <c r="K17" s="11">
        <f>K16+K15+SUM(K10:K13)</f>
        <v>82797.356</v>
      </c>
      <c r="L17" s="11">
        <f>L16+L15+SUM(L10:L13)</f>
        <v>95783.846425397031</v>
      </c>
    </row>
    <row r="18" spans="2:12">
      <c r="D18" s="10"/>
      <c r="E18" s="10"/>
      <c r="F18" s="10"/>
      <c r="G18" s="10"/>
      <c r="H18" s="10"/>
      <c r="I18" s="10"/>
      <c r="J18" s="10"/>
      <c r="K18" s="10"/>
      <c r="L18" s="10"/>
    </row>
    <row r="19" spans="2:12" ht="12.6" thickBot="1">
      <c r="B19" s="7" t="s">
        <v>92</v>
      </c>
      <c r="C19" s="12"/>
      <c r="D19" s="11">
        <f>D15+D8</f>
        <v>144575.59999999998</v>
      </c>
      <c r="E19" s="11">
        <f>E15+E8</f>
        <v>170464.2</v>
      </c>
      <c r="F19" s="11">
        <f>F15+F8</f>
        <v>187652.2</v>
      </c>
      <c r="G19" s="10"/>
      <c r="H19" s="11" t="s">
        <v>183</v>
      </c>
      <c r="I19" s="23"/>
      <c r="J19" s="11">
        <f>J17+J8</f>
        <v>144575.59999999998</v>
      </c>
      <c r="K19" s="11">
        <f>K17+K8</f>
        <v>170464.2</v>
      </c>
      <c r="L19" s="11">
        <f>L17+L8</f>
        <v>187652.2</v>
      </c>
    </row>
    <row r="22" spans="2:12">
      <c r="J22" s="4">
        <f>J19-D19</f>
        <v>0</v>
      </c>
      <c r="K22" s="4">
        <f>K19-E19</f>
        <v>0</v>
      </c>
      <c r="L22" s="4">
        <f>L19-F19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B1:B11"/>
  <sheetViews>
    <sheetView zoomScale="130" zoomScaleNormal="130" workbookViewId="0">
      <selection activeCell="A11" sqref="A11:XFD11"/>
    </sheetView>
  </sheetViews>
  <sheetFormatPr defaultColWidth="9.140625" defaultRowHeight="11.45"/>
  <cols>
    <col min="1" max="1" width="2" style="1" customWidth="1"/>
    <col min="2" max="16384" width="9.140625" style="1"/>
  </cols>
  <sheetData>
    <row r="1" spans="2:2" ht="15.6">
      <c r="B1" s="2"/>
    </row>
    <row r="11" spans="2:2" s="90" customFormat="1" ht="41.25">
      <c r="B11" s="8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1"/>
  <sheetViews>
    <sheetView zoomScale="130" zoomScaleNormal="130" workbookViewId="0">
      <selection activeCell="Q30" sqref="Q30"/>
    </sheetView>
  </sheetViews>
  <sheetFormatPr defaultColWidth="9.140625" defaultRowHeight="11.45"/>
  <cols>
    <col min="1" max="1" width="2" style="4" customWidth="1"/>
    <col min="2" max="2" width="21.85546875" style="4" bestFit="1" customWidth="1"/>
    <col min="3" max="3" width="11" style="4" bestFit="1" customWidth="1"/>
    <col min="4" max="5" width="9.140625" style="4"/>
    <col min="6" max="6" width="2" style="4" customWidth="1"/>
    <col min="7" max="7" width="14.42578125" style="4" bestFit="1" customWidth="1"/>
    <col min="8" max="8" width="13.28515625" style="4" bestFit="1" customWidth="1"/>
    <col min="9" max="11" width="10.5703125" style="4" bestFit="1" customWidth="1"/>
    <col min="12" max="12" width="9.140625" style="4"/>
    <col min="13" max="13" width="22.140625" style="4" bestFit="1" customWidth="1"/>
    <col min="14" max="16384" width="9.140625" style="4"/>
  </cols>
  <sheetData>
    <row r="1" spans="1:14" ht="15.75">
      <c r="A1" s="1"/>
      <c r="B1" s="91" t="s">
        <v>5</v>
      </c>
    </row>
    <row r="2" spans="1:14" ht="12">
      <c r="G2" s="96" t="s">
        <v>21</v>
      </c>
      <c r="H2" s="92"/>
    </row>
    <row r="3" spans="1:14" ht="12">
      <c r="G3" s="95" t="s">
        <v>22</v>
      </c>
      <c r="H3" s="95" t="s">
        <v>23</v>
      </c>
    </row>
    <row r="4" spans="1:14" ht="12">
      <c r="G4" s="95" t="s">
        <v>24</v>
      </c>
      <c r="H4" s="95" t="s">
        <v>25</v>
      </c>
    </row>
    <row r="5" spans="1:14" ht="12">
      <c r="B5" s="95" t="s">
        <v>26</v>
      </c>
      <c r="C5" s="84">
        <v>3</v>
      </c>
      <c r="G5" s="95" t="s">
        <v>27</v>
      </c>
      <c r="H5" s="95" t="s">
        <v>28</v>
      </c>
    </row>
    <row r="7" spans="1:14" ht="3.75" customHeight="1"/>
    <row r="8" spans="1:14" s="92" customFormat="1" ht="21.75">
      <c r="B8" s="97" t="s">
        <v>29</v>
      </c>
      <c r="C8" s="98" t="s">
        <v>30</v>
      </c>
      <c r="D8" s="98" t="s">
        <v>31</v>
      </c>
      <c r="E8" s="98" t="s">
        <v>32</v>
      </c>
      <c r="F8" s="93"/>
      <c r="G8" s="99" t="s">
        <v>33</v>
      </c>
      <c r="H8" s="99" t="s">
        <v>34</v>
      </c>
      <c r="I8" s="99" t="s">
        <v>35</v>
      </c>
      <c r="J8" s="99" t="s">
        <v>36</v>
      </c>
      <c r="K8" s="99" t="s">
        <v>37</v>
      </c>
    </row>
    <row r="9" spans="1:14" ht="12">
      <c r="B9" s="4" t="s">
        <v>38</v>
      </c>
      <c r="C9" s="10">
        <f>'P&amp;L source'!D4</f>
        <v>177203</v>
      </c>
      <c r="D9" s="10">
        <f>'P&amp;L source'!E4</f>
        <v>188618</v>
      </c>
      <c r="E9" s="10">
        <f>'P&amp;L source'!F4</f>
        <v>208366</v>
      </c>
      <c r="G9" s="20">
        <f>E9*(1+G10)</f>
        <v>216700.64</v>
      </c>
      <c r="H9" s="20">
        <f>G9*(1+H10)</f>
        <v>225368.66560000004</v>
      </c>
      <c r="I9" s="20">
        <f t="shared" ref="I9:K9" si="0">H9*(1+I10)</f>
        <v>234383.41222400006</v>
      </c>
      <c r="J9" s="20">
        <f t="shared" si="0"/>
        <v>243758.74871296008</v>
      </c>
      <c r="K9" s="20">
        <f t="shared" si="0"/>
        <v>253509.09866147849</v>
      </c>
      <c r="N9" s="15"/>
    </row>
    <row r="10" spans="1:14" ht="12">
      <c r="B10" s="4" t="s">
        <v>39</v>
      </c>
      <c r="C10" s="31"/>
      <c r="D10" s="18">
        <f>D9/C9-1</f>
        <v>6.4417645299458703E-2</v>
      </c>
      <c r="E10" s="18">
        <f>E9/D9-1</f>
        <v>0.10469838509580209</v>
      </c>
      <c r="G10" s="19">
        <f>CHOOSE($C$5,G11,G12,G13)</f>
        <v>0.04</v>
      </c>
      <c r="H10" s="19">
        <f t="shared" ref="H10:K10" si="1">CHOOSE($C$5,H11,H12,H13)</f>
        <v>0.04</v>
      </c>
      <c r="I10" s="19">
        <f t="shared" si="1"/>
        <v>0.04</v>
      </c>
      <c r="J10" s="19">
        <f t="shared" si="1"/>
        <v>0.04</v>
      </c>
      <c r="K10" s="19">
        <f t="shared" si="1"/>
        <v>0.04</v>
      </c>
    </row>
    <row r="11" spans="1:14" ht="12">
      <c r="B11" s="4" t="s">
        <v>22</v>
      </c>
      <c r="C11" s="47"/>
      <c r="D11" s="47"/>
      <c r="E11" s="47"/>
      <c r="G11" s="19">
        <v>0.1</v>
      </c>
      <c r="H11" s="19">
        <v>0.1</v>
      </c>
      <c r="I11" s="19">
        <v>0.1</v>
      </c>
      <c r="J11" s="19">
        <v>0.1</v>
      </c>
      <c r="K11" s="19">
        <v>0.1</v>
      </c>
    </row>
    <row r="12" spans="1:14" ht="12">
      <c r="B12" s="4" t="s">
        <v>24</v>
      </c>
      <c r="C12" s="47"/>
      <c r="D12" s="47"/>
      <c r="E12" s="47"/>
      <c r="G12" s="19">
        <v>0.08</v>
      </c>
      <c r="H12" s="19">
        <v>0.08</v>
      </c>
      <c r="I12" s="19">
        <v>0.08</v>
      </c>
      <c r="J12" s="19">
        <v>0.08</v>
      </c>
      <c r="K12" s="19">
        <v>0.08</v>
      </c>
    </row>
    <row r="13" spans="1:14" ht="12">
      <c r="B13" s="4" t="s">
        <v>27</v>
      </c>
      <c r="C13" s="47"/>
      <c r="D13" s="47"/>
      <c r="E13" s="47"/>
      <c r="G13" s="19">
        <v>0.04</v>
      </c>
      <c r="H13" s="19">
        <v>0.04</v>
      </c>
      <c r="I13" s="19">
        <v>0.04</v>
      </c>
      <c r="J13" s="19">
        <v>0.04</v>
      </c>
      <c r="K13" s="19">
        <v>0.04</v>
      </c>
    </row>
    <row r="14" spans="1:14" ht="3.75" customHeight="1">
      <c r="G14" s="20"/>
      <c r="H14" s="20"/>
      <c r="I14" s="20"/>
      <c r="J14" s="20"/>
      <c r="K14" s="20"/>
    </row>
    <row r="15" spans="1:14" ht="12">
      <c r="B15" s="4" t="s">
        <v>40</v>
      </c>
      <c r="C15" s="4">
        <f>'P&amp;L source'!D5</f>
        <v>3520</v>
      </c>
      <c r="D15" s="4">
        <f>'P&amp;L source'!E5</f>
        <v>2416</v>
      </c>
      <c r="E15" s="4">
        <f>'P&amp;L source'!F5</f>
        <v>2585</v>
      </c>
      <c r="G15" s="20">
        <f>E15*(1+G16)</f>
        <v>2585</v>
      </c>
      <c r="H15" s="20">
        <f>G15*(1+H16)</f>
        <v>2585</v>
      </c>
      <c r="I15" s="20">
        <f t="shared" ref="I15" si="2">H15*(1+I16)</f>
        <v>2585</v>
      </c>
      <c r="J15" s="20">
        <f t="shared" ref="J15" si="3">I15*(1+J16)</f>
        <v>2585</v>
      </c>
      <c r="K15" s="20">
        <f t="shared" ref="K15" si="4">J15*(1+K16)</f>
        <v>2585</v>
      </c>
    </row>
    <row r="16" spans="1:14" ht="12">
      <c r="B16" s="4" t="s">
        <v>39</v>
      </c>
      <c r="G16" s="19">
        <f>CHOOSE($C$5,G17,G18,G19)</f>
        <v>0</v>
      </c>
      <c r="H16" s="19">
        <f t="shared" ref="H16" si="5">CHOOSE($C$5,H17,H18,H19)</f>
        <v>0</v>
      </c>
      <c r="I16" s="19">
        <f t="shared" ref="I16" si="6">CHOOSE($C$5,I17,I18,I19)</f>
        <v>0</v>
      </c>
      <c r="J16" s="19">
        <f t="shared" ref="J16" si="7">CHOOSE($C$5,J17,J18,J19)</f>
        <v>0</v>
      </c>
      <c r="K16" s="19">
        <f t="shared" ref="K16" si="8">CHOOSE($C$5,K17,K18,K19)</f>
        <v>0</v>
      </c>
    </row>
    <row r="17" spans="2:18" ht="12">
      <c r="B17" s="4" t="s">
        <v>22</v>
      </c>
      <c r="C17" s="47"/>
      <c r="D17" s="47"/>
      <c r="E17" s="47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2:18" ht="12">
      <c r="B18" s="4" t="s">
        <v>24</v>
      </c>
      <c r="C18" s="47"/>
      <c r="D18" s="47"/>
      <c r="E18" s="47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2:18" ht="12">
      <c r="B19" s="4" t="s">
        <v>27</v>
      </c>
      <c r="C19" s="47"/>
      <c r="D19" s="47"/>
      <c r="E19" s="47"/>
      <c r="G19" s="19">
        <v>0</v>
      </c>
      <c r="H19" s="19">
        <v>0</v>
      </c>
      <c r="I19" s="19">
        <v>0</v>
      </c>
      <c r="J19" s="19">
        <v>0</v>
      </c>
      <c r="K19" s="19">
        <v>0</v>
      </c>
      <c r="R19" s="146"/>
    </row>
    <row r="20" spans="2:18" ht="3.75" customHeight="1">
      <c r="G20" s="20"/>
      <c r="H20" s="20"/>
      <c r="I20" s="20"/>
      <c r="J20" s="20"/>
      <c r="K20" s="20"/>
    </row>
    <row r="21" spans="2:18" ht="12">
      <c r="B21" s="4" t="s">
        <v>41</v>
      </c>
      <c r="C21" s="10">
        <f>'P&amp;L source'!D8+'P&amp;L source'!D9</f>
        <v>-142394.36746666671</v>
      </c>
      <c r="D21" s="10">
        <f>'P&amp;L source'!E8+'P&amp;L source'!E9</f>
        <v>-150572.16639999999</v>
      </c>
      <c r="E21" s="10">
        <f>'P&amp;L source'!F8+'P&amp;L source'!F9</f>
        <v>-157523.118425397</v>
      </c>
      <c r="G21" s="34">
        <f>G22*G$9</f>
        <v>-173360.51200000002</v>
      </c>
      <c r="H21" s="34">
        <f t="shared" ref="H21:K21" si="9">H22*H$9</f>
        <v>-180294.93248000005</v>
      </c>
      <c r="I21" s="34">
        <f t="shared" si="9"/>
        <v>-187506.72977920005</v>
      </c>
      <c r="J21" s="34">
        <f t="shared" si="9"/>
        <v>-195006.99897036806</v>
      </c>
      <c r="K21" s="34">
        <f t="shared" si="9"/>
        <v>-202807.27892918279</v>
      </c>
    </row>
    <row r="22" spans="2:18" ht="15">
      <c r="B22" s="50" t="s">
        <v>42</v>
      </c>
      <c r="C22" s="52">
        <f>C21/C$9</f>
        <v>-0.8035663474470901</v>
      </c>
      <c r="D22" s="52">
        <f t="shared" ref="D22:E22" si="10">D21/D$9</f>
        <v>-0.79829160737575411</v>
      </c>
      <c r="E22" s="52">
        <f t="shared" si="10"/>
        <v>-0.75599242882906514</v>
      </c>
      <c r="G22" s="19">
        <f>CHOOSE($C$5,G23,G24,G25)</f>
        <v>-0.8</v>
      </c>
      <c r="H22" s="19">
        <f t="shared" ref="H22" si="11">CHOOSE($C$5,H23,H24,H25)</f>
        <v>-0.8</v>
      </c>
      <c r="I22" s="19">
        <f t="shared" ref="I22" si="12">CHOOSE($C$5,I23,I24,I25)</f>
        <v>-0.8</v>
      </c>
      <c r="J22" s="19">
        <f t="shared" ref="J22" si="13">CHOOSE($C$5,J23,J24,J25)</f>
        <v>-0.8</v>
      </c>
      <c r="K22" s="19">
        <f t="shared" ref="K22" si="14">CHOOSE($C$5,K23,K24,K25)</f>
        <v>-0.8</v>
      </c>
    </row>
    <row r="23" spans="2:18" ht="12">
      <c r="B23" s="4" t="s">
        <v>22</v>
      </c>
      <c r="C23" s="47"/>
      <c r="D23" s="47"/>
      <c r="E23" s="47"/>
      <c r="G23" s="19">
        <v>-0.76</v>
      </c>
      <c r="H23" s="19">
        <v>-0.76</v>
      </c>
      <c r="I23" s="19">
        <v>-0.76</v>
      </c>
      <c r="J23" s="19">
        <v>-0.76</v>
      </c>
      <c r="K23" s="19">
        <v>-0.76</v>
      </c>
    </row>
    <row r="24" spans="2:18" ht="12">
      <c r="B24" s="4" t="s">
        <v>24</v>
      </c>
      <c r="C24" s="47"/>
      <c r="D24" s="47"/>
      <c r="E24" s="47"/>
      <c r="G24" s="19">
        <v>-0.78</v>
      </c>
      <c r="H24" s="19">
        <v>-0.78</v>
      </c>
      <c r="I24" s="19">
        <v>-0.78</v>
      </c>
      <c r="J24" s="19">
        <v>-0.78</v>
      </c>
      <c r="K24" s="19">
        <v>-0.78</v>
      </c>
    </row>
    <row r="25" spans="2:18" ht="12" customHeight="1">
      <c r="B25" s="4" t="s">
        <v>27</v>
      </c>
      <c r="C25" s="47"/>
      <c r="D25" s="47"/>
      <c r="E25" s="47"/>
      <c r="G25" s="19">
        <v>-0.8</v>
      </c>
      <c r="H25" s="19">
        <v>-0.8</v>
      </c>
      <c r="I25" s="19">
        <v>-0.8</v>
      </c>
      <c r="J25" s="19">
        <v>-0.8</v>
      </c>
      <c r="K25" s="19">
        <v>-0.8</v>
      </c>
    </row>
    <row r="26" spans="2:18" ht="3.75" customHeight="1">
      <c r="G26" s="20"/>
      <c r="H26" s="20"/>
      <c r="I26" s="20"/>
      <c r="J26" s="20"/>
      <c r="K26" s="20"/>
    </row>
    <row r="27" spans="2:18" ht="12" customHeight="1">
      <c r="B27" s="4" t="s">
        <v>43</v>
      </c>
      <c r="C27" s="10">
        <f>'P&amp;L source'!D10+'P&amp;L source'!D11+'P&amp;L source'!D12</f>
        <v>-18011.315200000005</v>
      </c>
      <c r="D27" s="10">
        <f>'P&amp;L source'!E10+'P&amp;L source'!E11+'P&amp;L source'!E12</f>
        <v>-19247.897599999997</v>
      </c>
      <c r="E27" s="10">
        <f>'P&amp;L source'!F10+'P&amp;L source'!F11+'P&amp;L source'!F12</f>
        <v>-23867.008000000009</v>
      </c>
      <c r="G27" s="34">
        <f>G28*G$9</f>
        <v>-23837.070400000001</v>
      </c>
      <c r="H27" s="34">
        <f t="shared" ref="H27" si="15">H28*H$9</f>
        <v>-24790.553216000004</v>
      </c>
      <c r="I27" s="34">
        <f t="shared" ref="I27" si="16">I28*I$9</f>
        <v>-25782.175344640007</v>
      </c>
      <c r="J27" s="34">
        <f t="shared" ref="J27" si="17">J28*J$9</f>
        <v>-26813.462358425608</v>
      </c>
      <c r="K27" s="34">
        <f t="shared" ref="K27" si="18">K28*K$9</f>
        <v>-27886.000852762634</v>
      </c>
    </row>
    <row r="28" spans="2:18" ht="12" customHeight="1">
      <c r="B28" s="50" t="s">
        <v>42</v>
      </c>
      <c r="C28" s="51">
        <f>C27/C$9</f>
        <v>-0.10164227016472635</v>
      </c>
      <c r="D28" s="51">
        <f t="shared" ref="D28" si="19">D27/D$9</f>
        <v>-0.10204698173026963</v>
      </c>
      <c r="E28" s="51">
        <f t="shared" ref="E28" si="20">E27/E$9</f>
        <v>-0.11454367795129727</v>
      </c>
      <c r="G28" s="19">
        <f>CHOOSE($C$5,G29,G30,G31)</f>
        <v>-0.11</v>
      </c>
      <c r="H28" s="19">
        <f t="shared" ref="H28" si="21">CHOOSE($C$5,H29,H30,H31)</f>
        <v>-0.11</v>
      </c>
      <c r="I28" s="19">
        <f t="shared" ref="I28" si="22">CHOOSE($C$5,I29,I30,I31)</f>
        <v>-0.11</v>
      </c>
      <c r="J28" s="19">
        <f t="shared" ref="J28" si="23">CHOOSE($C$5,J29,J30,J31)</f>
        <v>-0.11</v>
      </c>
      <c r="K28" s="19">
        <f t="shared" ref="K28" si="24">CHOOSE($C$5,K29,K30,K31)</f>
        <v>-0.11</v>
      </c>
    </row>
    <row r="29" spans="2:18" ht="12" customHeight="1">
      <c r="B29" s="4" t="s">
        <v>22</v>
      </c>
      <c r="C29" s="47"/>
      <c r="D29" s="47"/>
      <c r="E29" s="47"/>
      <c r="G29" s="48">
        <v>-0.1</v>
      </c>
      <c r="H29" s="48">
        <v>-0.1</v>
      </c>
      <c r="I29" s="48">
        <v>-0.1</v>
      </c>
      <c r="J29" s="48">
        <v>-0.1</v>
      </c>
      <c r="K29" s="48">
        <v>-0.1</v>
      </c>
    </row>
    <row r="30" spans="2:18" ht="12" customHeight="1">
      <c r="B30" s="4" t="s">
        <v>24</v>
      </c>
      <c r="C30" s="47"/>
      <c r="D30" s="47"/>
      <c r="E30" s="47"/>
      <c r="G30" s="48">
        <v>-0.105</v>
      </c>
      <c r="H30" s="48">
        <v>-0.105</v>
      </c>
      <c r="I30" s="48">
        <v>-0.105</v>
      </c>
      <c r="J30" s="48">
        <v>-0.105</v>
      </c>
      <c r="K30" s="48">
        <v>-0.105</v>
      </c>
    </row>
    <row r="31" spans="2:18" ht="12" customHeight="1">
      <c r="B31" s="4" t="s">
        <v>27</v>
      </c>
      <c r="C31" s="47"/>
      <c r="D31" s="47"/>
      <c r="E31" s="47"/>
      <c r="G31" s="48">
        <v>-0.11</v>
      </c>
      <c r="H31" s="48">
        <v>-0.11</v>
      </c>
      <c r="I31" s="48">
        <v>-0.11</v>
      </c>
      <c r="J31" s="48">
        <v>-0.11</v>
      </c>
      <c r="K31" s="48">
        <v>-0.11</v>
      </c>
    </row>
    <row r="32" spans="2:18" ht="3.75" customHeight="1">
      <c r="G32" s="49"/>
      <c r="H32" s="49"/>
      <c r="I32" s="49"/>
      <c r="J32" s="49"/>
      <c r="K32" s="49"/>
    </row>
    <row r="33" spans="2:11" ht="12">
      <c r="B33" s="4" t="s">
        <v>44</v>
      </c>
      <c r="C33" s="10">
        <f>'P&amp;L source'!D16</f>
        <v>-2907.8000000000006</v>
      </c>
      <c r="D33" s="10">
        <f>'P&amp;L source'!E16</f>
        <v>-4649.8</v>
      </c>
      <c r="E33" s="10">
        <f>'P&amp;L source'!F16</f>
        <v>-6430.6600000000008</v>
      </c>
      <c r="G33" s="34">
        <f>G34*G$9</f>
        <v>-6501.0191999999997</v>
      </c>
      <c r="H33" s="34">
        <f t="shared" ref="H33" si="25">H34*H$9</f>
        <v>-6761.0599680000005</v>
      </c>
      <c r="I33" s="34">
        <f t="shared" ref="I33" si="26">I34*I$9</f>
        <v>-7031.5023667200012</v>
      </c>
      <c r="J33" s="34">
        <f t="shared" ref="J33" si="27">J34*J$9</f>
        <v>-7312.762461388802</v>
      </c>
      <c r="K33" s="34">
        <f t="shared" ref="K33" si="28">K34*K$9</f>
        <v>-7605.2729598443548</v>
      </c>
    </row>
    <row r="34" spans="2:11" ht="12">
      <c r="B34" s="4" t="s">
        <v>42</v>
      </c>
      <c r="C34" s="51">
        <f>C33/C$9</f>
        <v>-1.6409428734276511E-2</v>
      </c>
      <c r="D34" s="51">
        <f t="shared" ref="D34" si="29">D33/D$9</f>
        <v>-2.4651942020379815E-2</v>
      </c>
      <c r="E34" s="51">
        <f t="shared" ref="E34" si="30">E33/E$9</f>
        <v>-3.0862328786846225E-2</v>
      </c>
      <c r="G34" s="48">
        <f>CHOOSE($C$5,G35,G36,G37)</f>
        <v>-0.03</v>
      </c>
      <c r="H34" s="48">
        <f t="shared" ref="H34" si="31">CHOOSE($C$5,H35,H36,H37)</f>
        <v>-0.03</v>
      </c>
      <c r="I34" s="48">
        <f t="shared" ref="I34" si="32">CHOOSE($C$5,I35,I36,I37)</f>
        <v>-0.03</v>
      </c>
      <c r="J34" s="48">
        <f t="shared" ref="J34" si="33">CHOOSE($C$5,J35,J36,J37)</f>
        <v>-0.03</v>
      </c>
      <c r="K34" s="48">
        <f t="shared" ref="K34" si="34">CHOOSE($C$5,K35,K36,K37)</f>
        <v>-0.03</v>
      </c>
    </row>
    <row r="35" spans="2:11" ht="12">
      <c r="B35" s="4" t="s">
        <v>22</v>
      </c>
      <c r="C35" s="47"/>
      <c r="D35" s="47"/>
      <c r="E35" s="47"/>
      <c r="G35" s="48">
        <v>-0.02</v>
      </c>
      <c r="H35" s="48">
        <v>-0.02</v>
      </c>
      <c r="I35" s="48">
        <v>-0.02</v>
      </c>
      <c r="J35" s="48">
        <v>-0.02</v>
      </c>
      <c r="K35" s="48">
        <v>-0.02</v>
      </c>
    </row>
    <row r="36" spans="2:11" ht="12">
      <c r="B36" s="4" t="s">
        <v>24</v>
      </c>
      <c r="C36" s="47"/>
      <c r="D36" s="47"/>
      <c r="E36" s="47"/>
      <c r="G36" s="48">
        <v>-2.5000000000000001E-2</v>
      </c>
      <c r="H36" s="48">
        <v>-2.5000000000000001E-2</v>
      </c>
      <c r="I36" s="48">
        <v>-2.5000000000000001E-2</v>
      </c>
      <c r="J36" s="48">
        <v>-2.5000000000000001E-2</v>
      </c>
      <c r="K36" s="48">
        <v>-2.5000000000000001E-2</v>
      </c>
    </row>
    <row r="37" spans="2:11" ht="12" customHeight="1">
      <c r="B37" s="4" t="s">
        <v>27</v>
      </c>
      <c r="C37" s="47"/>
      <c r="D37" s="47"/>
      <c r="E37" s="47"/>
      <c r="G37" s="48">
        <v>-0.03</v>
      </c>
      <c r="H37" s="48">
        <v>-0.03</v>
      </c>
      <c r="I37" s="48">
        <v>-0.03</v>
      </c>
      <c r="J37" s="48">
        <v>-0.03</v>
      </c>
      <c r="K37" s="48">
        <v>-0.03</v>
      </c>
    </row>
    <row r="38" spans="2:11" ht="3.75" customHeight="1">
      <c r="G38" s="49"/>
      <c r="H38" s="49"/>
      <c r="I38" s="49"/>
      <c r="J38" s="49"/>
      <c r="K38" s="49"/>
    </row>
    <row r="39" spans="2:11" ht="12" customHeight="1">
      <c r="B39" s="4" t="s">
        <v>45</v>
      </c>
      <c r="C39" s="10">
        <f>'P&amp;L source'!D20</f>
        <v>-1266.3000000000002</v>
      </c>
      <c r="D39" s="10">
        <f>'P&amp;L source'!E20</f>
        <v>-2190.9</v>
      </c>
      <c r="E39" s="10">
        <f>'P&amp;L source'!F20</f>
        <v>-2663.92</v>
      </c>
      <c r="G39" s="20">
        <f>E39*(1+G40)</f>
        <v>-2663.92</v>
      </c>
      <c r="H39" s="20">
        <f>G39*(1+H40)</f>
        <v>-2663.92</v>
      </c>
      <c r="I39" s="20">
        <f t="shared" ref="I39" si="35">H39*(1+I40)</f>
        <v>-2663.92</v>
      </c>
      <c r="J39" s="20">
        <f t="shared" ref="J39" si="36">I39*(1+J40)</f>
        <v>-2663.92</v>
      </c>
      <c r="K39" s="20">
        <f t="shared" ref="K39" si="37">J39*(1+K40)</f>
        <v>-2663.92</v>
      </c>
    </row>
    <row r="40" spans="2:11" ht="12" customHeight="1">
      <c r="B40" s="4" t="s">
        <v>39</v>
      </c>
      <c r="C40" s="33"/>
      <c r="D40" s="33"/>
      <c r="E40" s="33"/>
      <c r="G40" s="48">
        <f>CHOOSE($C$5,G41,G42,G43)</f>
        <v>0</v>
      </c>
      <c r="H40" s="48">
        <f t="shared" ref="H40" si="38">CHOOSE($C$5,H41,H42,H43)</f>
        <v>0</v>
      </c>
      <c r="I40" s="48">
        <f t="shared" ref="I40" si="39">CHOOSE($C$5,I41,I42,I43)</f>
        <v>0</v>
      </c>
      <c r="J40" s="48">
        <f t="shared" ref="J40" si="40">CHOOSE($C$5,J41,J42,J43)</f>
        <v>0</v>
      </c>
      <c r="K40" s="48">
        <f t="shared" ref="K40" si="41">CHOOSE($C$5,K41,K42,K43)</f>
        <v>0</v>
      </c>
    </row>
    <row r="41" spans="2:11" ht="12" customHeight="1">
      <c r="B41" s="4" t="s">
        <v>22</v>
      </c>
      <c r="C41" s="47"/>
      <c r="D41" s="47"/>
      <c r="E41" s="47"/>
      <c r="G41" s="48">
        <v>0</v>
      </c>
      <c r="H41" s="48">
        <v>0</v>
      </c>
      <c r="I41" s="48">
        <v>0</v>
      </c>
      <c r="J41" s="48">
        <v>0</v>
      </c>
      <c r="K41" s="48">
        <v>0</v>
      </c>
    </row>
    <row r="42" spans="2:11" ht="12" customHeight="1">
      <c r="B42" s="4" t="s">
        <v>24</v>
      </c>
      <c r="C42" s="47"/>
      <c r="D42" s="47"/>
      <c r="E42" s="47"/>
      <c r="G42" s="48">
        <v>0</v>
      </c>
      <c r="H42" s="48">
        <v>0</v>
      </c>
      <c r="I42" s="48">
        <v>0</v>
      </c>
      <c r="J42" s="48">
        <v>0</v>
      </c>
      <c r="K42" s="48">
        <v>0</v>
      </c>
    </row>
    <row r="43" spans="2:11" ht="12" customHeight="1">
      <c r="B43" s="4" t="s">
        <v>27</v>
      </c>
      <c r="C43" s="47"/>
      <c r="D43" s="47"/>
      <c r="E43" s="47"/>
      <c r="G43" s="48">
        <v>0</v>
      </c>
      <c r="H43" s="48">
        <v>0</v>
      </c>
      <c r="I43" s="48">
        <v>0</v>
      </c>
      <c r="J43" s="48">
        <v>0</v>
      </c>
      <c r="K43" s="48">
        <v>0</v>
      </c>
    </row>
    <row r="44" spans="2:11" ht="3.75" customHeight="1">
      <c r="G44" s="49"/>
      <c r="H44" s="49"/>
      <c r="I44" s="49"/>
      <c r="J44" s="49"/>
      <c r="K44" s="49"/>
    </row>
    <row r="45" spans="2:11" ht="12" customHeight="1">
      <c r="B45" s="4" t="s">
        <v>46</v>
      </c>
      <c r="C45" s="10">
        <f>'P&amp;L source'!D21</f>
        <v>-317.58000000000004</v>
      </c>
      <c r="D45" s="10">
        <f>'P&amp;L source'!E21</f>
        <v>-864.30000000000007</v>
      </c>
      <c r="E45" s="10">
        <f>'P&amp;L source'!F21</f>
        <v>-320.26</v>
      </c>
      <c r="F45" s="10"/>
      <c r="G45" s="34">
        <f>G46*G$9</f>
        <v>0</v>
      </c>
      <c r="H45" s="34">
        <f t="shared" ref="H45" si="42">H46*H$9</f>
        <v>0</v>
      </c>
      <c r="I45" s="34">
        <f t="shared" ref="I45" si="43">I46*I$9</f>
        <v>0</v>
      </c>
      <c r="J45" s="34">
        <f t="shared" ref="J45" si="44">J46*J$9</f>
        <v>0</v>
      </c>
      <c r="K45" s="34">
        <f t="shared" ref="K45" si="45">K46*K$9</f>
        <v>0</v>
      </c>
    </row>
    <row r="46" spans="2:11" ht="12" customHeight="1">
      <c r="B46" s="4" t="s">
        <v>39</v>
      </c>
      <c r="C46" s="51">
        <f>C45/C$9</f>
        <v>-1.7921818479371119E-3</v>
      </c>
      <c r="D46" s="51">
        <f t="shared" ref="D46" si="46">D45/D$9</f>
        <v>-4.5822774072463929E-3</v>
      </c>
      <c r="E46" s="51">
        <f t="shared" ref="E46" si="47">E45/E$9</f>
        <v>-1.5370069973028228E-3</v>
      </c>
      <c r="G46" s="48">
        <f>CHOOSE($C$5,G47,G48,G49)</f>
        <v>0</v>
      </c>
      <c r="H46" s="48">
        <f t="shared" ref="H46" si="48">CHOOSE($C$5,H47,H48,H49)</f>
        <v>0</v>
      </c>
      <c r="I46" s="48">
        <f t="shared" ref="I46" si="49">CHOOSE($C$5,I47,I48,I49)</f>
        <v>0</v>
      </c>
      <c r="J46" s="48">
        <f t="shared" ref="J46" si="50">CHOOSE($C$5,J47,J48,J49)</f>
        <v>0</v>
      </c>
      <c r="K46" s="48">
        <f t="shared" ref="K46" si="51">CHOOSE($C$5,K47,K48,K49)</f>
        <v>0</v>
      </c>
    </row>
    <row r="47" spans="2:11" ht="12" customHeight="1">
      <c r="B47" s="4" t="s">
        <v>22</v>
      </c>
      <c r="C47" s="47"/>
      <c r="D47" s="47"/>
      <c r="E47" s="47"/>
      <c r="G47" s="48">
        <v>0</v>
      </c>
      <c r="H47" s="48">
        <v>0</v>
      </c>
      <c r="I47" s="48">
        <v>0</v>
      </c>
      <c r="J47" s="48">
        <v>0</v>
      </c>
      <c r="K47" s="48">
        <v>0</v>
      </c>
    </row>
    <row r="48" spans="2:11" ht="12" customHeight="1">
      <c r="B48" s="4" t="s">
        <v>24</v>
      </c>
      <c r="C48" s="47"/>
      <c r="D48" s="47"/>
      <c r="E48" s="47"/>
      <c r="G48" s="48">
        <v>0</v>
      </c>
      <c r="H48" s="48">
        <v>0</v>
      </c>
      <c r="I48" s="48">
        <v>0</v>
      </c>
      <c r="J48" s="48">
        <v>0</v>
      </c>
      <c r="K48" s="48">
        <v>0</v>
      </c>
    </row>
    <row r="49" spans="2:11" ht="12" customHeight="1">
      <c r="B49" s="4" t="s">
        <v>27</v>
      </c>
      <c r="C49" s="47"/>
      <c r="D49" s="47"/>
      <c r="E49" s="47"/>
      <c r="G49" s="48">
        <v>0</v>
      </c>
      <c r="H49" s="48">
        <v>0</v>
      </c>
      <c r="I49" s="48">
        <v>0</v>
      </c>
      <c r="J49" s="48">
        <v>0</v>
      </c>
      <c r="K49" s="48">
        <v>0</v>
      </c>
    </row>
    <row r="50" spans="2:11" ht="3.75" customHeight="1">
      <c r="G50" s="49"/>
      <c r="H50" s="49"/>
      <c r="I50" s="49"/>
      <c r="J50" s="49"/>
      <c r="K50" s="49"/>
    </row>
    <row r="51" spans="2:11" ht="12">
      <c r="B51" s="4" t="s">
        <v>47</v>
      </c>
      <c r="C51" s="10">
        <f>'P&amp;L source'!D25</f>
        <v>-3805.7759999999998</v>
      </c>
      <c r="D51" s="10">
        <f>'P&amp;L source'!E25</f>
        <v>-3050.192</v>
      </c>
      <c r="E51" s="10">
        <f>'P&amp;L source'!F25</f>
        <v>-3814.88</v>
      </c>
      <c r="G51" s="49"/>
      <c r="H51" s="49"/>
      <c r="I51" s="49"/>
      <c r="J51" s="49"/>
      <c r="K51" s="49"/>
    </row>
    <row r="52" spans="2:11" ht="12">
      <c r="B52" s="4" t="s">
        <v>48</v>
      </c>
      <c r="C52" s="52">
        <f>'P&amp;L source'!D25/'P&amp;L source'!D23</f>
        <v>-0.2404816892893126</v>
      </c>
      <c r="D52" s="52">
        <f>'P&amp;L source'!E25/'P&amp;L source'!E23</f>
        <v>-0.22579069143565386</v>
      </c>
      <c r="E52" s="52">
        <f>'P&amp;L source'!F25/'P&amp;L source'!F23</f>
        <v>-0.18936134430001197</v>
      </c>
      <c r="G52" s="48">
        <f>CHOOSE($C$5,G53,G54,G55)</f>
        <v>-0.22</v>
      </c>
      <c r="H52" s="48">
        <f t="shared" ref="H52" si="52">CHOOSE($C$5,H53,H54,H55)</f>
        <v>-0.22</v>
      </c>
      <c r="I52" s="48">
        <f t="shared" ref="I52" si="53">CHOOSE($C$5,I53,I54,I55)</f>
        <v>-0.22</v>
      </c>
      <c r="J52" s="48">
        <f t="shared" ref="J52" si="54">CHOOSE($C$5,J53,J54,J55)</f>
        <v>-0.22</v>
      </c>
      <c r="K52" s="48">
        <f t="shared" ref="K52" si="55">CHOOSE($C$5,K53,K54,K55)</f>
        <v>-0.22</v>
      </c>
    </row>
    <row r="53" spans="2:11" ht="12">
      <c r="B53" s="4" t="s">
        <v>22</v>
      </c>
      <c r="C53" s="47"/>
      <c r="D53" s="47"/>
      <c r="E53" s="47"/>
      <c r="G53" s="48">
        <v>-0.18</v>
      </c>
      <c r="H53" s="48">
        <v>-0.18</v>
      </c>
      <c r="I53" s="48">
        <v>-0.18</v>
      </c>
      <c r="J53" s="48">
        <v>-0.18</v>
      </c>
      <c r="K53" s="48">
        <v>-0.18</v>
      </c>
    </row>
    <row r="54" spans="2:11" ht="12">
      <c r="B54" s="4" t="s">
        <v>24</v>
      </c>
      <c r="C54" s="47"/>
      <c r="D54" s="47"/>
      <c r="E54" s="47"/>
      <c r="G54" s="48">
        <v>-0.2</v>
      </c>
      <c r="H54" s="48">
        <v>-0.2</v>
      </c>
      <c r="I54" s="48">
        <v>-0.2</v>
      </c>
      <c r="J54" s="48">
        <v>-0.2</v>
      </c>
      <c r="K54" s="48">
        <v>-0.2</v>
      </c>
    </row>
    <row r="55" spans="2:11" ht="12">
      <c r="B55" s="4" t="s">
        <v>27</v>
      </c>
      <c r="C55" s="47"/>
      <c r="D55" s="47"/>
      <c r="E55" s="47"/>
      <c r="G55" s="48">
        <v>-0.22</v>
      </c>
      <c r="H55" s="48">
        <v>-0.22</v>
      </c>
      <c r="I55" s="48">
        <v>-0.22</v>
      </c>
      <c r="J55" s="48">
        <v>-0.22</v>
      </c>
      <c r="K55" s="48">
        <v>-0.22</v>
      </c>
    </row>
    <row r="57" spans="2:11">
      <c r="G57" s="32"/>
      <c r="H57" s="32"/>
      <c r="I57" s="32"/>
      <c r="J57" s="32"/>
      <c r="K57" s="32"/>
    </row>
    <row r="58" spans="2:11">
      <c r="G58" s="17"/>
      <c r="H58" s="17"/>
      <c r="I58" s="17"/>
      <c r="J58" s="17"/>
      <c r="K58" s="17"/>
    </row>
    <row r="59" spans="2:11">
      <c r="G59" s="17"/>
      <c r="H59" s="17"/>
      <c r="I59" s="17"/>
      <c r="J59" s="17"/>
      <c r="K59" s="17"/>
    </row>
    <row r="60" spans="2:11">
      <c r="G60" s="17"/>
      <c r="H60" s="17"/>
      <c r="I60" s="17"/>
      <c r="J60" s="17"/>
      <c r="K60" s="17"/>
    </row>
    <row r="61" spans="2:11">
      <c r="G61" s="17"/>
      <c r="H61" s="17"/>
      <c r="I61" s="17"/>
      <c r="J61" s="17"/>
      <c r="K61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1"/>
  <sheetViews>
    <sheetView zoomScale="130" zoomScaleNormal="130" workbookViewId="0">
      <selection activeCell="G4" sqref="G4:K4"/>
    </sheetView>
  </sheetViews>
  <sheetFormatPr defaultColWidth="9.140625" defaultRowHeight="11.45"/>
  <cols>
    <col min="1" max="1" width="2" style="4" customWidth="1"/>
    <col min="2" max="2" width="17.28515625" style="4" customWidth="1"/>
    <col min="3" max="4" width="9.140625" style="4"/>
    <col min="5" max="5" width="10" style="4" bestFit="1" customWidth="1"/>
    <col min="6" max="6" width="2" style="4" customWidth="1"/>
    <col min="7" max="7" width="11" style="4" bestFit="1" customWidth="1"/>
    <col min="8" max="16384" width="9.140625" style="4"/>
  </cols>
  <sheetData>
    <row r="1" spans="2:11" ht="15.75">
      <c r="B1" s="91" t="s">
        <v>6</v>
      </c>
    </row>
    <row r="3" spans="2:11" ht="3.75" customHeight="1"/>
    <row r="4" spans="2:11" s="92" customFormat="1" ht="21.75">
      <c r="B4" s="97" t="s">
        <v>29</v>
      </c>
      <c r="C4" s="98" t="s">
        <v>49</v>
      </c>
      <c r="D4" s="98" t="s">
        <v>50</v>
      </c>
      <c r="E4" s="98" t="s">
        <v>51</v>
      </c>
      <c r="F4" s="93"/>
      <c r="G4" s="99" t="s">
        <v>52</v>
      </c>
      <c r="H4" s="99" t="s">
        <v>53</v>
      </c>
      <c r="I4" s="99" t="s">
        <v>54</v>
      </c>
      <c r="J4" s="99" t="s">
        <v>55</v>
      </c>
      <c r="K4" s="99" t="s">
        <v>56</v>
      </c>
    </row>
    <row r="5" spans="2:11" ht="12">
      <c r="B5" s="4" t="s">
        <v>57</v>
      </c>
      <c r="C5" s="10">
        <f>'BS source'!D11</f>
        <v>32883.599999999999</v>
      </c>
      <c r="D5" s="10">
        <f>'BS source'!E11</f>
        <v>38556</v>
      </c>
      <c r="E5" s="10">
        <f>'BS source'!F11</f>
        <v>43581.599999999999</v>
      </c>
      <c r="G5" s="20">
        <f>G6*'P&amp;L assumptions'!G9/360</f>
        <v>45324.863999999994</v>
      </c>
      <c r="H5" s="20">
        <f>H6*'P&amp;L assumptions'!H9/360</f>
        <v>47137.858560000001</v>
      </c>
      <c r="I5" s="20">
        <f>I6*'P&amp;L assumptions'!I9/360</f>
        <v>49023.372902400006</v>
      </c>
      <c r="J5" s="20">
        <f>J6*'P&amp;L assumptions'!J9/360</f>
        <v>50984.30781849601</v>
      </c>
      <c r="K5" s="20">
        <f>K6*'P&amp;L assumptions'!K9/360</f>
        <v>53023.680131235851</v>
      </c>
    </row>
    <row r="6" spans="2:11" ht="12">
      <c r="B6" s="13" t="s">
        <v>58</v>
      </c>
      <c r="C6" s="13">
        <f>C5/'P&amp;L assumptions'!C9*360</f>
        <v>66.805279820319072</v>
      </c>
      <c r="D6" s="13">
        <f>D5/'P&amp;L assumptions'!D9*360</f>
        <v>73.588734903349632</v>
      </c>
      <c r="E6" s="13">
        <f>E5/'P&amp;L assumptions'!E9*360</f>
        <v>75.297198199322338</v>
      </c>
      <c r="F6" s="13"/>
      <c r="G6" s="54">
        <f>E6</f>
        <v>75.297198199322338</v>
      </c>
      <c r="H6" s="54">
        <f>G6</f>
        <v>75.297198199322338</v>
      </c>
      <c r="I6" s="54">
        <f t="shared" ref="I6:K6" si="0">H6</f>
        <v>75.297198199322338</v>
      </c>
      <c r="J6" s="54">
        <f t="shared" si="0"/>
        <v>75.297198199322338</v>
      </c>
      <c r="K6" s="54">
        <f t="shared" si="0"/>
        <v>75.297198199322338</v>
      </c>
    </row>
    <row r="7" spans="2:11">
      <c r="C7" s="10"/>
      <c r="D7" s="10"/>
      <c r="E7" s="10"/>
      <c r="G7" s="14"/>
      <c r="H7" s="14"/>
      <c r="I7" s="14"/>
      <c r="J7" s="14"/>
      <c r="K7" s="14"/>
    </row>
    <row r="8" spans="2:11">
      <c r="B8" s="4" t="s">
        <v>59</v>
      </c>
      <c r="C8" s="10">
        <f>'BS source'!D10</f>
        <v>31167.200000000001</v>
      </c>
      <c r="D8" s="10">
        <f>'BS source'!E10</f>
        <v>36396.800000000003</v>
      </c>
      <c r="E8" s="10">
        <f>'BS source'!F10</f>
        <v>46212</v>
      </c>
      <c r="G8" s="20">
        <f>G9*'P&amp;L assumptions'!G21/360</f>
        <v>-50858.160126750998</v>
      </c>
      <c r="H8" s="20">
        <f>H9*'P&amp;L assumptions'!H21/360</f>
        <v>-52892.48653182105</v>
      </c>
      <c r="I8" s="20">
        <f>I9*'P&amp;L assumptions'!I21/360</f>
        <v>-55008.185993093881</v>
      </c>
      <c r="J8" s="20">
        <f>J9*'P&amp;L assumptions'!J21/360</f>
        <v>-57208.51343281765</v>
      </c>
      <c r="K8" s="20">
        <f>K9*'P&amp;L assumptions'!K21/360</f>
        <v>-59496.85397013036</v>
      </c>
    </row>
    <row r="9" spans="2:11">
      <c r="B9" s="13" t="s">
        <v>60</v>
      </c>
      <c r="C9" s="53">
        <f>-C8/'P&amp;L assumptions'!C$21*360</f>
        <v>78.796599890979181</v>
      </c>
      <c r="D9" s="53">
        <f>-D8/'P&amp;L assumptions'!D$21*360</f>
        <v>87.020385727810066</v>
      </c>
      <c r="E9" s="53">
        <f>-E8/'P&amp;L assumptions'!E$21*360</f>
        <v>105.61192646702818</v>
      </c>
      <c r="G9" s="36">
        <f>E9</f>
        <v>105.61192646702818</v>
      </c>
      <c r="H9" s="36">
        <f>G9</f>
        <v>105.61192646702818</v>
      </c>
      <c r="I9" s="36">
        <f t="shared" ref="I9:K9" si="1">H9</f>
        <v>105.61192646702818</v>
      </c>
      <c r="J9" s="36">
        <f t="shared" si="1"/>
        <v>105.61192646702818</v>
      </c>
      <c r="K9" s="36">
        <f t="shared" si="1"/>
        <v>105.61192646702818</v>
      </c>
    </row>
    <row r="10" spans="2:11">
      <c r="C10" s="10"/>
      <c r="D10" s="10"/>
      <c r="E10" s="10"/>
      <c r="G10" s="14"/>
      <c r="H10" s="14"/>
      <c r="I10" s="14"/>
      <c r="J10" s="14"/>
      <c r="K10" s="14"/>
    </row>
    <row r="11" spans="2:11">
      <c r="B11" s="4" t="s">
        <v>61</v>
      </c>
      <c r="C11" s="10">
        <f>'BS source'!J10</f>
        <v>15891.2</v>
      </c>
      <c r="D11" s="10">
        <f>'BS source'!K10</f>
        <v>26351.599999999999</v>
      </c>
      <c r="E11" s="10">
        <f>'BS source'!L10</f>
        <v>36189.599999999999</v>
      </c>
      <c r="G11" s="20">
        <f>G12*'P&amp;L assumptions'!G21/360</f>
        <v>-39828.106806090793</v>
      </c>
      <c r="H11" s="20">
        <f>H12*'P&amp;L assumptions'!H21/360</f>
        <v>-41421.231078334436</v>
      </c>
      <c r="I11" s="20">
        <f>I12*'P&amp;L assumptions'!I21/360</f>
        <v>-43078.080321467816</v>
      </c>
      <c r="J11" s="20">
        <f>J12*'P&amp;L assumptions'!J21/360</f>
        <v>-44801.203534326523</v>
      </c>
      <c r="K11" s="20">
        <f>K12*'P&amp;L assumptions'!K21/360</f>
        <v>-46593.25167569959</v>
      </c>
    </row>
    <row r="12" spans="2:11">
      <c r="B12" s="13" t="s">
        <v>62</v>
      </c>
      <c r="C12" s="53">
        <f>-C11/'P&amp;L assumptions'!C$21*360</f>
        <v>40.175971155173656</v>
      </c>
      <c r="D12" s="53">
        <f>-D11/'P&amp;L assumptions'!D$21*360</f>
        <v>63.003516697758023</v>
      </c>
      <c r="E12" s="53">
        <f>-E11/'P&amp;L assumptions'!E$21*360</f>
        <v>82.706945686643365</v>
      </c>
      <c r="G12" s="36">
        <f>E12</f>
        <v>82.706945686643365</v>
      </c>
      <c r="H12" s="36">
        <f>G12</f>
        <v>82.706945686643365</v>
      </c>
      <c r="I12" s="36">
        <f t="shared" ref="I12:K12" si="2">H12</f>
        <v>82.706945686643365</v>
      </c>
      <c r="J12" s="36">
        <f t="shared" si="2"/>
        <v>82.706945686643365</v>
      </c>
      <c r="K12" s="36">
        <f t="shared" si="2"/>
        <v>82.706945686643365</v>
      </c>
    </row>
    <row r="13" spans="2:11">
      <c r="C13" s="10"/>
      <c r="D13" s="10"/>
      <c r="E13" s="10"/>
      <c r="G13" s="14"/>
      <c r="H13" s="14"/>
      <c r="I13" s="14"/>
      <c r="J13" s="14"/>
      <c r="K13" s="14"/>
    </row>
    <row r="14" spans="2:11">
      <c r="B14" s="4" t="s">
        <v>63</v>
      </c>
      <c r="C14" s="10">
        <f>'BS source'!D5</f>
        <v>45106.400000000001</v>
      </c>
      <c r="D14" s="10">
        <f>'BS source'!E5</f>
        <v>49072.4</v>
      </c>
      <c r="E14" s="10">
        <f>'BS source'!F5</f>
        <v>56109.2</v>
      </c>
      <c r="G14" s="20">
        <f>G15*'P&amp;L assumptions'!G$9</f>
        <v>56630.854109233122</v>
      </c>
      <c r="H14" s="20">
        <f>H15*'P&amp;L assumptions'!H9</f>
        <v>58896.08827360245</v>
      </c>
      <c r="I14" s="20">
        <f>I15*'P&amp;L assumptions'!I9</f>
        <v>61251.931804546555</v>
      </c>
      <c r="J14" s="20">
        <f>J15*'P&amp;L assumptions'!J9</f>
        <v>63702.009076728427</v>
      </c>
      <c r="K14" s="20">
        <f>K15*'P&amp;L assumptions'!K9</f>
        <v>66250.089439797564</v>
      </c>
    </row>
    <row r="15" spans="2:11">
      <c r="B15" s="13" t="s">
        <v>64</v>
      </c>
      <c r="C15" s="35">
        <f>C14/'P&amp;L assumptions'!C$9</f>
        <v>0.25454648059005774</v>
      </c>
      <c r="D15" s="35">
        <f>D14/'P&amp;L assumptions'!D$9</f>
        <v>0.26016817058817293</v>
      </c>
      <c r="E15" s="35">
        <f>E14/'P&amp;L assumptions'!E$9</f>
        <v>0.26928193659234229</v>
      </c>
      <c r="G15" s="19">
        <f>AVERAGE($C15:$E15)</f>
        <v>0.26133219592352436</v>
      </c>
      <c r="H15" s="19">
        <f t="shared" ref="H15:K15" si="3">AVERAGE($C15:$E15)</f>
        <v>0.26133219592352436</v>
      </c>
      <c r="I15" s="19">
        <f t="shared" si="3"/>
        <v>0.26133219592352436</v>
      </c>
      <c r="J15" s="19">
        <f t="shared" si="3"/>
        <v>0.26133219592352436</v>
      </c>
      <c r="K15" s="19">
        <f t="shared" si="3"/>
        <v>0.26133219592352436</v>
      </c>
    </row>
    <row r="16" spans="2:11">
      <c r="C16" s="10"/>
      <c r="D16" s="10"/>
      <c r="E16" s="10"/>
      <c r="G16" s="14"/>
      <c r="H16" s="14"/>
      <c r="I16" s="14"/>
      <c r="J16" s="14"/>
      <c r="K16" s="14"/>
    </row>
    <row r="17" spans="2:11">
      <c r="B17" s="4" t="s">
        <v>65</v>
      </c>
      <c r="C17" s="10">
        <f>'BS source'!D12</f>
        <v>8841.6</v>
      </c>
      <c r="D17" s="10">
        <f>'BS source'!E12</f>
        <v>11359.199999999999</v>
      </c>
      <c r="E17" s="10">
        <f>'BS source'!F12</f>
        <v>17602.8</v>
      </c>
      <c r="G17" s="20">
        <f>G18*'P&amp;L assumptions'!G$9</f>
        <v>14056.562930648053</v>
      </c>
      <c r="H17" s="20">
        <f>H18*'P&amp;L assumptions'!H$9</f>
        <v>14618.825447873976</v>
      </c>
      <c r="I17" s="20">
        <f>I18*'P&amp;L assumptions'!I$9</f>
        <v>15203.578465788938</v>
      </c>
      <c r="J17" s="20">
        <f>J18*'P&amp;L assumptions'!J$9</f>
        <v>15811.721604420496</v>
      </c>
      <c r="K17" s="20">
        <f>K18*'P&amp;L assumptions'!K$9</f>
        <v>16444.190468597317</v>
      </c>
    </row>
    <row r="18" spans="2:11">
      <c r="B18" s="13" t="s">
        <v>64</v>
      </c>
      <c r="C18" s="35">
        <f>C17/'P&amp;L assumptions'!C$9</f>
        <v>4.9895317799360059E-2</v>
      </c>
      <c r="D18" s="35">
        <f>D17/'P&amp;L assumptions'!D$9</f>
        <v>6.0223308485934532E-2</v>
      </c>
      <c r="E18" s="35">
        <f>E17/'P&amp;L assumptions'!E$9</f>
        <v>8.4480193505658316E-2</v>
      </c>
      <c r="G18" s="19">
        <f>AVERAGE($C18:$E18)</f>
        <v>6.4866273263650964E-2</v>
      </c>
      <c r="H18" s="19">
        <f t="shared" ref="H18:K18" si="4">AVERAGE($C18:$E18)</f>
        <v>6.4866273263650964E-2</v>
      </c>
      <c r="I18" s="19">
        <f t="shared" si="4"/>
        <v>6.4866273263650964E-2</v>
      </c>
      <c r="J18" s="19">
        <f t="shared" si="4"/>
        <v>6.4866273263650964E-2</v>
      </c>
      <c r="K18" s="19">
        <f t="shared" si="4"/>
        <v>6.4866273263650964E-2</v>
      </c>
    </row>
    <row r="19" spans="2:11">
      <c r="C19" s="10"/>
      <c r="D19" s="10"/>
      <c r="E19" s="10"/>
      <c r="G19" s="14"/>
      <c r="H19" s="14"/>
      <c r="I19" s="14"/>
      <c r="J19" s="14"/>
      <c r="K19" s="14"/>
    </row>
    <row r="20" spans="2:11">
      <c r="B20" s="4" t="s">
        <v>66</v>
      </c>
      <c r="C20" s="10">
        <f>'BS source'!J11+'BS source'!J12+'BS source'!J13</f>
        <v>5969.0386666666891</v>
      </c>
      <c r="D20" s="10">
        <f>'BS source'!K11+'BS source'!K12+'BS source'!K13</f>
        <v>5800.3560000000052</v>
      </c>
      <c r="E20" s="10">
        <f>'BS source'!L11+'BS source'!L12+'BS source'!L13</f>
        <v>8473.4464253970418</v>
      </c>
      <c r="G20" s="20">
        <f>G21*'P&amp;L assumptions'!G$9</f>
        <v>7591.9469069919087</v>
      </c>
      <c r="H20" s="20">
        <f>H21*'P&amp;L assumptions'!H$9</f>
        <v>7895.6247832715862</v>
      </c>
      <c r="I20" s="20">
        <f>I21*'P&amp;L assumptions'!I$9</f>
        <v>8211.4497746024499</v>
      </c>
      <c r="J20" s="20">
        <f>J21*'P&amp;L assumptions'!J$9</f>
        <v>8539.9077655865494</v>
      </c>
      <c r="K20" s="20">
        <f>K21*'P&amp;L assumptions'!K$9</f>
        <v>8881.5040762100107</v>
      </c>
    </row>
    <row r="21" spans="2:11">
      <c r="B21" s="13" t="s">
        <v>64</v>
      </c>
      <c r="C21" s="35">
        <f>C20/'P&amp;L assumptions'!C$9</f>
        <v>3.368474950574589E-2</v>
      </c>
      <c r="D21" s="35">
        <f>D20/'P&amp;L assumptions'!D$9</f>
        <v>3.0751868856630889E-2</v>
      </c>
      <c r="E21" s="35">
        <f>E20/'P&amp;L assumptions'!E$9</f>
        <v>4.0666166387016318E-2</v>
      </c>
      <c r="G21" s="19">
        <f>AVERAGE($C21:$E21)</f>
        <v>3.5034261583131034E-2</v>
      </c>
      <c r="H21" s="19">
        <f t="shared" ref="H21:K21" si="5">AVERAGE($C21:$E21)</f>
        <v>3.5034261583131034E-2</v>
      </c>
      <c r="I21" s="19">
        <f t="shared" si="5"/>
        <v>3.5034261583131034E-2</v>
      </c>
      <c r="J21" s="19">
        <f t="shared" si="5"/>
        <v>3.5034261583131034E-2</v>
      </c>
      <c r="K21" s="19">
        <f t="shared" si="5"/>
        <v>3.5034261583131034E-2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1:B11"/>
  <sheetViews>
    <sheetView zoomScale="130" zoomScaleNormal="130" workbookViewId="0">
      <selection activeCell="M21" sqref="M21"/>
    </sheetView>
  </sheetViews>
  <sheetFormatPr defaultColWidth="9.140625" defaultRowHeight="11.45"/>
  <cols>
    <col min="1" max="1" width="2" style="1" customWidth="1"/>
    <col min="2" max="16384" width="9.140625" style="1"/>
  </cols>
  <sheetData>
    <row r="1" spans="2:2" ht="15.6">
      <c r="B1" s="2"/>
    </row>
    <row r="11" spans="2:2" s="90" customFormat="1" ht="41.25">
      <c r="B11" s="89" t="s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56"/>
  <sheetViews>
    <sheetView zoomScale="130" zoomScaleNormal="130" workbookViewId="0">
      <selection activeCell="N18" sqref="N18"/>
    </sheetView>
  </sheetViews>
  <sheetFormatPr defaultColWidth="9.140625" defaultRowHeight="11.45"/>
  <cols>
    <col min="1" max="1" width="2" style="4" customWidth="1"/>
    <col min="2" max="2" width="18.28515625" style="4" bestFit="1" customWidth="1"/>
    <col min="3" max="3" width="10.5703125" style="4" bestFit="1" customWidth="1"/>
    <col min="4" max="5" width="9.140625" style="4"/>
    <col min="6" max="6" width="2" style="4" customWidth="1"/>
    <col min="7" max="7" width="10.5703125" style="4" bestFit="1" customWidth="1"/>
    <col min="8" max="11" width="9.140625" style="4"/>
    <col min="12" max="12" width="2" style="4" customWidth="1"/>
    <col min="13" max="16384" width="9.140625" style="4"/>
  </cols>
  <sheetData>
    <row r="1" spans="2:13" ht="15.75">
      <c r="B1" s="91" t="s">
        <v>8</v>
      </c>
    </row>
    <row r="2" spans="2:13" ht="12"/>
    <row r="3" spans="2:13" s="92" customFormat="1" ht="21.75">
      <c r="B3" s="97" t="s">
        <v>29</v>
      </c>
      <c r="C3" s="98" t="s">
        <v>30</v>
      </c>
      <c r="D3" s="98" t="s">
        <v>31</v>
      </c>
      <c r="E3" s="98" t="s">
        <v>32</v>
      </c>
      <c r="F3" s="93"/>
      <c r="G3" s="99" t="s">
        <v>33</v>
      </c>
      <c r="H3" s="99" t="s">
        <v>34</v>
      </c>
      <c r="I3" s="99" t="s">
        <v>35</v>
      </c>
      <c r="J3" s="99" t="s">
        <v>36</v>
      </c>
      <c r="K3" s="99" t="s">
        <v>37</v>
      </c>
      <c r="L3" s="107"/>
      <c r="M3" s="108"/>
    </row>
    <row r="4" spans="2:13" ht="12">
      <c r="B4" s="4" t="s">
        <v>38</v>
      </c>
      <c r="C4" s="10">
        <f>SUMIF('P&amp;L assumptions'!$B:$B,'P&amp;L'!$B4,'P&amp;L assumptions'!C:C)</f>
        <v>177203</v>
      </c>
      <c r="D4" s="10">
        <f>SUMIF('P&amp;L assumptions'!$B:$B,'P&amp;L'!$B4,'P&amp;L assumptions'!D:D)</f>
        <v>188618</v>
      </c>
      <c r="E4" s="10">
        <f>SUMIF('P&amp;L assumptions'!$B:$B,'P&amp;L'!$B4,'P&amp;L assumptions'!E:E)</f>
        <v>208366</v>
      </c>
      <c r="G4" s="20">
        <f>SUMIF('P&amp;L assumptions'!$B:$B,'P&amp;L'!$B4,'P&amp;L assumptions'!G:G)</f>
        <v>216700.64</v>
      </c>
      <c r="H4" s="20">
        <f>SUMIF('P&amp;L assumptions'!$B:$B,'P&amp;L'!$B4,'P&amp;L assumptions'!H:H)</f>
        <v>225368.66560000004</v>
      </c>
      <c r="I4" s="20">
        <f>SUMIF('P&amp;L assumptions'!$B:$B,'P&amp;L'!$B4,'P&amp;L assumptions'!I:I)</f>
        <v>234383.41222400006</v>
      </c>
      <c r="J4" s="20">
        <f>SUMIF('P&amp;L assumptions'!$B:$B,'P&amp;L'!$B4,'P&amp;L assumptions'!J:J)</f>
        <v>243758.74871296008</v>
      </c>
      <c r="K4" s="20">
        <f>SUMIF('P&amp;L assumptions'!$B:$B,'P&amp;L'!$B4,'P&amp;L assumptions'!K:K)</f>
        <v>253509.09866147849</v>
      </c>
    </row>
    <row r="5" spans="2:13">
      <c r="B5" s="4" t="s">
        <v>67</v>
      </c>
      <c r="C5" s="10">
        <f>SUMIF('P&amp;L assumptions'!$B:$B,'P&amp;L'!$B5,'P&amp;L assumptions'!C:C)</f>
        <v>3520</v>
      </c>
      <c r="D5" s="10">
        <f>SUMIF('P&amp;L assumptions'!$B:$B,'P&amp;L'!$B5,'P&amp;L assumptions'!D:D)</f>
        <v>2416</v>
      </c>
      <c r="E5" s="10">
        <f>SUMIF('P&amp;L assumptions'!$B:$B,'P&amp;L'!$B5,'P&amp;L assumptions'!E:E)</f>
        <v>2585</v>
      </c>
      <c r="G5" s="20">
        <f>SUMIF('P&amp;L assumptions'!$B:$B,'P&amp;L'!$B5,'P&amp;L assumptions'!G:G)</f>
        <v>2585</v>
      </c>
      <c r="H5" s="20">
        <f>SUMIF('P&amp;L assumptions'!$B:$B,'P&amp;L'!$B5,'P&amp;L assumptions'!H:H)</f>
        <v>2585</v>
      </c>
      <c r="I5" s="20">
        <f>SUMIF('P&amp;L assumptions'!$B:$B,'P&amp;L'!$B5,'P&amp;L assumptions'!I:I)</f>
        <v>2585</v>
      </c>
      <c r="J5" s="20">
        <f>SUMIF('P&amp;L assumptions'!$B:$B,'P&amp;L'!$B5,'P&amp;L assumptions'!J:J)</f>
        <v>2585</v>
      </c>
      <c r="K5" s="20">
        <f>SUMIF('P&amp;L assumptions'!$B:$B,'P&amp;L'!$B5,'P&amp;L assumptions'!K:K)</f>
        <v>2585</v>
      </c>
    </row>
    <row r="6" spans="2:13" s="92" customFormat="1" ht="12">
      <c r="B6" s="100" t="s">
        <v>68</v>
      </c>
      <c r="C6" s="101">
        <f>C4+C5</f>
        <v>180723</v>
      </c>
      <c r="D6" s="101">
        <f t="shared" ref="D6:E6" si="0">D4+D5</f>
        <v>191034</v>
      </c>
      <c r="E6" s="101">
        <f t="shared" si="0"/>
        <v>210951</v>
      </c>
      <c r="F6" s="101"/>
      <c r="G6" s="102">
        <f t="shared" ref="D6:K6" si="1">G4+G5</f>
        <v>219285.64</v>
      </c>
      <c r="H6" s="102">
        <f t="shared" si="1"/>
        <v>227953.66560000004</v>
      </c>
      <c r="I6" s="102">
        <f t="shared" si="1"/>
        <v>236968.41222400006</v>
      </c>
      <c r="J6" s="102">
        <f t="shared" si="1"/>
        <v>246343.74871296008</v>
      </c>
      <c r="K6" s="102">
        <f t="shared" si="1"/>
        <v>256094.09866147849</v>
      </c>
    </row>
    <row r="7" spans="2:13">
      <c r="B7" s="4" t="s">
        <v>69</v>
      </c>
      <c r="C7" s="10">
        <f>SUMIF('P&amp;L assumptions'!$B:$B,'P&amp;L'!$B7,'P&amp;L assumptions'!C:C)</f>
        <v>-142394.36746666671</v>
      </c>
      <c r="D7" s="10">
        <f>SUMIF('P&amp;L assumptions'!$B:$B,'P&amp;L'!$B7,'P&amp;L assumptions'!D:D)</f>
        <v>-150572.16639999999</v>
      </c>
      <c r="E7" s="10">
        <f>SUMIF('P&amp;L assumptions'!$B:$B,'P&amp;L'!$B7,'P&amp;L assumptions'!E:E)</f>
        <v>-157523.118425397</v>
      </c>
      <c r="F7" s="10"/>
      <c r="G7" s="20">
        <f>SUMIF('P&amp;L assumptions'!$B:$B,'P&amp;L'!$B7,'P&amp;L assumptions'!G:G)</f>
        <v>-173360.51200000002</v>
      </c>
      <c r="H7" s="20">
        <f>SUMIF('P&amp;L assumptions'!$B:$B,'P&amp;L'!$B7,'P&amp;L assumptions'!H:H)</f>
        <v>-180294.93248000005</v>
      </c>
      <c r="I7" s="20">
        <f>SUMIF('P&amp;L assumptions'!$B:$B,'P&amp;L'!$B7,'P&amp;L assumptions'!I:I)</f>
        <v>-187506.72977920005</v>
      </c>
      <c r="J7" s="20">
        <f>SUMIF('P&amp;L assumptions'!$B:$B,'P&amp;L'!$B7,'P&amp;L assumptions'!J:J)</f>
        <v>-195006.99897036806</v>
      </c>
      <c r="K7" s="20">
        <f>SUMIF('P&amp;L assumptions'!$B:$B,'P&amp;L'!$B7,'P&amp;L assumptions'!K:K)</f>
        <v>-202807.27892918279</v>
      </c>
    </row>
    <row r="8" spans="2:13" s="92" customFormat="1" ht="12">
      <c r="B8" s="100" t="s">
        <v>70</v>
      </c>
      <c r="C8" s="101">
        <f>C6+C7</f>
        <v>38328.632533333293</v>
      </c>
      <c r="D8" s="101">
        <f t="shared" ref="D8:E8" si="2">D6+D7</f>
        <v>40461.833600000013</v>
      </c>
      <c r="E8" s="101">
        <f t="shared" si="2"/>
        <v>53427.881574603001</v>
      </c>
      <c r="F8" s="101"/>
      <c r="G8" s="102">
        <f>G6+G7</f>
        <v>45925.127999999997</v>
      </c>
      <c r="H8" s="102">
        <f t="shared" ref="H8:K8" si="3">H6+H7</f>
        <v>47658.73311999999</v>
      </c>
      <c r="I8" s="102">
        <f t="shared" si="3"/>
        <v>49461.682444800012</v>
      </c>
      <c r="J8" s="102">
        <f t="shared" si="3"/>
        <v>51336.749742592016</v>
      </c>
      <c r="K8" s="102">
        <f t="shared" si="3"/>
        <v>53286.819732295698</v>
      </c>
    </row>
    <row r="9" spans="2:13" ht="3.75" customHeight="1">
      <c r="G9" s="14"/>
      <c r="H9" s="14"/>
      <c r="I9" s="14"/>
      <c r="J9" s="14"/>
      <c r="K9" s="14"/>
    </row>
    <row r="10" spans="2:13">
      <c r="B10" s="4" t="s">
        <v>43</v>
      </c>
      <c r="C10" s="10">
        <f>SUMIF('P&amp;L assumptions'!$B:$B,'P&amp;L'!$B10,'P&amp;L assumptions'!C:C)</f>
        <v>-18011.315200000005</v>
      </c>
      <c r="D10" s="10">
        <f>SUMIF('P&amp;L assumptions'!$B:$B,'P&amp;L'!$B10,'P&amp;L assumptions'!D:D)</f>
        <v>-19247.897599999997</v>
      </c>
      <c r="E10" s="10">
        <f>SUMIF('P&amp;L assumptions'!$B:$B,'P&amp;L'!$B10,'P&amp;L assumptions'!E:E)</f>
        <v>-23867.008000000009</v>
      </c>
      <c r="F10" s="10"/>
      <c r="G10" s="20">
        <f>SUMIF('P&amp;L assumptions'!$B:$B,'P&amp;L'!$B10,'P&amp;L assumptions'!G:G)</f>
        <v>-23837.070400000001</v>
      </c>
      <c r="H10" s="20">
        <f>SUMIF('P&amp;L assumptions'!$B:$B,'P&amp;L'!$B10,'P&amp;L assumptions'!H:H)</f>
        <v>-24790.553216000004</v>
      </c>
      <c r="I10" s="20">
        <f>SUMIF('P&amp;L assumptions'!$B:$B,'P&amp;L'!$B10,'P&amp;L assumptions'!I:I)</f>
        <v>-25782.175344640007</v>
      </c>
      <c r="J10" s="20">
        <f>SUMIF('P&amp;L assumptions'!$B:$B,'P&amp;L'!$B10,'P&amp;L assumptions'!J:J)</f>
        <v>-26813.462358425608</v>
      </c>
      <c r="K10" s="20">
        <f>SUMIF('P&amp;L assumptions'!$B:$B,'P&amp;L'!$B10,'P&amp;L assumptions'!K:K)</f>
        <v>-27886.000852762634</v>
      </c>
    </row>
    <row r="11" spans="2:13" s="92" customFormat="1" ht="12">
      <c r="B11" s="100" t="s">
        <v>71</v>
      </c>
      <c r="C11" s="101">
        <f>C8+C10</f>
        <v>20317.317333333289</v>
      </c>
      <c r="D11" s="101">
        <f t="shared" ref="D11:E11" si="4">D8+D10</f>
        <v>21213.936000000016</v>
      </c>
      <c r="E11" s="101">
        <f t="shared" si="4"/>
        <v>29560.873574602992</v>
      </c>
      <c r="F11" s="101"/>
      <c r="G11" s="102">
        <f t="shared" ref="D11:K11" si="5">G8+G10</f>
        <v>22088.057599999996</v>
      </c>
      <c r="H11" s="102">
        <f t="shared" si="5"/>
        <v>22868.179903999986</v>
      </c>
      <c r="I11" s="102">
        <f t="shared" si="5"/>
        <v>23679.507100160004</v>
      </c>
      <c r="J11" s="102">
        <f t="shared" si="5"/>
        <v>24523.287384166408</v>
      </c>
      <c r="K11" s="102">
        <f t="shared" si="5"/>
        <v>25400.818879533064</v>
      </c>
    </row>
    <row r="12" spans="2:13" ht="3.75" customHeight="1">
      <c r="C12" s="10"/>
      <c r="D12" s="10"/>
      <c r="E12" s="10"/>
      <c r="F12" s="10"/>
      <c r="G12" s="20"/>
      <c r="H12" s="20"/>
      <c r="I12" s="20"/>
      <c r="J12" s="20"/>
      <c r="K12" s="20"/>
    </row>
    <row r="13" spans="2:13">
      <c r="B13" s="4" t="s">
        <v>44</v>
      </c>
      <c r="C13" s="10">
        <f>SUMIF('P&amp;L assumptions'!$B:$B,'P&amp;L'!$B13,'P&amp;L assumptions'!C:C)</f>
        <v>-2907.8000000000006</v>
      </c>
      <c r="D13" s="10">
        <f>SUMIF('P&amp;L assumptions'!$B:$B,'P&amp;L'!$B13,'P&amp;L assumptions'!D:D)</f>
        <v>-4649.8</v>
      </c>
      <c r="E13" s="10">
        <f>SUMIF('P&amp;L assumptions'!$B:$B,'P&amp;L'!$B13,'P&amp;L assumptions'!E:E)</f>
        <v>-6430.6600000000008</v>
      </c>
      <c r="F13" s="10"/>
      <c r="G13" s="20">
        <f>SUMIF('P&amp;L assumptions'!$B:$B,'P&amp;L'!$B13,'P&amp;L assumptions'!G:G)</f>
        <v>-6501.0191999999997</v>
      </c>
      <c r="H13" s="20">
        <f>SUMIF('P&amp;L assumptions'!$B:$B,'P&amp;L'!$B13,'P&amp;L assumptions'!H:H)</f>
        <v>-6761.0599680000005</v>
      </c>
      <c r="I13" s="20">
        <f>SUMIF('P&amp;L assumptions'!$B:$B,'P&amp;L'!$B13,'P&amp;L assumptions'!I:I)</f>
        <v>-7031.5023667200012</v>
      </c>
      <c r="J13" s="20">
        <f>SUMIF('P&amp;L assumptions'!$B:$B,'P&amp;L'!$B13,'P&amp;L assumptions'!J:J)</f>
        <v>-7312.762461388802</v>
      </c>
      <c r="K13" s="20">
        <f>SUMIF('P&amp;L assumptions'!$B:$B,'P&amp;L'!$B13,'P&amp;L assumptions'!K:K)</f>
        <v>-7605.2729598443548</v>
      </c>
    </row>
    <row r="14" spans="2:13" s="92" customFormat="1" ht="12">
      <c r="B14" s="100" t="s">
        <v>72</v>
      </c>
      <c r="C14" s="101">
        <f>C11+C13</f>
        <v>17409.51733333329</v>
      </c>
      <c r="D14" s="101">
        <f t="shared" ref="D14:E14" si="6">D11+D13</f>
        <v>16564.136000000017</v>
      </c>
      <c r="E14" s="101">
        <f t="shared" si="6"/>
        <v>23130.213574602993</v>
      </c>
      <c r="F14" s="101"/>
      <c r="G14" s="102">
        <f>G11+G13</f>
        <v>15587.038399999998</v>
      </c>
      <c r="H14" s="102">
        <f t="shared" ref="H14:K14" si="7">H11+H13</f>
        <v>16107.119935999985</v>
      </c>
      <c r="I14" s="102">
        <f t="shared" si="7"/>
        <v>16648.004733440004</v>
      </c>
      <c r="J14" s="102">
        <f t="shared" si="7"/>
        <v>17210.524922777608</v>
      </c>
      <c r="K14" s="102">
        <f t="shared" si="7"/>
        <v>17795.54591968871</v>
      </c>
    </row>
    <row r="15" spans="2:13" ht="3.75" customHeight="1">
      <c r="B15" s="16"/>
      <c r="C15" s="22"/>
      <c r="D15" s="22"/>
      <c r="E15" s="22"/>
      <c r="F15" s="22"/>
      <c r="G15" s="55"/>
      <c r="H15" s="55"/>
      <c r="I15" s="55"/>
      <c r="J15" s="55"/>
      <c r="K15" s="55"/>
    </row>
    <row r="16" spans="2:13" ht="12" customHeight="1">
      <c r="B16" s="4" t="s">
        <v>73</v>
      </c>
      <c r="C16" s="10">
        <f>SUMIF('P&amp;L assumptions'!$B:$B,'P&amp;L'!$B16,'P&amp;L assumptions'!C:C)</f>
        <v>-1266.3000000000002</v>
      </c>
      <c r="D16" s="10">
        <f>SUMIF('P&amp;L assumptions'!$B:$B,'P&amp;L'!$B16,'P&amp;L assumptions'!D:D)</f>
        <v>-2190.9</v>
      </c>
      <c r="E16" s="10">
        <f>SUMIF('P&amp;L assumptions'!$B:$B,'P&amp;L'!$B16,'P&amp;L assumptions'!E:E)</f>
        <v>-2663.92</v>
      </c>
      <c r="F16" s="10"/>
      <c r="G16" s="20">
        <f>SUMIF('P&amp;L assumptions'!$B:$B,'P&amp;L'!$B16,'P&amp;L assumptions'!G:G)</f>
        <v>-2663.92</v>
      </c>
      <c r="H16" s="20">
        <f>SUMIF('P&amp;L assumptions'!$B:$B,'P&amp;L'!$B16,'P&amp;L assumptions'!H:H)</f>
        <v>-2663.92</v>
      </c>
      <c r="I16" s="20">
        <f>SUMIF('P&amp;L assumptions'!$B:$B,'P&amp;L'!$B16,'P&amp;L assumptions'!I:I)</f>
        <v>-2663.92</v>
      </c>
      <c r="J16" s="20">
        <f>SUMIF('P&amp;L assumptions'!$B:$B,'P&amp;L'!$B16,'P&amp;L assumptions'!J:J)</f>
        <v>-2663.92</v>
      </c>
      <c r="K16" s="20">
        <f>SUMIF('P&amp;L assumptions'!$B:$B,'P&amp;L'!$B16,'P&amp;L assumptions'!K:K)</f>
        <v>-2663.92</v>
      </c>
    </row>
    <row r="17" spans="2:11" ht="12" customHeight="1">
      <c r="B17" s="4" t="s">
        <v>46</v>
      </c>
      <c r="C17" s="10">
        <f>SUMIF('P&amp;L assumptions'!$B:$B,'P&amp;L'!$B17,'P&amp;L assumptions'!C:C)</f>
        <v>-317.58000000000004</v>
      </c>
      <c r="D17" s="10">
        <f>SUMIF('P&amp;L assumptions'!$B:$B,'P&amp;L'!$B17,'P&amp;L assumptions'!D:D)</f>
        <v>-864.30000000000007</v>
      </c>
      <c r="E17" s="10">
        <f>SUMIF('P&amp;L assumptions'!$B:$B,'P&amp;L'!$B17,'P&amp;L assumptions'!E:E)</f>
        <v>-320.26</v>
      </c>
      <c r="F17" s="10"/>
      <c r="G17" s="20">
        <f>SUMIF('P&amp;L assumptions'!$B:$B,'P&amp;L'!$B17,'P&amp;L assumptions'!G:G)</f>
        <v>0</v>
      </c>
      <c r="H17" s="20">
        <f>SUMIF('P&amp;L assumptions'!$B:$B,'P&amp;L'!$B17,'P&amp;L assumptions'!H:H)</f>
        <v>0</v>
      </c>
      <c r="I17" s="20">
        <f>SUMIF('P&amp;L assumptions'!$B:$B,'P&amp;L'!$B17,'P&amp;L assumptions'!I:I)</f>
        <v>0</v>
      </c>
      <c r="J17" s="20">
        <f>SUMIF('P&amp;L assumptions'!$B:$B,'P&amp;L'!$B17,'P&amp;L assumptions'!J:J)</f>
        <v>0</v>
      </c>
      <c r="K17" s="20">
        <f>SUMIF('P&amp;L assumptions'!$B:$B,'P&amp;L'!$B17,'P&amp;L assumptions'!K:K)</f>
        <v>0</v>
      </c>
    </row>
    <row r="18" spans="2:11" s="92" customFormat="1" ht="12" customHeight="1">
      <c r="B18" s="100" t="s">
        <v>74</v>
      </c>
      <c r="C18" s="101">
        <f>C14+C16+C17</f>
        <v>15825.63733333329</v>
      </c>
      <c r="D18" s="101">
        <f t="shared" ref="D18:G18" si="8">D14+D16+D17</f>
        <v>13508.936000000018</v>
      </c>
      <c r="E18" s="101">
        <f t="shared" si="8"/>
        <v>20146.033574602992</v>
      </c>
      <c r="F18" s="101"/>
      <c r="G18" s="102">
        <f t="shared" si="8"/>
        <v>12923.118399999998</v>
      </c>
      <c r="H18" s="102">
        <f t="shared" ref="H18" si="9">H14+H16+H17</f>
        <v>13443.199935999985</v>
      </c>
      <c r="I18" s="102">
        <f t="shared" ref="I18" si="10">I14+I16+I17</f>
        <v>13984.084733440004</v>
      </c>
      <c r="J18" s="102">
        <f t="shared" ref="J18" si="11">J14+J16+J17</f>
        <v>14546.604922777607</v>
      </c>
      <c r="K18" s="102">
        <f t="shared" ref="K18" si="12">K14+K16+K17</f>
        <v>15131.625919688709</v>
      </c>
    </row>
    <row r="19" spans="2:11" ht="3.75" customHeight="1">
      <c r="C19" s="10"/>
      <c r="D19" s="10"/>
      <c r="E19" s="10"/>
      <c r="F19" s="10"/>
      <c r="G19" s="20"/>
      <c r="H19" s="20"/>
      <c r="I19" s="20"/>
      <c r="J19" s="20"/>
      <c r="K19" s="20"/>
    </row>
    <row r="20" spans="2:11">
      <c r="B20" s="4" t="s">
        <v>75</v>
      </c>
      <c r="C20" s="58">
        <f>C21/C18</f>
        <v>-0.24048168928931246</v>
      </c>
      <c r="D20" s="58">
        <f t="shared" ref="D20:E20" si="13">D21/D18</f>
        <v>-0.22579069143565386</v>
      </c>
      <c r="E20" s="58">
        <f t="shared" si="13"/>
        <v>-0.18936134430001206</v>
      </c>
      <c r="F20" s="37"/>
      <c r="G20" s="59">
        <f>'P&amp;L assumptions'!G52</f>
        <v>-0.22</v>
      </c>
      <c r="H20" s="59">
        <f>'P&amp;L assumptions'!H52</f>
        <v>-0.22</v>
      </c>
      <c r="I20" s="59">
        <f>'P&amp;L assumptions'!I52</f>
        <v>-0.22</v>
      </c>
      <c r="J20" s="59">
        <f>'P&amp;L assumptions'!J52</f>
        <v>-0.22</v>
      </c>
      <c r="K20" s="59">
        <f>'P&amp;L assumptions'!K52</f>
        <v>-0.22</v>
      </c>
    </row>
    <row r="21" spans="2:11">
      <c r="B21" s="4" t="s">
        <v>47</v>
      </c>
      <c r="C21" s="56">
        <f>'P&amp;L assumptions'!C51</f>
        <v>-3805.7759999999998</v>
      </c>
      <c r="D21" s="56">
        <f>'P&amp;L assumptions'!D51</f>
        <v>-3050.192</v>
      </c>
      <c r="E21" s="56">
        <f>'P&amp;L assumptions'!E51</f>
        <v>-3814.88</v>
      </c>
      <c r="F21" s="17"/>
      <c r="G21" s="57">
        <f>G20*G18</f>
        <v>-2843.0860479999997</v>
      </c>
      <c r="H21" s="57">
        <f t="shared" ref="H21:K21" si="14">H20*H18</f>
        <v>-2957.5039859199965</v>
      </c>
      <c r="I21" s="57">
        <f t="shared" si="14"/>
        <v>-3076.4986413568008</v>
      </c>
      <c r="J21" s="57">
        <f t="shared" si="14"/>
        <v>-3200.2530830110736</v>
      </c>
      <c r="K21" s="57">
        <f t="shared" si="14"/>
        <v>-3328.957702331516</v>
      </c>
    </row>
    <row r="22" spans="2:11" ht="3.75" customHeight="1">
      <c r="C22" s="10"/>
      <c r="D22" s="10"/>
      <c r="E22" s="10"/>
      <c r="F22" s="10"/>
      <c r="G22" s="20"/>
      <c r="H22" s="20"/>
      <c r="I22" s="20"/>
      <c r="J22" s="20"/>
      <c r="K22" s="20"/>
    </row>
    <row r="23" spans="2:11" s="104" customFormat="1" ht="12">
      <c r="B23" s="105" t="s">
        <v>76</v>
      </c>
      <c r="C23" s="106">
        <f>C18+C21</f>
        <v>12019.861333333291</v>
      </c>
      <c r="D23" s="106">
        <f t="shared" ref="D23:K23" si="15">D18+D21</f>
        <v>10458.744000000017</v>
      </c>
      <c r="E23" s="106">
        <f t="shared" si="15"/>
        <v>16331.153574602991</v>
      </c>
      <c r="F23" s="106"/>
      <c r="G23" s="106">
        <f t="shared" si="15"/>
        <v>10080.032351999998</v>
      </c>
      <c r="H23" s="106">
        <f t="shared" si="15"/>
        <v>10485.695950079988</v>
      </c>
      <c r="I23" s="106">
        <f t="shared" si="15"/>
        <v>10907.586092083204</v>
      </c>
      <c r="J23" s="106">
        <f t="shared" si="15"/>
        <v>11346.351839766534</v>
      </c>
      <c r="K23" s="106">
        <f t="shared" si="15"/>
        <v>11802.668217357193</v>
      </c>
    </row>
    <row r="25" spans="2:11">
      <c r="C25" s="10"/>
      <c r="D25" s="10"/>
      <c r="E25" s="10"/>
      <c r="F25" s="10"/>
    </row>
    <row r="26" spans="2:11">
      <c r="C26" s="10"/>
      <c r="D26" s="10"/>
      <c r="E26" s="10"/>
      <c r="F26" s="10"/>
    </row>
    <row r="27" spans="2:11">
      <c r="C27" s="10"/>
      <c r="D27" s="10"/>
      <c r="E27" s="10"/>
      <c r="F27" s="10"/>
    </row>
    <row r="28" spans="2:11">
      <c r="C28" s="10"/>
      <c r="D28" s="10"/>
      <c r="E28" s="10"/>
      <c r="F28" s="10"/>
    </row>
    <row r="56" spans="2:2">
      <c r="B56" s="4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5"/>
  <sheetViews>
    <sheetView zoomScale="130" zoomScaleNormal="130" workbookViewId="0">
      <selection activeCell="N28" sqref="N28"/>
    </sheetView>
  </sheetViews>
  <sheetFormatPr defaultColWidth="9.140625" defaultRowHeight="11.45"/>
  <cols>
    <col min="1" max="1" width="2" style="4" customWidth="1"/>
    <col min="2" max="2" width="22.7109375" style="4" bestFit="1" customWidth="1"/>
    <col min="3" max="3" width="9.140625" style="4"/>
    <col min="4" max="4" width="9.5703125" style="4" bestFit="1" customWidth="1"/>
    <col min="5" max="5" width="9.140625" style="4"/>
    <col min="6" max="6" width="2" style="4" customWidth="1"/>
    <col min="7" max="11" width="9.140625" style="4"/>
    <col min="12" max="12" width="2" style="4" customWidth="1"/>
    <col min="13" max="13" width="27.28515625" style="4" bestFit="1" customWidth="1"/>
    <col min="14" max="16384" width="9.140625" style="4"/>
  </cols>
  <sheetData>
    <row r="1" spans="2:13" ht="15.75">
      <c r="B1" s="91" t="s">
        <v>77</v>
      </c>
    </row>
    <row r="3" spans="2:13" s="92" customFormat="1" ht="21.75">
      <c r="B3" s="97" t="s">
        <v>29</v>
      </c>
      <c r="C3" s="98" t="s">
        <v>78</v>
      </c>
      <c r="D3" s="98" t="s">
        <v>79</v>
      </c>
      <c r="E3" s="98" t="s">
        <v>80</v>
      </c>
      <c r="F3" s="93"/>
      <c r="G3" s="99" t="s">
        <v>81</v>
      </c>
      <c r="H3" s="99" t="s">
        <v>82</v>
      </c>
      <c r="I3" s="99" t="s">
        <v>83</v>
      </c>
      <c r="J3" s="99" t="s">
        <v>84</v>
      </c>
      <c r="K3" s="99" t="s">
        <v>85</v>
      </c>
      <c r="M3" s="103" t="s">
        <v>86</v>
      </c>
    </row>
    <row r="4" spans="2:13">
      <c r="B4" s="4" t="s">
        <v>87</v>
      </c>
      <c r="C4" s="10">
        <f>'BS source'!D4</f>
        <v>5961.6</v>
      </c>
      <c r="D4" s="10">
        <f>'BS source'!E4</f>
        <v>5840</v>
      </c>
      <c r="E4" s="10">
        <f>'BS source'!F4</f>
        <v>5650</v>
      </c>
      <c r="G4" s="20">
        <f>$E$4</f>
        <v>5650</v>
      </c>
      <c r="H4" s="20">
        <f t="shared" ref="H4:K4" si="0">$E$4</f>
        <v>5650</v>
      </c>
      <c r="I4" s="20">
        <f t="shared" si="0"/>
        <v>5650</v>
      </c>
      <c r="J4" s="20">
        <f t="shared" si="0"/>
        <v>5650</v>
      </c>
      <c r="K4" s="20">
        <f t="shared" si="0"/>
        <v>5650</v>
      </c>
      <c r="M4" s="4" t="s">
        <v>88</v>
      </c>
    </row>
    <row r="5" spans="2:13" ht="12">
      <c r="B5" s="4" t="s">
        <v>63</v>
      </c>
      <c r="C5" s="10">
        <f>SUMIF('BS assumptions'!$B:$B,BS!$B5,'BS assumptions'!C:C)</f>
        <v>45106.400000000001</v>
      </c>
      <c r="D5" s="10">
        <f>SUMIF('BS assumptions'!$B:$B,BS!$B5,'BS assumptions'!D:D)</f>
        <v>49072.4</v>
      </c>
      <c r="E5" s="10">
        <f>SUMIF('BS assumptions'!$B:$B,BS!$B5,'BS assumptions'!E:E)</f>
        <v>56109.2</v>
      </c>
      <c r="G5" s="20">
        <f>SUMIF('BS assumptions'!$B:$B,BS!$B5,'BS assumptions'!G:G)</f>
        <v>56630.854109233122</v>
      </c>
      <c r="H5" s="20">
        <f>SUMIF('BS assumptions'!$B:$B,BS!$B5,'BS assumptions'!H:H)</f>
        <v>58896.08827360245</v>
      </c>
      <c r="I5" s="20">
        <f>SUMIF('BS assumptions'!$B:$B,BS!$B5,'BS assumptions'!I:I)</f>
        <v>61251.931804546555</v>
      </c>
      <c r="J5" s="20">
        <f>SUMIF('BS assumptions'!$B:$B,BS!$B5,'BS assumptions'!J:J)</f>
        <v>63702.009076728427</v>
      </c>
      <c r="K5" s="20">
        <f>SUMIF('BS assumptions'!$B:$B,BS!$B5,'BS assumptions'!K:K)</f>
        <v>66250.089439797564</v>
      </c>
    </row>
    <row r="6" spans="2:13" ht="12">
      <c r="B6" s="4" t="s">
        <v>89</v>
      </c>
      <c r="C6" s="10">
        <f>'BS source'!D6</f>
        <v>8824</v>
      </c>
      <c r="D6" s="10">
        <f>'BS source'!E6</f>
        <v>9831</v>
      </c>
      <c r="E6" s="10">
        <f>'BS source'!F6</f>
        <v>10323</v>
      </c>
      <c r="G6" s="20">
        <f>$E$6</f>
        <v>10323</v>
      </c>
      <c r="H6" s="20">
        <f t="shared" ref="H6:K6" si="1">$E$6</f>
        <v>10323</v>
      </c>
      <c r="I6" s="20">
        <f t="shared" si="1"/>
        <v>10323</v>
      </c>
      <c r="J6" s="20">
        <f t="shared" si="1"/>
        <v>10323</v>
      </c>
      <c r="K6" s="20">
        <f t="shared" si="1"/>
        <v>10323</v>
      </c>
      <c r="M6" s="4" t="s">
        <v>88</v>
      </c>
    </row>
    <row r="7" spans="2:13" ht="3.75" customHeight="1">
      <c r="C7" s="10"/>
      <c r="D7" s="10"/>
      <c r="E7" s="10"/>
      <c r="G7" s="20"/>
      <c r="H7" s="20"/>
      <c r="I7" s="20"/>
      <c r="J7" s="20"/>
      <c r="K7" s="20"/>
    </row>
    <row r="8" spans="2:13" ht="12">
      <c r="B8" s="4" t="s">
        <v>59</v>
      </c>
      <c r="C8" s="10">
        <f>SUMIF('BS assumptions'!$B:$B,BS!$B8,'BS assumptions'!C:C)</f>
        <v>31167.200000000001</v>
      </c>
      <c r="D8" s="10">
        <f>SUMIF('BS assumptions'!$B:$B,BS!$B8,'BS assumptions'!D:D)</f>
        <v>36396.800000000003</v>
      </c>
      <c r="E8" s="10">
        <f>SUMIF('BS assumptions'!$B:$B,BS!$B8,'BS assumptions'!E:E)</f>
        <v>46212</v>
      </c>
      <c r="G8" s="60">
        <f>-SUMIF('BS assumptions'!$B:$B,BS!$B8,'BS assumptions'!G:G)</f>
        <v>50858.160126750998</v>
      </c>
      <c r="H8" s="60">
        <f>-SUMIF('BS assumptions'!$B:$B,BS!$B8,'BS assumptions'!H:H)</f>
        <v>52892.48653182105</v>
      </c>
      <c r="I8" s="60">
        <f>-SUMIF('BS assumptions'!$B:$B,BS!$B8,'BS assumptions'!I:I)</f>
        <v>55008.185993093881</v>
      </c>
      <c r="J8" s="60">
        <f>-SUMIF('BS assumptions'!$B:$B,BS!$B8,'BS assumptions'!J:J)</f>
        <v>57208.51343281765</v>
      </c>
      <c r="K8" s="60">
        <f>-SUMIF('BS assumptions'!$B:$B,BS!$B8,'BS assumptions'!K:K)</f>
        <v>59496.85397013036</v>
      </c>
    </row>
    <row r="9" spans="2:13" ht="12">
      <c r="B9" s="4" t="s">
        <v>57</v>
      </c>
      <c r="C9" s="10">
        <f>SUMIF('BS assumptions'!$B:$B,BS!$B9,'BS assumptions'!C:C)</f>
        <v>32883.599999999999</v>
      </c>
      <c r="D9" s="10">
        <f>SUMIF('BS assumptions'!$B:$B,BS!$B9,'BS assumptions'!D:D)</f>
        <v>38556</v>
      </c>
      <c r="E9" s="10">
        <f>SUMIF('BS assumptions'!$B:$B,BS!$B9,'BS assumptions'!E:E)</f>
        <v>43581.599999999999</v>
      </c>
      <c r="G9" s="20">
        <f>SUMIF('BS assumptions'!$B:$B,BS!$B9,'BS assumptions'!G:G)</f>
        <v>45324.863999999994</v>
      </c>
      <c r="H9" s="20">
        <f>SUMIF('BS assumptions'!$B:$B,BS!$B9,'BS assumptions'!H:H)</f>
        <v>47137.858560000001</v>
      </c>
      <c r="I9" s="20">
        <f>SUMIF('BS assumptions'!$B:$B,BS!$B9,'BS assumptions'!I:I)</f>
        <v>49023.372902400006</v>
      </c>
      <c r="J9" s="20">
        <f>SUMIF('BS assumptions'!$B:$B,BS!$B9,'BS assumptions'!J:J)</f>
        <v>50984.30781849601</v>
      </c>
      <c r="K9" s="20">
        <f>SUMIF('BS assumptions'!$B:$B,BS!$B9,'BS assumptions'!K:K)</f>
        <v>53023.680131235851</v>
      </c>
    </row>
    <row r="10" spans="2:13" ht="12">
      <c r="B10" s="4" t="s">
        <v>90</v>
      </c>
      <c r="C10" s="10">
        <f>SUMIF('BS assumptions'!$B:$B,BS!$B10,'BS assumptions'!C:C)</f>
        <v>8841.6</v>
      </c>
      <c r="D10" s="10">
        <f>SUMIF('BS assumptions'!$B:$B,BS!$B10,'BS assumptions'!D:D)</f>
        <v>11359.199999999999</v>
      </c>
      <c r="E10" s="10">
        <f>SUMIF('BS assumptions'!$B:$B,BS!$B10,'BS assumptions'!E:E)</f>
        <v>17602.8</v>
      </c>
      <c r="G10" s="20">
        <f>SUMIF('BS assumptions'!$B:$B,BS!$B10,'BS assumptions'!G:G)</f>
        <v>14056.562930648053</v>
      </c>
      <c r="H10" s="20">
        <f>SUMIF('BS assumptions'!$B:$B,BS!$B10,'BS assumptions'!H:H)</f>
        <v>14618.825447873976</v>
      </c>
      <c r="I10" s="20">
        <f>SUMIF('BS assumptions'!$B:$B,BS!$B10,'BS assumptions'!I:I)</f>
        <v>15203.578465788938</v>
      </c>
      <c r="J10" s="20">
        <f>SUMIF('BS assumptions'!$B:$B,BS!$B10,'BS assumptions'!J:J)</f>
        <v>15811.721604420496</v>
      </c>
      <c r="K10" s="20">
        <f>SUMIF('BS assumptions'!$B:$B,BS!$B10,'BS assumptions'!K:K)</f>
        <v>16444.190468597317</v>
      </c>
    </row>
    <row r="11" spans="2:13" ht="3.75" customHeight="1">
      <c r="C11" s="10"/>
      <c r="D11" s="10"/>
      <c r="E11" s="10"/>
      <c r="G11" s="20"/>
      <c r="H11" s="20"/>
      <c r="I11" s="20"/>
      <c r="J11" s="20"/>
      <c r="K11" s="20"/>
    </row>
    <row r="12" spans="2:13" ht="12">
      <c r="B12" s="4" t="s">
        <v>91</v>
      </c>
      <c r="C12" s="10">
        <f>'BS source'!D14</f>
        <v>11791.199999999999</v>
      </c>
      <c r="D12" s="10">
        <f>'BS source'!E14</f>
        <v>19408.8</v>
      </c>
      <c r="E12" s="10">
        <f>'BS source'!F14</f>
        <v>8173.6</v>
      </c>
      <c r="G12" s="20">
        <f>E12+'Cash Flow'!G29</f>
        <v>17645.798473053488</v>
      </c>
      <c r="H12" s="20">
        <f>G12+'Cash Flow'!H29</f>
        <v>23353.478924991487</v>
      </c>
      <c r="I12" s="20">
        <f>H12+'Cash Flow'!I29</f>
        <v>29291.928899007034</v>
      </c>
      <c r="J12" s="20">
        <f>I12+'Cash Flow'!J29</f>
        <v>35470.379175983173</v>
      </c>
      <c r="K12" s="20">
        <f>J12+'Cash Flow'!K29</f>
        <v>41898.42976803839</v>
      </c>
    </row>
    <row r="13" spans="2:13" ht="3.75" customHeight="1">
      <c r="G13" s="20"/>
      <c r="H13" s="20"/>
      <c r="I13" s="20"/>
      <c r="J13" s="20"/>
      <c r="K13" s="20"/>
    </row>
    <row r="14" spans="2:13" s="92" customFormat="1" ht="12">
      <c r="B14" s="111" t="s">
        <v>92</v>
      </c>
      <c r="C14" s="112">
        <f>SUM(C4:C12)</f>
        <v>144575.6</v>
      </c>
      <c r="D14" s="112">
        <f t="shared" ref="D14:K14" si="2">SUM(D4:D12)</f>
        <v>170464.2</v>
      </c>
      <c r="E14" s="112">
        <f t="shared" si="2"/>
        <v>187652.19999999998</v>
      </c>
      <c r="F14" s="109"/>
      <c r="G14" s="113">
        <f>SUM(G4:G12)</f>
        <v>200489.23963968566</v>
      </c>
      <c r="H14" s="113">
        <f t="shared" si="2"/>
        <v>212871.73773828894</v>
      </c>
      <c r="I14" s="113">
        <f t="shared" si="2"/>
        <v>225751.99806483643</v>
      </c>
      <c r="J14" s="113">
        <f t="shared" si="2"/>
        <v>239149.93110844574</v>
      </c>
      <c r="K14" s="113">
        <f t="shared" si="2"/>
        <v>253086.24377779948</v>
      </c>
    </row>
    <row r="15" spans="2:13" ht="12">
      <c r="C15" s="10"/>
      <c r="D15" s="10"/>
      <c r="E15" s="10"/>
      <c r="F15" s="10"/>
      <c r="G15" s="20"/>
      <c r="H15" s="20"/>
      <c r="I15" s="20"/>
      <c r="J15" s="20"/>
      <c r="K15" s="20"/>
    </row>
    <row r="16" spans="2:13" ht="12">
      <c r="B16" s="4" t="s">
        <v>61</v>
      </c>
      <c r="C16" s="10">
        <f>SUMIF('BS assumptions'!$B:$B,BS!$B16,'BS assumptions'!C:C)</f>
        <v>15891.2</v>
      </c>
      <c r="D16" s="10">
        <f>SUMIF('BS assumptions'!$B:$B,BS!$B16,'BS assumptions'!D:D)</f>
        <v>26351.599999999999</v>
      </c>
      <c r="E16" s="10">
        <f>SUMIF('BS assumptions'!$B:$B,BS!$B16,'BS assumptions'!E:E)</f>
        <v>36189.599999999999</v>
      </c>
      <c r="F16" s="10"/>
      <c r="G16" s="20">
        <f>-SUMIF('BS assumptions'!$B:$B,BS!$B16,'BS assumptions'!G:G)</f>
        <v>39828.106806090793</v>
      </c>
      <c r="H16" s="20">
        <f>-SUMIF('BS assumptions'!$B:$B,BS!$B16,'BS assumptions'!H:H)</f>
        <v>41421.231078334436</v>
      </c>
      <c r="I16" s="20">
        <f>-SUMIF('BS assumptions'!$B:$B,BS!$B16,'BS assumptions'!I:I)</f>
        <v>43078.080321467816</v>
      </c>
      <c r="J16" s="20">
        <f>-SUMIF('BS assumptions'!$B:$B,BS!$B16,'BS assumptions'!J:J)</f>
        <v>44801.203534326523</v>
      </c>
      <c r="K16" s="20">
        <f>-SUMIF('BS assumptions'!$B:$B,BS!$B16,'BS assumptions'!K:K)</f>
        <v>46593.25167569959</v>
      </c>
    </row>
    <row r="17" spans="2:13" ht="12">
      <c r="B17" s="4" t="s">
        <v>66</v>
      </c>
      <c r="C17" s="10">
        <f>SUMIF('BS assumptions'!$B:$B,BS!$B17,'BS assumptions'!C:C)</f>
        <v>5969.0386666666891</v>
      </c>
      <c r="D17" s="10">
        <f>SUMIF('BS assumptions'!$B:$B,BS!$B17,'BS assumptions'!D:D)</f>
        <v>5800.3560000000052</v>
      </c>
      <c r="E17" s="10">
        <f>SUMIF('BS assumptions'!$B:$B,BS!$B17,'BS assumptions'!E:E)</f>
        <v>8473.4464253970418</v>
      </c>
      <c r="F17" s="10"/>
      <c r="G17" s="20">
        <f>SUMIF('BS assumptions'!$B:$B,BS!$B17,'BS assumptions'!G:G)</f>
        <v>7591.9469069919087</v>
      </c>
      <c r="H17" s="20">
        <f>SUMIF('BS assumptions'!$B:$B,BS!$B17,'BS assumptions'!H:H)</f>
        <v>7895.6247832715862</v>
      </c>
      <c r="I17" s="20">
        <f>SUMIF('BS assumptions'!$B:$B,BS!$B17,'BS assumptions'!I:I)</f>
        <v>8211.4497746024499</v>
      </c>
      <c r="J17" s="20">
        <f>SUMIF('BS assumptions'!$B:$B,BS!$B17,'BS assumptions'!J:J)</f>
        <v>8539.9077655865494</v>
      </c>
      <c r="K17" s="20">
        <f>SUMIF('BS assumptions'!$B:$B,BS!$B17,'BS assumptions'!K:K)</f>
        <v>8881.5040762100107</v>
      </c>
    </row>
    <row r="18" spans="2:13" ht="3.75" customHeight="1">
      <c r="C18" s="10"/>
      <c r="D18" s="10"/>
      <c r="E18" s="10"/>
      <c r="F18" s="10"/>
      <c r="G18" s="20"/>
      <c r="H18" s="20"/>
      <c r="I18" s="20"/>
      <c r="J18" s="20"/>
      <c r="K18" s="20"/>
    </row>
    <row r="19" spans="2:13" ht="12">
      <c r="B19" s="4" t="s">
        <v>93</v>
      </c>
      <c r="C19" s="10">
        <f>'BS source'!J15+'BS source'!J16</f>
        <v>41293.000000000007</v>
      </c>
      <c r="D19" s="10">
        <f>'BS source'!K15+'BS source'!K16</f>
        <v>50645.4</v>
      </c>
      <c r="E19" s="10">
        <f>'BS source'!L15+'BS source'!L16</f>
        <v>51120.799999999996</v>
      </c>
      <c r="F19" s="10"/>
      <c r="G19" s="20">
        <f>$E$19</f>
        <v>51120.799999999996</v>
      </c>
      <c r="H19" s="20">
        <f t="shared" ref="H19:K19" si="3">$E$19</f>
        <v>51120.799999999996</v>
      </c>
      <c r="I19" s="20">
        <f t="shared" si="3"/>
        <v>51120.799999999996</v>
      </c>
      <c r="J19" s="20">
        <f t="shared" si="3"/>
        <v>51120.799999999996</v>
      </c>
      <c r="K19" s="20">
        <f t="shared" si="3"/>
        <v>51120.799999999996</v>
      </c>
      <c r="M19" s="4" t="s">
        <v>88</v>
      </c>
    </row>
    <row r="20" spans="2:13" ht="3.75" customHeight="1">
      <c r="C20" s="10"/>
      <c r="D20" s="10"/>
      <c r="E20" s="10"/>
      <c r="F20" s="10"/>
      <c r="G20" s="20"/>
      <c r="H20" s="20"/>
      <c r="I20" s="20"/>
      <c r="J20" s="20"/>
      <c r="K20" s="20"/>
    </row>
    <row r="21" spans="2:13" ht="12">
      <c r="B21" s="4" t="s">
        <v>94</v>
      </c>
      <c r="C21" s="10">
        <f>'BS source'!J8</f>
        <v>81422.361333333276</v>
      </c>
      <c r="D21" s="10">
        <f>'BS source'!K8</f>
        <v>87666.844000000026</v>
      </c>
      <c r="E21" s="10">
        <f>'BS source'!L8</f>
        <v>91868.353574602996</v>
      </c>
      <c r="F21" s="10"/>
      <c r="G21" s="20">
        <f>E21+'P&amp;L'!G23</f>
        <v>101948.38592660299</v>
      </c>
      <c r="H21" s="20">
        <f>G21+'P&amp;L'!H23</f>
        <v>112434.08187668298</v>
      </c>
      <c r="I21" s="20">
        <f>H21+'P&amp;L'!I23</f>
        <v>123341.66796876618</v>
      </c>
      <c r="J21" s="20">
        <f>I21+'P&amp;L'!J23</f>
        <v>134688.01980853273</v>
      </c>
      <c r="K21" s="20">
        <f>J21+'P&amp;L'!K23</f>
        <v>146490.68802588992</v>
      </c>
      <c r="M21" s="4" t="s">
        <v>95</v>
      </c>
    </row>
    <row r="22" spans="2:13" ht="3.75" customHeight="1">
      <c r="C22" s="10"/>
      <c r="D22" s="10"/>
      <c r="E22" s="10"/>
      <c r="F22" s="10"/>
      <c r="G22" s="20"/>
      <c r="H22" s="20"/>
      <c r="I22" s="20"/>
      <c r="J22" s="20"/>
      <c r="K22" s="20"/>
    </row>
    <row r="23" spans="2:13" s="92" customFormat="1" ht="12">
      <c r="B23" s="111" t="s">
        <v>96</v>
      </c>
      <c r="C23" s="112">
        <f>SUM(C16:C21)</f>
        <v>144575.59999999998</v>
      </c>
      <c r="D23" s="112">
        <f t="shared" ref="D23:G23" si="4">SUM(D16:D21)</f>
        <v>170464.2</v>
      </c>
      <c r="E23" s="112">
        <f t="shared" si="4"/>
        <v>187652.2</v>
      </c>
      <c r="F23" s="109"/>
      <c r="G23" s="113">
        <f>SUM(G16:G21)</f>
        <v>200489.23963968569</v>
      </c>
      <c r="H23" s="113">
        <f t="shared" ref="H23:L23" si="5">SUM(H16:H21)</f>
        <v>212871.737738289</v>
      </c>
      <c r="I23" s="113">
        <f t="shared" si="5"/>
        <v>225751.99806483643</v>
      </c>
      <c r="J23" s="113">
        <f t="shared" si="5"/>
        <v>239149.9311084458</v>
      </c>
      <c r="K23" s="113">
        <f t="shared" si="5"/>
        <v>253086.24377779951</v>
      </c>
      <c r="L23" s="110"/>
    </row>
    <row r="24" spans="2:13" ht="12">
      <c r="G24" s="10"/>
      <c r="H24" s="10"/>
      <c r="I24" s="10"/>
      <c r="J24" s="10"/>
      <c r="K24" s="10"/>
    </row>
    <row r="25" spans="2:13">
      <c r="B25" s="4" t="s">
        <v>97</v>
      </c>
      <c r="C25" s="4">
        <f>C14-C23</f>
        <v>0</v>
      </c>
      <c r="D25" s="4">
        <f t="shared" ref="D25:K25" si="6">D14-D23</f>
        <v>0</v>
      </c>
      <c r="E25" s="4">
        <f t="shared" si="6"/>
        <v>0</v>
      </c>
      <c r="G25" s="4">
        <f t="shared" si="6"/>
        <v>0</v>
      </c>
      <c r="H25" s="4">
        <f t="shared" si="6"/>
        <v>0</v>
      </c>
      <c r="I25" s="4">
        <f t="shared" si="6"/>
        <v>0</v>
      </c>
      <c r="J25" s="4">
        <f t="shared" si="6"/>
        <v>0</v>
      </c>
      <c r="K25" s="4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topLeftCell="A4" zoomScale="130" zoomScaleNormal="130" workbookViewId="0">
      <selection activeCell="E34" sqref="E34"/>
    </sheetView>
  </sheetViews>
  <sheetFormatPr defaultColWidth="9.140625" defaultRowHeight="11.45"/>
  <cols>
    <col min="1" max="1" width="2" style="8" customWidth="1"/>
    <col min="2" max="2" width="31.5703125" style="8" bestFit="1" customWidth="1"/>
    <col min="3" max="3" width="9.140625" style="8" customWidth="1"/>
    <col min="4" max="4" width="9.5703125" style="8" bestFit="1" customWidth="1"/>
    <col min="5" max="5" width="9.140625" style="8"/>
    <col min="6" max="6" width="2" style="8" customWidth="1"/>
    <col min="7" max="11" width="9.140625" style="8"/>
    <col min="12" max="12" width="2" style="8" customWidth="1"/>
    <col min="13" max="13" width="12" style="8" bestFit="1" customWidth="1"/>
    <col min="14" max="16384" width="9.140625" style="8"/>
  </cols>
  <sheetData>
    <row r="1" spans="1:13" ht="15.75">
      <c r="B1" s="114" t="s">
        <v>10</v>
      </c>
      <c r="C1" s="9"/>
    </row>
    <row r="2" spans="1:13">
      <c r="B2" s="8" t="s">
        <v>98</v>
      </c>
    </row>
    <row r="3" spans="1:13" s="115" customFormat="1" ht="21.75">
      <c r="A3" s="92"/>
      <c r="B3" s="97" t="s">
        <v>29</v>
      </c>
      <c r="C3" s="98"/>
      <c r="D3" s="98" t="s">
        <v>31</v>
      </c>
      <c r="E3" s="98" t="s">
        <v>32</v>
      </c>
      <c r="F3" s="93"/>
      <c r="G3" s="99" t="s">
        <v>33</v>
      </c>
      <c r="H3" s="99" t="s">
        <v>34</v>
      </c>
      <c r="I3" s="99" t="s">
        <v>35</v>
      </c>
      <c r="J3" s="99" t="s">
        <v>36</v>
      </c>
      <c r="K3" s="99" t="s">
        <v>37</v>
      </c>
      <c r="L3" s="92"/>
      <c r="M3" s="103" t="s">
        <v>86</v>
      </c>
    </row>
    <row r="4" spans="1:13" ht="12">
      <c r="B4" s="8" t="s">
        <v>99</v>
      </c>
      <c r="D4" s="24">
        <f>'P&amp;L'!D14</f>
        <v>16564.136000000017</v>
      </c>
      <c r="E4" s="24">
        <f>'P&amp;L'!E14</f>
        <v>23130.213574602993</v>
      </c>
      <c r="F4" s="24"/>
      <c r="G4" s="24">
        <f>'P&amp;L'!G14</f>
        <v>15587.038399999998</v>
      </c>
      <c r="H4" s="24">
        <f>'P&amp;L'!H14</f>
        <v>16107.119935999985</v>
      </c>
      <c r="I4" s="24">
        <f>'P&amp;L'!I14</f>
        <v>16648.004733440004</v>
      </c>
      <c r="J4" s="24">
        <f>'P&amp;L'!J14</f>
        <v>17210.524922777608</v>
      </c>
      <c r="K4" s="24">
        <f>'P&amp;L'!K14</f>
        <v>17795.54591968871</v>
      </c>
    </row>
    <row r="5" spans="1:13" ht="12">
      <c r="B5" s="8" t="s">
        <v>100</v>
      </c>
      <c r="D5" s="32">
        <f>D6*D4</f>
        <v>-3740.0277204742097</v>
      </c>
      <c r="E5" s="32">
        <f>E6*E4</f>
        <v>-4379.9683364332095</v>
      </c>
      <c r="F5" s="24"/>
      <c r="G5" s="32">
        <f>G6*G4</f>
        <v>-3429.1484479999995</v>
      </c>
      <c r="H5" s="32">
        <f>H6*H4</f>
        <v>-3543.5663859199967</v>
      </c>
      <c r="I5" s="32">
        <f>I6*I4</f>
        <v>-3662.5610413568011</v>
      </c>
      <c r="J5" s="32">
        <f>J6*J4</f>
        <v>-3786.3154830110739</v>
      </c>
      <c r="K5" s="32">
        <f>K6*K4</f>
        <v>-3915.0201023315162</v>
      </c>
    </row>
    <row r="6" spans="1:13" ht="12">
      <c r="B6" s="8" t="s">
        <v>101</v>
      </c>
      <c r="D6" s="17">
        <f>'P&amp;L'!D20</f>
        <v>-0.22579069143565386</v>
      </c>
      <c r="E6" s="17">
        <f>'P&amp;L'!E20</f>
        <v>-0.18936134430001206</v>
      </c>
      <c r="F6" s="17"/>
      <c r="G6" s="17">
        <f>'P&amp;L'!G20</f>
        <v>-0.22</v>
      </c>
      <c r="H6" s="17">
        <f>'P&amp;L'!H20</f>
        <v>-0.22</v>
      </c>
      <c r="I6" s="17">
        <f>'P&amp;L'!I20</f>
        <v>-0.22</v>
      </c>
      <c r="J6" s="17">
        <f>'P&amp;L'!J20</f>
        <v>-0.22</v>
      </c>
      <c r="K6" s="17">
        <f>'P&amp;L'!K20</f>
        <v>-0.22</v>
      </c>
    </row>
    <row r="7" spans="1:13" s="115" customFormat="1" ht="12">
      <c r="B7" s="116" t="s">
        <v>102</v>
      </c>
      <c r="C7" s="116"/>
      <c r="D7" s="117">
        <f>D4+D5</f>
        <v>12824.108279525808</v>
      </c>
      <c r="E7" s="117">
        <f>E4+E5</f>
        <v>18750.245238169784</v>
      </c>
      <c r="F7" s="118"/>
      <c r="G7" s="117">
        <f>G4+G5</f>
        <v>12157.889951999998</v>
      </c>
      <c r="H7" s="117">
        <f>H4+H5</f>
        <v>12563.553550079989</v>
      </c>
      <c r="I7" s="117">
        <f>I4+I5</f>
        <v>12985.443692083203</v>
      </c>
      <c r="J7" s="117">
        <f>J4+J5</f>
        <v>13424.209439766533</v>
      </c>
      <c r="K7" s="117">
        <f>K4+K5</f>
        <v>13880.525817357193</v>
      </c>
    </row>
    <row r="8" spans="1:13" ht="3.75" customHeight="1">
      <c r="D8" s="24"/>
      <c r="E8" s="24"/>
      <c r="G8" s="24"/>
      <c r="H8" s="24"/>
      <c r="I8" s="24"/>
      <c r="J8" s="24"/>
      <c r="K8" s="24"/>
    </row>
    <row r="9" spans="1:13" ht="12">
      <c r="B9" s="8" t="s">
        <v>103</v>
      </c>
      <c r="D9" s="24">
        <f>-'P&amp;L'!D13</f>
        <v>4649.8</v>
      </c>
      <c r="E9" s="24">
        <f>-'P&amp;L'!E13</f>
        <v>6430.6600000000008</v>
      </c>
      <c r="G9" s="24">
        <f>-'P&amp;L'!G13</f>
        <v>6501.0191999999997</v>
      </c>
      <c r="H9" s="24">
        <f>-'P&amp;L'!H13</f>
        <v>6761.0599680000005</v>
      </c>
      <c r="I9" s="24">
        <f>-'P&amp;L'!I13</f>
        <v>7031.5023667200012</v>
      </c>
      <c r="J9" s="24">
        <f>-'P&amp;L'!J13</f>
        <v>7312.762461388802</v>
      </c>
      <c r="K9" s="24">
        <f>-'P&amp;L'!K13</f>
        <v>7605.2729598443548</v>
      </c>
    </row>
    <row r="10" spans="1:13" s="115" customFormat="1" ht="12">
      <c r="B10" s="119" t="s">
        <v>104</v>
      </c>
      <c r="C10" s="120"/>
      <c r="D10" s="121">
        <f>D7+D9</f>
        <v>17473.908279525807</v>
      </c>
      <c r="E10" s="121">
        <f>E7+E9</f>
        <v>25180.905238169784</v>
      </c>
      <c r="F10" s="122"/>
      <c r="G10" s="121">
        <f>G7+G9</f>
        <v>18658.909151999997</v>
      </c>
      <c r="H10" s="121">
        <f>H7+H9</f>
        <v>19324.61351807999</v>
      </c>
      <c r="I10" s="121">
        <f>I7+I9</f>
        <v>20016.946058803205</v>
      </c>
      <c r="J10" s="121">
        <f>J7+J9</f>
        <v>20736.971901155335</v>
      </c>
      <c r="K10" s="121">
        <f>K7+K9</f>
        <v>21485.798777201548</v>
      </c>
      <c r="M10" s="123">
        <v>1</v>
      </c>
    </row>
    <row r="11" spans="1:13" ht="5.25" customHeight="1">
      <c r="B11" s="16"/>
      <c r="C11" s="16"/>
      <c r="D11" s="27"/>
      <c r="E11" s="27"/>
      <c r="F11" s="22"/>
      <c r="G11" s="27"/>
      <c r="H11" s="27"/>
      <c r="I11" s="27"/>
      <c r="J11" s="27"/>
      <c r="K11" s="27"/>
      <c r="M11" s="66"/>
    </row>
    <row r="12" spans="1:13" ht="12">
      <c r="B12" s="8" t="s">
        <v>59</v>
      </c>
      <c r="C12" s="39"/>
      <c r="D12" s="63">
        <f>-(BS!D8-BS!C8)</f>
        <v>-5229.6000000000022</v>
      </c>
      <c r="E12" s="63">
        <f>-(BS!E8-BS!D8)</f>
        <v>-9815.1999999999971</v>
      </c>
      <c r="F12" s="30"/>
      <c r="G12" s="63">
        <f>-(BS!G8-BS!E8)</f>
        <v>-4646.1601267509977</v>
      </c>
      <c r="H12" s="63">
        <f>-(BS!H8-BS!G8)</f>
        <v>-2034.3264050700527</v>
      </c>
      <c r="I12" s="63">
        <f>-(BS!I8-BS!H8)</f>
        <v>-2115.6994612728304</v>
      </c>
      <c r="J12" s="63">
        <f>-(BS!J8-BS!I8)</f>
        <v>-2200.3274397237692</v>
      </c>
      <c r="K12" s="63">
        <f>-(BS!K8-BS!J8)</f>
        <v>-2288.3405373127098</v>
      </c>
      <c r="M12" s="66"/>
    </row>
    <row r="13" spans="1:13" ht="12" customHeight="1">
      <c r="B13" s="61" t="s">
        <v>57</v>
      </c>
      <c r="C13" s="39"/>
      <c r="D13" s="63">
        <f>-(BS!D9-BS!C9)</f>
        <v>-5672.4000000000015</v>
      </c>
      <c r="E13" s="63">
        <f>-(BS!E9-BS!D9)</f>
        <v>-5025.5999999999985</v>
      </c>
      <c r="F13" s="30"/>
      <c r="G13" s="63">
        <f>-(BS!G9-BS!E9)</f>
        <v>-1743.2639999999956</v>
      </c>
      <c r="H13" s="63">
        <f>-(BS!H9-BS!G9)</f>
        <v>-1812.9945600000065</v>
      </c>
      <c r="I13" s="63">
        <f>-(BS!I9-BS!H9)</f>
        <v>-1885.5143424000053</v>
      </c>
      <c r="J13" s="63">
        <f>-(BS!J9-BS!I9)</f>
        <v>-1960.9349160960046</v>
      </c>
      <c r="K13" s="63">
        <f>-(BS!K9-BS!J9)</f>
        <v>-2039.3723127398407</v>
      </c>
      <c r="M13" s="66"/>
    </row>
    <row r="14" spans="1:13" ht="12">
      <c r="B14" s="61" t="s">
        <v>61</v>
      </c>
      <c r="C14" s="39"/>
      <c r="D14" s="63">
        <f>BS!D16-BS!C16</f>
        <v>10460.399999999998</v>
      </c>
      <c r="E14" s="63">
        <f>BS!E16-BS!D16</f>
        <v>9838</v>
      </c>
      <c r="G14" s="63">
        <f>BS!G16-BS!E16</f>
        <v>3638.5068060907943</v>
      </c>
      <c r="H14" s="63">
        <f>BS!H16-BS!G16</f>
        <v>1593.1242722436436</v>
      </c>
      <c r="I14" s="63">
        <f>BS!I16-BS!H16</f>
        <v>1656.8492431333798</v>
      </c>
      <c r="J14" s="63">
        <f>BS!J16-BS!I16</f>
        <v>1723.1232128587071</v>
      </c>
      <c r="K14" s="63">
        <f>BS!K16-BS!J16</f>
        <v>1792.0481413730668</v>
      </c>
      <c r="M14" s="66"/>
    </row>
    <row r="15" spans="1:13" s="115" customFormat="1" ht="12">
      <c r="B15" s="122" t="s">
        <v>105</v>
      </c>
      <c r="C15" s="120"/>
      <c r="D15" s="121">
        <f>SUM(D12:D14)</f>
        <v>-441.60000000000582</v>
      </c>
      <c r="E15" s="121">
        <f>SUM(E12:E14)</f>
        <v>-5002.7999999999956</v>
      </c>
      <c r="F15" s="120"/>
      <c r="G15" s="121">
        <f>SUM(G12:G14)</f>
        <v>-2750.917320660199</v>
      </c>
      <c r="H15" s="121">
        <f>SUM(H12:H14)</f>
        <v>-2254.1966928264155</v>
      </c>
      <c r="I15" s="121">
        <f>SUM(I12:I14)</f>
        <v>-2344.3645605394559</v>
      </c>
      <c r="J15" s="121">
        <f>SUM(J12:J14)</f>
        <v>-2438.1391429610667</v>
      </c>
      <c r="K15" s="121">
        <f>SUM(K12:K14)</f>
        <v>-2535.6647086794837</v>
      </c>
      <c r="M15" s="124">
        <v>2</v>
      </c>
    </row>
    <row r="16" spans="1:13" s="115" customFormat="1" ht="12.75" customHeight="1">
      <c r="B16" s="125" t="s">
        <v>106</v>
      </c>
      <c r="D16" s="125">
        <f>-(BS!D10-BS!C10)+BS!D17-BS!C17</f>
        <v>-2686.2826666666824</v>
      </c>
      <c r="E16" s="125">
        <f>-(BS!E10-BS!D10)+BS!E17-BS!D17</f>
        <v>-3570.5095746029638</v>
      </c>
      <c r="G16" s="125">
        <f>-(BS!G10-BS!E10)+BS!G17-BS!E17</f>
        <v>2664.7375509468129</v>
      </c>
      <c r="H16" s="125">
        <f>-(BS!H10-BS!G10)+BS!H17-BS!G17</f>
        <v>-258.5846409462456</v>
      </c>
      <c r="I16" s="125">
        <f>-(BS!I10-BS!H10)+BS!I17-BS!H17</f>
        <v>-268.92802658409801</v>
      </c>
      <c r="J16" s="125">
        <f>-(BS!J10-BS!I10)+BS!J17-BS!I17</f>
        <v>-279.68514764745851</v>
      </c>
      <c r="K16" s="125">
        <f>-(BS!K10-BS!J10)+BS!K17-BS!J17</f>
        <v>-290.87255355335947</v>
      </c>
      <c r="M16" s="123">
        <v>3</v>
      </c>
    </row>
    <row r="17" spans="2:13" ht="4.5" customHeight="1">
      <c r="B17" s="28"/>
      <c r="C17" s="39"/>
      <c r="D17" s="29"/>
      <c r="E17" s="29"/>
      <c r="G17" s="29"/>
      <c r="H17" s="29"/>
      <c r="I17" s="29"/>
      <c r="J17" s="29"/>
      <c r="K17" s="29"/>
      <c r="M17" s="65"/>
    </row>
    <row r="18" spans="2:13" s="115" customFormat="1" ht="11.25" customHeight="1">
      <c r="B18" s="126" t="s">
        <v>107</v>
      </c>
      <c r="D18" s="125">
        <f>-(BS!D5-BS!C5)+'P&amp;L'!D13</f>
        <v>-8615.7999999999993</v>
      </c>
      <c r="E18" s="125">
        <f>-(BS!E5-BS!D5)+'P&amp;L'!E13</f>
        <v>-13467.459999999995</v>
      </c>
      <c r="G18" s="125">
        <f>-(BS!G5-BS!E5)+'P&amp;L'!G13</f>
        <v>-7022.6733092331242</v>
      </c>
      <c r="H18" s="125">
        <f>-(BS!H5-BS!G5)+'P&amp;L'!H13</f>
        <v>-9026.2941323693303</v>
      </c>
      <c r="I18" s="125">
        <f>-(BS!I5-BS!H5)+'P&amp;L'!I13</f>
        <v>-9387.345897664105</v>
      </c>
      <c r="J18" s="125">
        <f>-(BS!J5-BS!I5)+'P&amp;L'!J13</f>
        <v>-9762.8397335706741</v>
      </c>
      <c r="K18" s="125">
        <f>-(BS!K5-BS!J5)+'P&amp;L'!K13</f>
        <v>-10153.353322913492</v>
      </c>
      <c r="M18" s="123">
        <v>4</v>
      </c>
    </row>
    <row r="19" spans="2:13" s="115" customFormat="1" ht="12">
      <c r="B19" s="96" t="s">
        <v>108</v>
      </c>
      <c r="C19" s="95"/>
      <c r="D19" s="127">
        <f>-(BS!D4-BS!C4)-(BS!D6-BS!C6)</f>
        <v>-885.39999999999964</v>
      </c>
      <c r="E19" s="127">
        <f>-(BS!E4-BS!D4)-(BS!E6-BS!D6)</f>
        <v>-302</v>
      </c>
      <c r="F19" s="95"/>
      <c r="G19" s="127">
        <f>-(BS!G4-BS!E4)-(BS!G6-BS!E6)</f>
        <v>0</v>
      </c>
      <c r="H19" s="127">
        <f>-(BS!H4-BS!G4)-(BS!H6-BS!G6)</f>
        <v>0</v>
      </c>
      <c r="I19" s="127">
        <f>-(BS!I4-BS!H4)-(BS!I6-BS!H6)</f>
        <v>0</v>
      </c>
      <c r="J19" s="127">
        <f>-(BS!J4-BS!I4)-(BS!J6-BS!I6)</f>
        <v>0</v>
      </c>
      <c r="K19" s="127">
        <f>-(BS!K4-BS!J4)-(BS!K6-BS!J6)</f>
        <v>0</v>
      </c>
      <c r="M19" s="123">
        <v>5</v>
      </c>
    </row>
    <row r="20" spans="2:13" ht="3.75" customHeight="1">
      <c r="M20" s="65"/>
    </row>
    <row r="21" spans="2:13" s="115" customFormat="1" ht="12">
      <c r="B21" s="126" t="s">
        <v>109</v>
      </c>
      <c r="D21" s="128">
        <f>'P&amp;L'!D17</f>
        <v>-864.30000000000007</v>
      </c>
      <c r="E21" s="128">
        <f>'P&amp;L'!E17</f>
        <v>-320.26</v>
      </c>
      <c r="G21" s="128">
        <f>'P&amp;L'!G17</f>
        <v>0</v>
      </c>
      <c r="H21" s="128">
        <f>'P&amp;L'!H17</f>
        <v>0</v>
      </c>
      <c r="I21" s="128">
        <f>'P&amp;L'!I17</f>
        <v>0</v>
      </c>
      <c r="J21" s="128">
        <f>'P&amp;L'!J17</f>
        <v>0</v>
      </c>
      <c r="K21" s="128">
        <f>'P&amp;L'!K17</f>
        <v>0</v>
      </c>
      <c r="M21" s="123">
        <v>6</v>
      </c>
    </row>
    <row r="22" spans="2:13" ht="3.75" customHeight="1"/>
    <row r="23" spans="2:13" ht="12">
      <c r="B23" s="129" t="s">
        <v>110</v>
      </c>
      <c r="C23" s="130"/>
      <c r="D23" s="131">
        <f>SUM(D10,D15,D16,D18,D19,D21)</f>
        <v>3980.52561285912</v>
      </c>
      <c r="E23" s="131">
        <f>SUM(E10,E15,E16,E18,E19,E21)</f>
        <v>2517.8756635668306</v>
      </c>
      <c r="F23" s="130"/>
      <c r="G23" s="131">
        <f>SUM(G10,G15,G16,G18,G19,G21)</f>
        <v>11550.056073053489</v>
      </c>
      <c r="H23" s="131">
        <f>SUM(H10,H15,H16,H18,H19,H21)</f>
        <v>7785.5380519379978</v>
      </c>
      <c r="I23" s="131">
        <f>SUM(I10,I15,I16,I18,I19,I21)</f>
        <v>8016.3075740155473</v>
      </c>
      <c r="J23" s="131">
        <f>SUM(J10,J15,J16,J18,J19,J21)</f>
        <v>8256.307876976136</v>
      </c>
      <c r="K23" s="131">
        <f>SUM(K10,K15,K16,K18,K19,K21)</f>
        <v>8505.9081920552126</v>
      </c>
      <c r="M23" s="115" t="s">
        <v>111</v>
      </c>
    </row>
    <row r="24" spans="2:13" ht="5.25" customHeight="1">
      <c r="D24" s="24"/>
      <c r="E24" s="24"/>
      <c r="G24" s="24"/>
      <c r="H24" s="24"/>
      <c r="I24" s="24"/>
      <c r="J24" s="24"/>
      <c r="K24" s="24"/>
    </row>
    <row r="25" spans="2:13" ht="11.25" customHeight="1">
      <c r="B25" s="8" t="s">
        <v>112</v>
      </c>
      <c r="D25" s="24">
        <f>'P&amp;L'!D16</f>
        <v>-2190.9</v>
      </c>
      <c r="E25" s="24">
        <f>'P&amp;L'!E16</f>
        <v>-2663.92</v>
      </c>
      <c r="G25" s="24">
        <f>'P&amp;L'!G16</f>
        <v>-2663.92</v>
      </c>
      <c r="H25" s="24">
        <f>'P&amp;L'!H16</f>
        <v>-2663.92</v>
      </c>
      <c r="I25" s="24">
        <f>'P&amp;L'!I16</f>
        <v>-2663.92</v>
      </c>
      <c r="J25" s="24">
        <f>'P&amp;L'!J16</f>
        <v>-2663.92</v>
      </c>
      <c r="K25" s="24">
        <f>'P&amp;L'!K16</f>
        <v>-2663.92</v>
      </c>
    </row>
    <row r="26" spans="2:13" ht="12">
      <c r="B26" s="62" t="s">
        <v>113</v>
      </c>
      <c r="C26" s="43"/>
      <c r="D26" s="64">
        <f>'P&amp;L'!D21-'Cash Flow'!D5</f>
        <v>689.83572047420967</v>
      </c>
      <c r="E26" s="64">
        <f>'P&amp;L'!E21-'Cash Flow'!E5</f>
        <v>565.08833643320941</v>
      </c>
      <c r="F26" s="43"/>
      <c r="G26" s="64">
        <f>'P&amp;L'!G21-'Cash Flow'!G5</f>
        <v>586.0623999999998</v>
      </c>
      <c r="H26" s="64">
        <f>'P&amp;L'!H21-'Cash Flow'!H5</f>
        <v>586.06240000000025</v>
      </c>
      <c r="I26" s="64">
        <f>'P&amp;L'!I21-'Cash Flow'!I5</f>
        <v>586.06240000000025</v>
      </c>
      <c r="J26" s="64">
        <f>'P&amp;L'!J21-'Cash Flow'!J5</f>
        <v>586.06240000000025</v>
      </c>
      <c r="K26" s="64">
        <f>'P&amp;L'!K21-'Cash Flow'!K5</f>
        <v>586.06240000000025</v>
      </c>
    </row>
    <row r="27" spans="2:13" ht="12">
      <c r="B27" s="8" t="s">
        <v>114</v>
      </c>
      <c r="D27" s="8">
        <f>BS!D19-BS!C19</f>
        <v>9352.3999999999942</v>
      </c>
      <c r="E27" s="8">
        <f>BS!E19-BS!D19</f>
        <v>475.39999999999418</v>
      </c>
      <c r="G27" s="8">
        <f>BS!G19-BS!E19</f>
        <v>0</v>
      </c>
      <c r="H27" s="8">
        <f>BS!H19-BS!G19</f>
        <v>0</v>
      </c>
      <c r="I27" s="8">
        <f>BS!I19-BS!H19</f>
        <v>0</v>
      </c>
      <c r="J27" s="8">
        <f>BS!J19-BS!I19</f>
        <v>0</v>
      </c>
      <c r="K27" s="8">
        <f>BS!K19-BS!J19</f>
        <v>0</v>
      </c>
    </row>
    <row r="28" spans="2:13" ht="12">
      <c r="B28" s="44" t="s">
        <v>115</v>
      </c>
      <c r="C28" s="44"/>
      <c r="D28" s="45">
        <f>BS!D21-BS!C21-'P&amp;L'!D23</f>
        <v>-4214.2613333332665</v>
      </c>
      <c r="E28" s="45">
        <f>BS!E21-BS!D21-'P&amp;L'!E23</f>
        <v>-12129.644000000022</v>
      </c>
      <c r="F28" s="45"/>
      <c r="G28" s="45">
        <f>BS!G21-BS!E21-'P&amp;L'!G23</f>
        <v>0</v>
      </c>
      <c r="H28" s="45">
        <f>BS!H21-BS!G21-'P&amp;L'!H23</f>
        <v>0</v>
      </c>
      <c r="I28" s="45">
        <f>BS!I21-BS!H21-'P&amp;L'!I23</f>
        <v>0</v>
      </c>
      <c r="J28" s="45">
        <f>BS!J21-BS!I21-'P&amp;L'!J23</f>
        <v>0</v>
      </c>
      <c r="K28" s="45">
        <f>BS!K21-BS!J21-'P&amp;L'!K23</f>
        <v>0</v>
      </c>
    </row>
    <row r="29" spans="2:13" ht="12">
      <c r="B29" s="132" t="s">
        <v>116</v>
      </c>
      <c r="C29" s="133"/>
      <c r="D29" s="134">
        <f>SUM(D25,D23,D26,D27,D28)</f>
        <v>7617.6000000000568</v>
      </c>
      <c r="E29" s="134">
        <f>SUM(E25,E23,E26,E27,E28)</f>
        <v>-11235.199999999988</v>
      </c>
      <c r="F29" s="135"/>
      <c r="G29" s="134">
        <f>SUM(G25,G23,G26,G27,G28)</f>
        <v>9472.1984730534896</v>
      </c>
      <c r="H29" s="134">
        <f>SUM(H25,H23,H26,H27,H28)</f>
        <v>5707.6804519379984</v>
      </c>
      <c r="I29" s="134">
        <f>SUM(I25,I23,I26,I27,I28)</f>
        <v>5938.4499740155479</v>
      </c>
      <c r="J29" s="134">
        <f>SUM(J25,J23,J26,J27,J28)</f>
        <v>6178.4502769761366</v>
      </c>
      <c r="K29" s="134">
        <f>SUM(K25,K23,K26,K27,K28)</f>
        <v>6428.0505920552132</v>
      </c>
    </row>
    <row r="30" spans="2:13" ht="12"/>
    <row r="31" spans="2:13" ht="12">
      <c r="B31" s="8" t="s">
        <v>117</v>
      </c>
      <c r="D31" s="8">
        <f>BS!C12</f>
        <v>11791.199999999999</v>
      </c>
      <c r="E31" s="8">
        <f>BS!D12</f>
        <v>19408.8</v>
      </c>
      <c r="G31" s="8">
        <f>BS!E12</f>
        <v>8173.6</v>
      </c>
      <c r="H31" s="8">
        <f>BS!G12</f>
        <v>17645.798473053488</v>
      </c>
      <c r="I31" s="8">
        <f>BS!H12</f>
        <v>23353.478924991487</v>
      </c>
      <c r="J31" s="8">
        <f>BS!I12</f>
        <v>29291.928899007034</v>
      </c>
      <c r="K31" s="8">
        <f>BS!J12</f>
        <v>35470.379175983173</v>
      </c>
    </row>
    <row r="32" spans="2:13" ht="12">
      <c r="B32" s="8" t="s">
        <v>118</v>
      </c>
      <c r="D32" s="38">
        <f>D29+D31</f>
        <v>19408.800000000054</v>
      </c>
      <c r="E32" s="38">
        <f>E29+E31</f>
        <v>8173.6000000000113</v>
      </c>
      <c r="G32" s="38">
        <f>G29+G31</f>
        <v>17645.798473053488</v>
      </c>
      <c r="H32" s="38">
        <f>H29+H31</f>
        <v>23353.478924991487</v>
      </c>
      <c r="I32" s="38">
        <f>I29+I31</f>
        <v>29291.928899007034</v>
      </c>
      <c r="J32" s="38">
        <f>J29+J31</f>
        <v>35470.379175983173</v>
      </c>
      <c r="K32" s="38">
        <f>K29+K31</f>
        <v>41898.42976803839</v>
      </c>
    </row>
    <row r="33" spans="2:11" ht="12"/>
    <row r="34" spans="2:11" ht="12">
      <c r="B34" s="8" t="s">
        <v>119</v>
      </c>
      <c r="D34" s="8">
        <f>BS!D12</f>
        <v>19408.8</v>
      </c>
      <c r="E34" s="8">
        <f>BS!E12</f>
        <v>8173.6</v>
      </c>
      <c r="G34" s="8">
        <f>BS!G12</f>
        <v>17645.798473053488</v>
      </c>
      <c r="H34" s="8">
        <f>BS!H12</f>
        <v>23353.478924991487</v>
      </c>
      <c r="I34" s="8">
        <f>BS!I12</f>
        <v>29291.928899007034</v>
      </c>
      <c r="J34" s="8">
        <f>BS!J12</f>
        <v>35470.379175983173</v>
      </c>
      <c r="K34" s="8">
        <f>BS!K12</f>
        <v>41898.42976803839</v>
      </c>
    </row>
    <row r="35" spans="2:11" ht="12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29"/>
  <sheetViews>
    <sheetView zoomScale="130" zoomScaleNormal="130" workbookViewId="0">
      <selection activeCell="M7" sqref="M7"/>
    </sheetView>
  </sheetViews>
  <sheetFormatPr defaultColWidth="9.140625" defaultRowHeight="11.45"/>
  <cols>
    <col min="1" max="1" width="2" style="4" customWidth="1"/>
    <col min="2" max="2" width="22.7109375" style="4" customWidth="1"/>
    <col min="3" max="3" width="13.28515625" style="4" customWidth="1"/>
    <col min="4" max="4" width="9.42578125" style="4" customWidth="1"/>
    <col min="5" max="5" width="12.5703125" style="4" bestFit="1" customWidth="1"/>
    <col min="6" max="6" width="2" style="4" customWidth="1"/>
    <col min="7" max="7" width="10" style="4" bestFit="1" customWidth="1"/>
    <col min="8" max="11" width="9.140625" style="4"/>
    <col min="12" max="12" width="2" style="4" customWidth="1"/>
    <col min="13" max="16384" width="9.140625" style="4"/>
  </cols>
  <sheetData>
    <row r="1" spans="2:13" ht="15.75">
      <c r="B1" s="91" t="s">
        <v>0</v>
      </c>
    </row>
    <row r="2" spans="2:13" ht="15.75">
      <c r="B2" s="3"/>
    </row>
    <row r="3" spans="2:13" ht="15.75">
      <c r="B3" s="3"/>
    </row>
    <row r="4" spans="2:13" ht="12">
      <c r="B4" s="62" t="s">
        <v>120</v>
      </c>
      <c r="C4" s="136">
        <v>0.1</v>
      </c>
    </row>
    <row r="5" spans="2:13" ht="12">
      <c r="B5" s="4" t="s">
        <v>121</v>
      </c>
      <c r="C5" s="136">
        <v>0.02</v>
      </c>
    </row>
    <row r="6" spans="2:13" ht="12">
      <c r="G6" s="4">
        <v>1</v>
      </c>
      <c r="H6" s="4">
        <v>2</v>
      </c>
      <c r="I6" s="4">
        <v>3</v>
      </c>
      <c r="J6" s="4">
        <v>4</v>
      </c>
      <c r="K6" s="4">
        <v>5</v>
      </c>
    </row>
    <row r="7" spans="2:13" s="92" customFormat="1" ht="21.75">
      <c r="B7" s="97" t="s">
        <v>29</v>
      </c>
      <c r="C7" s="98" t="s">
        <v>30</v>
      </c>
      <c r="D7" s="98" t="s">
        <v>31</v>
      </c>
      <c r="E7" s="98" t="s">
        <v>32</v>
      </c>
      <c r="F7" s="93"/>
      <c r="G7" s="99" t="s">
        <v>33</v>
      </c>
      <c r="H7" s="99" t="s">
        <v>34</v>
      </c>
      <c r="I7" s="99" t="s">
        <v>35</v>
      </c>
      <c r="J7" s="99" t="s">
        <v>36</v>
      </c>
      <c r="K7" s="99" t="s">
        <v>37</v>
      </c>
      <c r="M7" s="108"/>
    </row>
    <row r="8" spans="2:13" ht="12">
      <c r="B8" s="4" t="s">
        <v>110</v>
      </c>
      <c r="D8" s="10">
        <f>'Cash Flow'!D23</f>
        <v>3980.52561285912</v>
      </c>
      <c r="E8" s="10">
        <f>'Cash Flow'!E23</f>
        <v>2517.8756635668306</v>
      </c>
      <c r="F8" s="10"/>
      <c r="G8" s="20">
        <f>'Cash Flow'!G23</f>
        <v>11550.056073053489</v>
      </c>
      <c r="H8" s="20">
        <f>'Cash Flow'!H23</f>
        <v>7785.5380519379978</v>
      </c>
      <c r="I8" s="20">
        <f>'Cash Flow'!I23</f>
        <v>8016.3075740155473</v>
      </c>
      <c r="J8" s="20">
        <f>'Cash Flow'!J23</f>
        <v>8256.307876976136</v>
      </c>
      <c r="K8" s="20">
        <f>'Cash Flow'!K23</f>
        <v>8505.9081920552126</v>
      </c>
    </row>
    <row r="9" spans="2:13" ht="3.75" customHeight="1">
      <c r="G9" s="20"/>
      <c r="H9" s="20"/>
      <c r="I9" s="20"/>
      <c r="J9" s="20"/>
      <c r="K9" s="20"/>
    </row>
    <row r="10" spans="2:13">
      <c r="B10" s="4" t="s">
        <v>122</v>
      </c>
      <c r="G10" s="40">
        <f>1/(1+'DCF valuation'!$C$4)^'DCF valuation'!G6</f>
        <v>0.90909090909090906</v>
      </c>
      <c r="H10" s="40">
        <f>1/(1+'DCF valuation'!$C$4)^'DCF valuation'!H6</f>
        <v>0.82644628099173545</v>
      </c>
      <c r="I10" s="40">
        <f>1/(1+'DCF valuation'!$C$4)^'DCF valuation'!I6</f>
        <v>0.75131480090157754</v>
      </c>
      <c r="J10" s="40">
        <f>1/(1+'DCF valuation'!$C$4)^'DCF valuation'!J6</f>
        <v>0.68301345536507052</v>
      </c>
      <c r="K10" s="40">
        <f>1/(1+'DCF valuation'!$C$4)^'DCF valuation'!K6</f>
        <v>0.62092132305915493</v>
      </c>
    </row>
    <row r="11" spans="2:13" s="92" customFormat="1" ht="12">
      <c r="B11" s="116" t="s">
        <v>123</v>
      </c>
      <c r="C11" s="116"/>
      <c r="D11" s="116"/>
      <c r="E11" s="116"/>
      <c r="F11" s="117"/>
      <c r="G11" s="137">
        <f>G8*G10</f>
        <v>10500.050975503171</v>
      </c>
      <c r="H11" s="137">
        <f t="shared" ref="H11:K11" si="0">H8*H10</f>
        <v>6434.3289685437994</v>
      </c>
      <c r="I11" s="137">
        <f t="shared" si="0"/>
        <v>6022.7705289372989</v>
      </c>
      <c r="J11" s="137">
        <f t="shared" si="0"/>
        <v>5639.1693716113205</v>
      </c>
      <c r="K11" s="137">
        <f t="shared" si="0"/>
        <v>5281.4997684306272</v>
      </c>
    </row>
    <row r="12" spans="2:13">
      <c r="G12" s="14"/>
      <c r="H12" s="14"/>
      <c r="I12" s="14"/>
      <c r="J12" s="14"/>
      <c r="K12" s="14"/>
    </row>
    <row r="13" spans="2:13">
      <c r="G13" s="14"/>
      <c r="H13" s="14"/>
      <c r="I13" s="14"/>
      <c r="J13" s="14"/>
      <c r="K13" s="14"/>
    </row>
    <row r="14" spans="2:13" ht="12">
      <c r="B14" s="138"/>
      <c r="C14" s="138"/>
      <c r="D14" s="138"/>
      <c r="E14" s="138" t="s">
        <v>0</v>
      </c>
      <c r="F14" s="138"/>
      <c r="G14" s="138"/>
      <c r="H14" s="138"/>
      <c r="I14" s="138"/>
      <c r="J14" s="138"/>
      <c r="K14" s="138"/>
    </row>
    <row r="15" spans="2:13">
      <c r="B15" s="4" t="s">
        <v>124</v>
      </c>
      <c r="C15" s="10">
        <f>SUM(G11:K11)</f>
        <v>33877.819613026222</v>
      </c>
      <c r="D15" s="4" t="s">
        <v>125</v>
      </c>
      <c r="E15" s="33"/>
      <c r="F15" s="41"/>
      <c r="G15" s="17"/>
    </row>
    <row r="16" spans="2:13">
      <c r="B16" s="4" t="s">
        <v>126</v>
      </c>
      <c r="C16" s="10">
        <f>K8*(1+$C$5)/($C$4-$C$5)</f>
        <v>108450.32944870395</v>
      </c>
      <c r="D16" s="4" t="s">
        <v>125</v>
      </c>
      <c r="E16" s="31"/>
      <c r="F16" s="41"/>
    </row>
    <row r="17" spans="2:11">
      <c r="B17" s="4" t="s">
        <v>127</v>
      </c>
      <c r="C17" s="10">
        <f>C16*K10</f>
        <v>67339.122047490484</v>
      </c>
      <c r="D17" s="4" t="s">
        <v>125</v>
      </c>
      <c r="E17" s="33"/>
      <c r="F17" s="41"/>
      <c r="G17" s="17"/>
    </row>
    <row r="18" spans="2:11" s="92" customFormat="1" ht="12">
      <c r="B18" s="116" t="s">
        <v>128</v>
      </c>
      <c r="C18" s="117">
        <f>C17+C15</f>
        <v>101216.94166051671</v>
      </c>
      <c r="D18" s="116" t="s">
        <v>125</v>
      </c>
      <c r="E18" s="127"/>
      <c r="F18" s="95"/>
    </row>
    <row r="19" spans="2:11">
      <c r="B19" s="4" t="s">
        <v>129</v>
      </c>
      <c r="C19" s="10">
        <f>-BS!E19</f>
        <v>-51120.799999999996</v>
      </c>
      <c r="D19" s="4" t="s">
        <v>125</v>
      </c>
      <c r="E19" s="10"/>
    </row>
    <row r="20" spans="2:11">
      <c r="B20" s="4" t="s">
        <v>130</v>
      </c>
      <c r="C20" s="10">
        <f>BS!E12</f>
        <v>8173.6</v>
      </c>
      <c r="D20" s="4" t="s">
        <v>125</v>
      </c>
      <c r="E20" s="10"/>
    </row>
    <row r="21" spans="2:11" s="92" customFormat="1" ht="12">
      <c r="B21" s="116" t="s">
        <v>131</v>
      </c>
      <c r="C21" s="117">
        <f>SUM(C18:C20)</f>
        <v>58269.741660516709</v>
      </c>
      <c r="D21" s="116" t="s">
        <v>125</v>
      </c>
      <c r="E21" s="127"/>
      <c r="F21" s="95"/>
      <c r="H21" s="139"/>
      <c r="I21" s="139"/>
      <c r="J21" s="139"/>
      <c r="K21" s="139"/>
    </row>
    <row r="22" spans="2:11">
      <c r="G22" s="52"/>
    </row>
    <row r="23" spans="2:11">
      <c r="G23" s="52"/>
    </row>
    <row r="24" spans="2:11">
      <c r="G24" s="52"/>
    </row>
    <row r="25" spans="2:11" ht="12">
      <c r="G25" s="67"/>
      <c r="H25" s="42"/>
      <c r="I25" s="42"/>
      <c r="J25" s="42"/>
      <c r="K25" s="42"/>
    </row>
    <row r="26" spans="2:11" ht="12">
      <c r="G26" s="42"/>
      <c r="H26" s="10"/>
      <c r="I26" s="10"/>
      <c r="J26" s="10"/>
      <c r="K26" s="10"/>
    </row>
    <row r="27" spans="2:11" ht="12">
      <c r="G27" s="42"/>
      <c r="H27" s="10"/>
      <c r="I27" s="10"/>
      <c r="J27" s="10"/>
      <c r="K27" s="10"/>
    </row>
    <row r="28" spans="2:11" ht="12">
      <c r="G28" s="42"/>
      <c r="H28" s="10"/>
      <c r="I28" s="10"/>
      <c r="J28" s="10"/>
      <c r="K28" s="10"/>
    </row>
    <row r="29" spans="2:11" ht="12">
      <c r="G29" s="42"/>
      <c r="H29" s="10"/>
      <c r="I29" s="10"/>
      <c r="J29" s="10"/>
      <c r="K2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2025-07-21T16:27:24Z</dcterms:modified>
  <cp:category/>
  <cp:contentStatus/>
</cp:coreProperties>
</file>