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B59F4F1E-A0B3-4C9F-8ED6-2DA6B3D4BAD8}" xr6:coauthVersionLast="45" xr6:coauthVersionMax="45" xr10:uidLastSave="{00000000-0000-0000-0000-000000000000}"/>
  <bookViews>
    <workbookView xWindow="-120" yWindow="-120" windowWidth="29040" windowHeight="15840" activeTab="2" xr2:uid="{46DF2408-06CA-4BC2-AA4E-E79F69A62D4F}"/>
  </bookViews>
  <sheets>
    <sheet name="Light themes" sheetId="1" r:id="rId1"/>
    <sheet name="Medium themes" sheetId="2" r:id="rId2"/>
    <sheet name="Dark theme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8" i="1" l="1"/>
  <c r="X28" i="1"/>
  <c r="W28" i="1"/>
  <c r="T28" i="1"/>
  <c r="S28" i="1"/>
  <c r="R28" i="1"/>
  <c r="O28" i="1"/>
  <c r="N28" i="1"/>
  <c r="M28" i="1"/>
  <c r="J28" i="1"/>
  <c r="I28" i="1"/>
  <c r="H28" i="1"/>
  <c r="E28" i="1"/>
  <c r="D28" i="1"/>
  <c r="C28" i="1"/>
  <c r="Y21" i="1"/>
  <c r="X21" i="1"/>
  <c r="W21" i="1"/>
  <c r="E35" i="1"/>
  <c r="D35" i="1"/>
  <c r="C35" i="1"/>
  <c r="E21" i="3"/>
  <c r="D21" i="3"/>
  <c r="C21" i="3"/>
  <c r="Y14" i="3"/>
  <c r="X14" i="3"/>
  <c r="W14" i="3"/>
  <c r="T14" i="3"/>
  <c r="S14" i="3"/>
  <c r="R14" i="3"/>
  <c r="O14" i="3"/>
  <c r="N14" i="3"/>
  <c r="M14" i="3"/>
  <c r="J14" i="3"/>
  <c r="I14" i="3"/>
  <c r="H14" i="3"/>
  <c r="E14" i="3"/>
  <c r="D14" i="3"/>
  <c r="C14" i="3"/>
  <c r="Y7" i="3"/>
  <c r="X7" i="3"/>
  <c r="W7" i="3"/>
  <c r="T7" i="3"/>
  <c r="S7" i="3"/>
  <c r="R7" i="3"/>
  <c r="O7" i="3"/>
  <c r="N7" i="3"/>
  <c r="M7" i="3"/>
  <c r="J7" i="3"/>
  <c r="I7" i="3"/>
  <c r="H7" i="3"/>
  <c r="E7" i="3"/>
  <c r="D7" i="3"/>
  <c r="C7" i="3"/>
  <c r="O42" i="2"/>
  <c r="N42" i="2"/>
  <c r="M42" i="2"/>
  <c r="J42" i="2"/>
  <c r="I42" i="2"/>
  <c r="H42" i="2"/>
  <c r="E42" i="2"/>
  <c r="D42" i="2"/>
  <c r="C42" i="2"/>
  <c r="Y35" i="2"/>
  <c r="X35" i="2"/>
  <c r="W35" i="2"/>
  <c r="T35" i="2"/>
  <c r="S35" i="2"/>
  <c r="R35" i="2"/>
  <c r="O35" i="2"/>
  <c r="N35" i="2"/>
  <c r="M35" i="2"/>
  <c r="J35" i="2"/>
  <c r="I35" i="2"/>
  <c r="H35" i="2"/>
  <c r="E35" i="2"/>
  <c r="D35" i="2"/>
  <c r="C35" i="2"/>
  <c r="Y28" i="2"/>
  <c r="X28" i="2"/>
  <c r="W28" i="2"/>
  <c r="T28" i="2"/>
  <c r="S28" i="2"/>
  <c r="R28" i="2"/>
  <c r="O28" i="2"/>
  <c r="N28" i="2"/>
  <c r="M28" i="2"/>
  <c r="J28" i="2"/>
  <c r="I28" i="2"/>
  <c r="H28" i="2"/>
  <c r="E28" i="2"/>
  <c r="D28" i="2"/>
  <c r="C28" i="2"/>
  <c r="Y21" i="2"/>
  <c r="X21" i="2"/>
  <c r="W21" i="2"/>
  <c r="T21" i="2"/>
  <c r="S21" i="2"/>
  <c r="R21" i="2"/>
  <c r="O21" i="2"/>
  <c r="N21" i="2"/>
  <c r="M21" i="2"/>
  <c r="J21" i="2"/>
  <c r="I21" i="2"/>
  <c r="H21" i="2"/>
  <c r="E21" i="2"/>
  <c r="D21" i="2"/>
  <c r="C21" i="2"/>
  <c r="Y14" i="2"/>
  <c r="X14" i="2"/>
  <c r="W14" i="2"/>
  <c r="T14" i="2"/>
  <c r="S14" i="2"/>
  <c r="R14" i="2"/>
  <c r="O14" i="2"/>
  <c r="N14" i="2"/>
  <c r="M14" i="2"/>
  <c r="J14" i="2"/>
  <c r="I14" i="2"/>
  <c r="H14" i="2"/>
  <c r="E14" i="2"/>
  <c r="D14" i="2"/>
  <c r="C14" i="2"/>
  <c r="Y7" i="2"/>
  <c r="X7" i="2"/>
  <c r="W7" i="2"/>
  <c r="T7" i="2"/>
  <c r="S7" i="2"/>
  <c r="R7" i="2"/>
  <c r="O7" i="2"/>
  <c r="N7" i="2"/>
  <c r="M7" i="2"/>
  <c r="J7" i="2"/>
  <c r="I7" i="2"/>
  <c r="H7" i="2"/>
  <c r="E7" i="2"/>
  <c r="D7" i="2"/>
  <c r="C7" i="2"/>
  <c r="T21" i="1"/>
  <c r="S21" i="1"/>
  <c r="R21" i="1"/>
  <c r="O21" i="1"/>
  <c r="N21" i="1"/>
  <c r="M21" i="1"/>
  <c r="J21" i="1"/>
  <c r="I21" i="1"/>
  <c r="H21" i="1"/>
  <c r="E21" i="1"/>
  <c r="D21" i="1"/>
  <c r="C21" i="1"/>
  <c r="Y14" i="1"/>
  <c r="X14" i="1"/>
  <c r="W14" i="1"/>
  <c r="T14" i="1"/>
  <c r="S14" i="1"/>
  <c r="R14" i="1"/>
  <c r="O14" i="1"/>
  <c r="N14" i="1"/>
  <c r="M14" i="1"/>
  <c r="J14" i="1"/>
  <c r="I14" i="1"/>
  <c r="H14" i="1"/>
  <c r="E14" i="1"/>
  <c r="D14" i="1"/>
  <c r="C14" i="1"/>
  <c r="Y7" i="1"/>
  <c r="X7" i="1"/>
  <c r="W7" i="1"/>
  <c r="T7" i="1"/>
  <c r="S7" i="1"/>
  <c r="R7" i="1"/>
  <c r="O7" i="1"/>
  <c r="N7" i="1"/>
  <c r="M7" i="1"/>
  <c r="J7" i="1"/>
  <c r="I7" i="1"/>
  <c r="H7" i="1"/>
  <c r="E7" i="1"/>
  <c r="D7" i="1"/>
  <c r="C7" i="1"/>
</calcChain>
</file>

<file path=xl/sharedStrings.xml><?xml version="1.0" encoding="utf-8"?>
<sst xmlns="http://schemas.openxmlformats.org/spreadsheetml/2006/main" count="600" uniqueCount="69">
  <si>
    <t>Col1</t>
  </si>
  <si>
    <t>Col2</t>
  </si>
  <si>
    <t>Col3</t>
  </si>
  <si>
    <t>Col4</t>
  </si>
  <si>
    <t>First</t>
  </si>
  <si>
    <t>Second</t>
  </si>
  <si>
    <t>Third</t>
  </si>
  <si>
    <t>Fourth</t>
  </si>
  <si>
    <t>Average</t>
  </si>
  <si>
    <t>TableStyleLight1</t>
  </si>
  <si>
    <t>TableStyleDark1</t>
  </si>
  <si>
    <t>TableStyleDark2</t>
  </si>
  <si>
    <t>TableStyleDark3</t>
  </si>
  <si>
    <t>TableStyleDark4</t>
  </si>
  <si>
    <t>TableStyleDark5</t>
  </si>
  <si>
    <t>TableStyleDark6</t>
  </si>
  <si>
    <t>TableStyleDark7</t>
  </si>
  <si>
    <t>TableStyleDark8</t>
  </si>
  <si>
    <t>TableStyleDark9</t>
  </si>
  <si>
    <t>TableStyleDark10</t>
  </si>
  <si>
    <t>TableStyleDark11</t>
  </si>
  <si>
    <t>TableStyleMedium1</t>
  </si>
  <si>
    <t>TableStyleMedium2</t>
  </si>
  <si>
    <t>TableStyleMedium3</t>
  </si>
  <si>
    <t>TableStyleMedium4</t>
  </si>
  <si>
    <t>TableStyleMedium5</t>
  </si>
  <si>
    <t>TableStyleMedium6</t>
  </si>
  <si>
    <t>TableStyleMedium7</t>
  </si>
  <si>
    <t>TableStyleMedium8</t>
  </si>
  <si>
    <t>TableStyleMedium9</t>
  </si>
  <si>
    <t>TableStyleMedium10</t>
  </si>
  <si>
    <t>TableStyleMedium11</t>
  </si>
  <si>
    <t>TableStyleMedium12</t>
  </si>
  <si>
    <t>TableStyleMedium13</t>
  </si>
  <si>
    <t>TableStyleMedium14</t>
  </si>
  <si>
    <t>TableStyleMedium15</t>
  </si>
  <si>
    <t>TableStyleMedium16</t>
  </si>
  <si>
    <t>TableStyleMedium17</t>
  </si>
  <si>
    <t>TableStyleMedium18</t>
  </si>
  <si>
    <t>TableStyleMedium19</t>
  </si>
  <si>
    <t>TableStyleMedium20</t>
  </si>
  <si>
    <t>TableStyleMedium21</t>
  </si>
  <si>
    <t>TableStyleMedium22</t>
  </si>
  <si>
    <t>TableStyleMedium23</t>
  </si>
  <si>
    <t>TableStyleMedium24</t>
  </si>
  <si>
    <t>TableStyleMedium25</t>
  </si>
  <si>
    <t>TableStyleMedium26</t>
  </si>
  <si>
    <t>TableStyleMedium27</t>
  </si>
  <si>
    <t>TableStyleMedium28</t>
  </si>
  <si>
    <t>TableStyleLight2</t>
  </si>
  <si>
    <t>TableStyleLight3</t>
  </si>
  <si>
    <t>TableStyleLight4</t>
  </si>
  <si>
    <t>TableStyleLight5</t>
  </si>
  <si>
    <t>TableStyleLight6</t>
  </si>
  <si>
    <t>TableStyleLight7</t>
  </si>
  <si>
    <t>TableStyleLight8</t>
  </si>
  <si>
    <t>TableStyleLight9</t>
  </si>
  <si>
    <t>TableStyleLight10</t>
  </si>
  <si>
    <t>TableStyleLight11</t>
  </si>
  <si>
    <t>TableStyleLight12</t>
  </si>
  <si>
    <t>TableStyleLight13</t>
  </si>
  <si>
    <t>TableStyleLight14</t>
  </si>
  <si>
    <t>TableStyleLight21</t>
  </si>
  <si>
    <t>TableStyleLight15</t>
  </si>
  <si>
    <t>TableStyleLight16</t>
  </si>
  <si>
    <t>TableStyleLight17</t>
  </si>
  <si>
    <t>TableStyleLight18</t>
  </si>
  <si>
    <t>TableStyleLight19</t>
  </si>
  <si>
    <t>TableStyleLight20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</si>
</sst>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4E915-2009-4E28-8916-F038B6A2DFEB}" name="Table1" displayName="Table1" ref="B2:E7" totalsRowCount="1">
  <autoFilter ref="B2:E6" xr:uid="{8B55D149-37F6-4942-9F64-303769457985}"/>
  <tableColumns count="4">
    <tableColumn id="1" xr3:uid="{270ABFE6-7B56-473E-88C8-E1324021B575}" name="Col1" totalsRowLabel="Average"/>
    <tableColumn id="2" xr3:uid="{12566EDB-5055-40A7-AC66-4FF25AF23182}" name="Col2" totalsRowFunction="average"/>
    <tableColumn id="3" xr3:uid="{9783ADE6-25A4-4165-9ED7-3349823F3CBE}" name="Col3" totalsRowFunction="average"/>
    <tableColumn id="4" xr3:uid="{F36F693E-6B4D-4704-A12F-7CC6D23BECFF}" name="Col4" totalsRowFunction="average" totalsRowDxfId="5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BC3877-408A-4065-BEBB-2FBF434FD0C7}" name="Table118" displayName="Table118" ref="V9:Y14" totalsRowCount="1">
  <autoFilter ref="V9:Y13" xr:uid="{50D3CFAC-629E-408F-90E3-6E3BCEE62FA1}"/>
  <tableColumns count="4">
    <tableColumn id="1" xr3:uid="{5ACE15B2-2911-46BA-9DE7-7F7D01F83504}" name="Col1" totalsRowLabel="Average"/>
    <tableColumn id="2" xr3:uid="{F0056D0F-BB3F-4FE6-A86F-2B5F703E98CA}" name="Col2" totalsRowFunction="average"/>
    <tableColumn id="3" xr3:uid="{6062EB8C-3CFD-4F38-95C5-813C7BCE5041}" name="Col3" totalsRowFunction="average"/>
    <tableColumn id="4" xr3:uid="{95C8186F-F2A1-4A97-9C16-47DFE79574AC}" name="Col4" totalsRowFunction="average" totalsRowDxfId="50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6E42FF-E7BD-4C13-B63C-406F0EF8365F}" name="Table1419" displayName="Table1419" ref="B16:E21" totalsRowCount="1">
  <autoFilter ref="B16:E20" xr:uid="{F33D68BA-B808-4063-A8A1-20DD7CC4DA5E}"/>
  <tableColumns count="4">
    <tableColumn id="1" xr3:uid="{BE16AFF0-E7C3-49A9-908E-F95F3160EB22}" name="Col1" totalsRowLabel="Average"/>
    <tableColumn id="2" xr3:uid="{17934D1E-5350-41B0-98D7-1B124D6FA2B9}" name="Col2" totalsRowFunction="average"/>
    <tableColumn id="3" xr3:uid="{5C6542B6-F43C-4F04-96E6-01E44575A9DD}" name="Col3" totalsRowFunction="average"/>
    <tableColumn id="4" xr3:uid="{61169DBB-83F7-42D5-AC97-E37A891523C1}" name="Col4" totalsRowFunction="average" totalsRowDxfId="4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872904-FE1D-497D-B406-71F324368DB1}" name="Table1520" displayName="Table1520" ref="G16:J21" totalsRowCount="1">
  <autoFilter ref="G16:J20" xr:uid="{EB37A8A1-5A69-425E-ACA4-EE7C0D977A1F}"/>
  <tableColumns count="4">
    <tableColumn id="1" xr3:uid="{9AC4A1D6-15CB-40A0-86A0-95967BA10C42}" name="Col1" totalsRowLabel="Average"/>
    <tableColumn id="2" xr3:uid="{46DCB319-2482-4BFC-8A90-8DA0B678DE7E}" name="Col2" totalsRowFunction="average"/>
    <tableColumn id="3" xr3:uid="{5C3BDCEC-0D24-45A4-85DD-6FB58EEBA5A6}" name="Col3" totalsRowFunction="average"/>
    <tableColumn id="4" xr3:uid="{362934F3-5ACD-449B-99A9-CB3C987A6668}" name="Col4" totalsRowFunction="average" totalsRowDxfId="48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F0C295-89A4-43A8-B03C-36D0B71540B9}" name="Table11221" displayName="Table11221" ref="L16:O21" totalsRowCount="1">
  <autoFilter ref="L16:O20" xr:uid="{68528B7E-D8E2-4966-AA5C-93D2C835F85B}"/>
  <tableColumns count="4">
    <tableColumn id="1" xr3:uid="{9901D879-1087-4940-83B1-9BC43633531F}" name="Col1" totalsRowLabel="Average"/>
    <tableColumn id="2" xr3:uid="{947825B4-7031-42BA-B009-B5688E4CF67B}" name="Col2" totalsRowFunction="average"/>
    <tableColumn id="3" xr3:uid="{9EAA46D4-67E7-42AE-B27D-FE682F888C0C}" name="Col3" totalsRowFunction="average"/>
    <tableColumn id="4" xr3:uid="{A1EDA7F0-DC5B-4FF1-885B-8256305BA699}" name="Col4" totalsRowFunction="average" totalsRowDxfId="47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5298CBA-CB13-47E9-91A1-16CC508C0E43}" name="Table141322" displayName="Table141322" ref="Q16:T21" totalsRowCount="1">
  <autoFilter ref="Q16:T20" xr:uid="{AF19364C-8674-45D3-B84B-9D564ED2BA8A}"/>
  <tableColumns count="4">
    <tableColumn id="1" xr3:uid="{F8C75F6F-F550-442B-8D87-AAD74DF6FB12}" name="Col1" totalsRowLabel="Average"/>
    <tableColumn id="2" xr3:uid="{3BA89FBB-AE8F-4ABA-9064-E3D59111FF31}" name="Col2" totalsRowFunction="average"/>
    <tableColumn id="3" xr3:uid="{5FA4EFF6-8AE7-44CE-BD46-2315BF29A43F}" name="Col3" totalsRowFunction="average"/>
    <tableColumn id="4" xr3:uid="{44BB8DDF-D651-46FA-BF9C-DFF83B044119}" name="Col4" totalsRowFunction="average" totalsRowDxfId="46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68F0F31-FC04-45DC-9E30-1CE65C5D87B1}" name="Table14132257" displayName="Table14132257" ref="B30:E35" totalsRowCount="1">
  <autoFilter ref="B30:E34" xr:uid="{5C8D5CE9-3E87-4C82-B1BF-F2BD93EB3D84}"/>
  <tableColumns count="4">
    <tableColumn id="1" xr3:uid="{049ACBAE-1669-4FAB-9B64-43474A62ECE6}" name="Col1" totalsRowLabel="Average"/>
    <tableColumn id="2" xr3:uid="{77E439E9-2A92-4ACD-99D1-C155DCF7E1BD}" name="Col2" totalsRowFunction="average"/>
    <tableColumn id="3" xr3:uid="{73CDCEF1-9151-45D9-B27F-21103F17AB62}" name="Col3" totalsRowFunction="average"/>
    <tableColumn id="4" xr3:uid="{D45D7444-2175-40B4-837F-AD595F5A7EBA}" name="Col4" totalsRowFunction="average" totalsRowDxfId="45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0C2748B-8E26-4FD7-82A9-6C1AA5EDE1A5}" name="Table1413225755" displayName="Table1413225755" ref="V16:Y21" totalsRowCount="1">
  <autoFilter ref="V16:Y20" xr:uid="{6A5AA3DD-03D1-4416-8320-DA2DF612A6D4}"/>
  <tableColumns count="4">
    <tableColumn id="1" xr3:uid="{1ABB2B7E-E068-49CE-AB3E-DBA5DEEEDD12}" name="Col1" totalsRowLabel="Average"/>
    <tableColumn id="2" xr3:uid="{1FAA9AF1-430C-4458-B9F2-36171D5E5E45}" name="Col2" totalsRowFunction="average"/>
    <tableColumn id="3" xr3:uid="{5C1253BD-768D-4B10-A383-7F77F0EC5B65}" name="Col3" totalsRowFunction="average"/>
    <tableColumn id="4" xr3:uid="{5AD3AF93-A56B-4F7A-BC8A-56FD65136A2D}" name="Col4" totalsRowFunction="average" totalsRowDxfId="44"/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6A85A6F-398A-4B65-9786-76F2CA97A63E}" name="Table141322575556" displayName="Table141322575556" ref="B23:E28" totalsRowCount="1">
  <autoFilter ref="B23:E27" xr:uid="{B94DA2A4-0678-40C8-816A-0210B00FC814}"/>
  <tableColumns count="4">
    <tableColumn id="1" xr3:uid="{B7FCF3C3-762B-4A6A-9560-1DD39F71CA72}" name="Col1" totalsRowLabel="Average"/>
    <tableColumn id="2" xr3:uid="{71BBB647-0207-4950-8B89-C20A9423AED1}" name="Col2" totalsRowFunction="average"/>
    <tableColumn id="3" xr3:uid="{3B93EC8F-3F91-4E0C-BFA7-70D6C8C61AB2}" name="Col3" totalsRowFunction="average"/>
    <tableColumn id="4" xr3:uid="{91CD9E34-CF5A-48A8-82CE-D0D7E21988D4}" name="Col4" totalsRowFunction="average" totalsRowDxfId="43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A9FB715-26DF-4254-BADC-1F72DCCF4811}" name="Table14132257555658" displayName="Table14132257555658" ref="G23:J28" totalsRowCount="1">
  <autoFilter ref="G23:J27" xr:uid="{2965FF09-A740-4EFB-91FD-0091F851A943}"/>
  <tableColumns count="4">
    <tableColumn id="1" xr3:uid="{7F7EADA6-5DA3-4AAD-8AB6-17C5E8E9FC84}" name="Col1" totalsRowLabel="Average"/>
    <tableColumn id="2" xr3:uid="{1DCB1D9D-804B-4DF5-98E7-70E46142EFF6}" name="Col2" totalsRowFunction="average"/>
    <tableColumn id="3" xr3:uid="{369443AE-6869-401D-A5C5-50570A0962AF}" name="Col3" totalsRowFunction="average"/>
    <tableColumn id="4" xr3:uid="{99875FE4-9C9B-4685-8461-75004F71BB5B}" name="Col4" totalsRowFunction="average" totalsRowDxfId="42"/>
  </tableColumns>
  <tableStyleInfo name="TableStyleLight1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F561945-4132-45DC-B39D-B59C2067C651}" name="Table1413225755565859" displayName="Table1413225755565859" ref="L23:O28" totalsRowCount="1">
  <autoFilter ref="L23:O27" xr:uid="{69FA35C0-5DB0-41BB-A1A3-F64F7ABA8F6D}"/>
  <tableColumns count="4">
    <tableColumn id="1" xr3:uid="{18AA8BCC-3878-4419-93F0-B775279390C6}" name="Col1" totalsRowLabel="Average"/>
    <tableColumn id="2" xr3:uid="{3E132220-B716-4A64-A398-9B65385E7658}" name="Col2" totalsRowFunction="average"/>
    <tableColumn id="3" xr3:uid="{F6BBAC48-7DB8-487E-970A-2AD71E64BD83}" name="Col3" totalsRowFunction="average"/>
    <tableColumn id="4" xr3:uid="{86D492EA-3C28-479A-9DBF-939B09B7AB76}" name="Col4" totalsRowFunction="average" totalsRowDxfId="4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AB3B7-ADF8-451C-9B6D-C0F370BE4D8B}" name="Table14" displayName="Table14" ref="G2:J7" totalsRowCount="1">
  <autoFilter ref="G2:J6" xr:uid="{D958658B-D990-4993-947D-415DB748771F}"/>
  <tableColumns count="4">
    <tableColumn id="1" xr3:uid="{2BD09B9D-C001-4824-9093-1B4E8A279CAF}" name="Col1" totalsRowLabel="Average"/>
    <tableColumn id="2" xr3:uid="{B9AC18C5-FECA-4BA7-9791-E294778BC176}" name="Col2" totalsRowFunction="average"/>
    <tableColumn id="3" xr3:uid="{21DA969D-79B0-4621-AE4A-B1E3C36AEA64}" name="Col3" totalsRowFunction="average"/>
    <tableColumn id="4" xr3:uid="{FF893830-6E12-4F49-897E-A4892680343E}" name="Col4" totalsRowFunction="average" totalsRowDxfId="58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E54FCCC-B7DB-4BBA-9A13-61E94A261E94}" name="Table141322575556585960" displayName="Table141322575556585960" ref="Q23:T28" totalsRowCount="1">
  <autoFilter ref="Q23:T27" xr:uid="{1E820604-E78B-4189-A64D-F804820CAC3B}"/>
  <tableColumns count="4">
    <tableColumn id="1" xr3:uid="{E9A80C22-B307-41BB-8F66-F05A465194A9}" name="Col1" totalsRowLabel="Average"/>
    <tableColumn id="2" xr3:uid="{2F2A335B-A43A-48E1-873C-73768216C663}" name="Col2" totalsRowFunction="average"/>
    <tableColumn id="3" xr3:uid="{12E62A3C-57AB-482E-8FCE-3B74AD1D2C88}" name="Col3" totalsRowFunction="average"/>
    <tableColumn id="4" xr3:uid="{D05260F7-9627-48A6-94C1-2EA3D5DEBFFE}" name="Col4" totalsRowFunction="average" totalsRowDxfId="40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DBB3648-3686-4078-8033-38AD6B18BBEE}" name="Table141322575556585961" displayName="Table141322575556585961" ref="V23:Y28" totalsRowCount="1">
  <autoFilter ref="V23:Y27" xr:uid="{B4161399-333A-4B5A-BB7C-BF74BABC75B3}"/>
  <tableColumns count="4">
    <tableColumn id="1" xr3:uid="{9F4F0CDC-171E-4D97-9D4A-A6403BDE0F49}" name="Col1" totalsRowLabel="Average"/>
    <tableColumn id="2" xr3:uid="{FBD44789-3493-43F2-94DE-B397E348F20E}" name="Col2" totalsRowFunction="average"/>
    <tableColumn id="3" xr3:uid="{F7C01624-A2A0-4DE8-86A8-DA1DD52CADF2}" name="Col3" totalsRowFunction="average"/>
    <tableColumn id="4" xr3:uid="{27C377AC-1755-4182-966D-1593134454AC}" name="Col4" totalsRowFunction="average" totalsRowDxfId="39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356774-82E0-4390-A21A-3112C85C1D67}" name="Table16" displayName="Table16" ref="B2:E7" totalsRowCount="1">
  <autoFilter ref="B2:E6" xr:uid="{0E3F6635-0BF2-4F80-9DE0-D8F37681F3BA}"/>
  <tableColumns count="4">
    <tableColumn id="1" xr3:uid="{DFE4403D-A756-41D2-9D70-55EC0D213706}" name="Col1" totalsRowLabel="Average"/>
    <tableColumn id="2" xr3:uid="{AD01D70E-F4F5-4FA8-95DB-8F8DF45E6C77}" name="Col2" totalsRowFunction="average"/>
    <tableColumn id="3" xr3:uid="{68A9A479-B87A-42B8-9F1A-163A3C485E80}" name="Col3" totalsRowFunction="average"/>
    <tableColumn id="4" xr3:uid="{22CA3238-2335-4E0B-BEAF-3DC31E68FD1B}" name="Col4" totalsRowFunction="average" totalsRowDxfId="38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5E62506-68AC-4420-B108-90C5EDF61123}" name="Table17" displayName="Table17" ref="G2:J7" totalsRowCount="1">
  <autoFilter ref="G2:J6" xr:uid="{806C73B9-C7AC-4526-A1BE-FA257B9521F0}"/>
  <tableColumns count="4">
    <tableColumn id="1" xr3:uid="{4B948AA0-07A1-4CE7-B7D6-1A4E27A5EC8A}" name="Col1" totalsRowLabel="Average"/>
    <tableColumn id="2" xr3:uid="{1D0881EE-2027-4076-B283-C8280625CA5C}" name="Col2" totalsRowFunction="average"/>
    <tableColumn id="3" xr3:uid="{AF3952EC-2BB1-46AA-8A9B-7DC3B87656B7}" name="Col3" totalsRowFunction="average"/>
    <tableColumn id="4" xr3:uid="{EBE9360A-DA28-45F9-BD61-083E083029AD}" name="Col4" totalsRowFunction="average" totalsRowDxfId="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73D63C7-90E8-4D9A-8453-D382F0CF4ED3}" name="Table18" displayName="Table18" ref="L2:O7" totalsRowCount="1">
  <autoFilter ref="L2:O6" xr:uid="{4928CECD-9116-454D-9D11-19BEEDDAD0F2}"/>
  <tableColumns count="4">
    <tableColumn id="1" xr3:uid="{FF8A3C9A-6FC3-4880-A9EF-7EDDD6C1F5EE}" name="Col1" totalsRowLabel="Average"/>
    <tableColumn id="2" xr3:uid="{D3C9823A-6F2A-4D08-821C-AE3B295EF1EF}" name="Col2" totalsRowFunction="average"/>
    <tableColumn id="3" xr3:uid="{0CBAF960-7235-4160-8C2A-5E95715CE185}" name="Col3" totalsRowFunction="average"/>
    <tableColumn id="4" xr3:uid="{EF4FF4C2-4909-40AC-8196-7A2E2B2A016F}" name="Col4" totalsRowFunction="average" totalsRowDxfId="36"/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62F602-370E-40FB-8964-6EF954F99AB1}" name="Table1630" displayName="Table1630" ref="Q2:T7" totalsRowCount="1">
  <autoFilter ref="Q2:T6" xr:uid="{F7E5C270-4DCF-4F75-B6E0-BF22E943694E}"/>
  <tableColumns count="4">
    <tableColumn id="1" xr3:uid="{F89F78FE-3131-440A-A9B2-3411A7EE0D72}" name="Col1" totalsRowLabel="Average"/>
    <tableColumn id="2" xr3:uid="{34E4757A-4657-427E-BC27-59F8EC008089}" name="Col2" totalsRowFunction="average"/>
    <tableColumn id="3" xr3:uid="{02BDFC49-EAAF-405D-912B-3C963FF379F1}" name="Col3" totalsRowFunction="average"/>
    <tableColumn id="4" xr3:uid="{F261BDA5-19D4-4813-BEC1-5CAF6A6BE11A}" name="Col4" totalsRowFunction="average" totalsRowDxfId="35"/>
  </tableColumns>
  <tableStyleInfo name="TableStyleMedium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239B0C5-47F1-4CFF-813D-B30875561AF1}" name="Table1731" displayName="Table1731" ref="V2:Y7" totalsRowCount="1">
  <autoFilter ref="V2:Y6" xr:uid="{18AB246C-A1A4-4F9C-B7FA-8FB22EE53703}"/>
  <tableColumns count="4">
    <tableColumn id="1" xr3:uid="{CEDF0B66-1BB2-45E9-96EC-EB34069C37FD}" name="Col1" totalsRowLabel="Average"/>
    <tableColumn id="2" xr3:uid="{4B53D1F4-C061-4F76-A653-E5B8C948B3F0}" name="Col2" totalsRowFunction="average"/>
    <tableColumn id="3" xr3:uid="{4CBDE6D6-1B42-4EB1-BEB4-5185BAC17D39}" name="Col3" totalsRowFunction="average"/>
    <tableColumn id="4" xr3:uid="{643BE3C4-EB79-4DD3-98C7-BA251C5C1432}" name="Col4" totalsRowFunction="average" totalsRowDxfId="34"/>
  </tableColumns>
  <tableStyleInfo name="TableStyleMedium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6C5E29-EEAA-4833-BC8A-E8DFBF19B795}" name="Table1832" displayName="Table1832" ref="B9:E14" totalsRowCount="1">
  <autoFilter ref="B9:E13" xr:uid="{3C145EBF-336B-4A72-9996-E17332503FB6}"/>
  <tableColumns count="4">
    <tableColumn id="1" xr3:uid="{C588989B-302B-4566-AD7F-4E1277984AA4}" name="Col1" totalsRowLabel="Average"/>
    <tableColumn id="2" xr3:uid="{34E3BD9D-E701-4C5D-98DC-ED6D5D0547A8}" name="Col2" totalsRowFunction="average"/>
    <tableColumn id="3" xr3:uid="{AC97ACE5-B859-4DC9-806C-BF0F851BA5FA}" name="Col3" totalsRowFunction="average"/>
    <tableColumn id="4" xr3:uid="{B6E14B1C-94D1-4A8B-B834-374F7DE27D22}" name="Col4" totalsRowFunction="average" totalsRowDxfId="33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68A8D4-08E0-43AB-844F-EBAD1B8C3619}" name="Table1633" displayName="Table1633" ref="G9:J14" totalsRowCount="1">
  <autoFilter ref="G9:J13" xr:uid="{65D2D632-E60B-425F-8DF2-98A0C398115B}"/>
  <tableColumns count="4">
    <tableColumn id="1" xr3:uid="{2684D5C6-1EA6-4E4F-9E43-9FC96F803D1E}" name="Col1" totalsRowLabel="Average"/>
    <tableColumn id="2" xr3:uid="{E22F023E-4063-41E7-8EF4-A6AD59C012EA}" name="Col2" totalsRowFunction="average"/>
    <tableColumn id="3" xr3:uid="{20E2CC03-8FAE-42E0-AAC2-1B4F43B34990}" name="Col3" totalsRowFunction="average"/>
    <tableColumn id="4" xr3:uid="{BA3B56A7-A234-44BF-83F3-94B70532B28F}" name="Col4" totalsRowFunction="average" totalsRowDxfId="3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B69470-C17B-4139-A6AC-8ED940836809}" name="Table1734" displayName="Table1734" ref="L9:O14" totalsRowCount="1">
  <autoFilter ref="L9:O13" xr:uid="{B0850BD3-400B-4880-B0A3-A2082D103D97}"/>
  <tableColumns count="4">
    <tableColumn id="1" xr3:uid="{7C302C02-4F74-4B03-8962-35CE979AA470}" name="Col1" totalsRowLabel="Average"/>
    <tableColumn id="2" xr3:uid="{FD51920E-B3C0-44BE-8869-7567B1FEA793}" name="Col2" totalsRowFunction="average"/>
    <tableColumn id="3" xr3:uid="{EF772574-86FC-4C12-86AE-10DA84892732}" name="Col3" totalsRowFunction="average"/>
    <tableColumn id="4" xr3:uid="{CEF71FFE-1F19-4029-A701-DF0400251184}" name="Col4" totalsRowFunction="average" totalsRowDxfId="3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F58457-4718-4879-9795-A6200408D4D3}" name="Table15" displayName="Table15" ref="L2:O7" totalsRowCount="1">
  <autoFilter ref="L2:O6" xr:uid="{7C78474D-C563-4232-B7D5-975697AC6B30}"/>
  <tableColumns count="4">
    <tableColumn id="1" xr3:uid="{A75E1AF5-530A-4641-93D6-0D14AB6ED2E1}" name="Col1" totalsRowLabel="Average"/>
    <tableColumn id="2" xr3:uid="{D0711997-3702-4B98-A2FF-EF7E688FCC60}" name="Col2" totalsRowFunction="average"/>
    <tableColumn id="3" xr3:uid="{429B6E5F-7316-4799-A93E-96D38ACE1416}" name="Col3" totalsRowFunction="average"/>
    <tableColumn id="4" xr3:uid="{7D0B968B-CF1F-45F3-AAC9-26C8B2E0A759}" name="Col4" totalsRowFunction="average" totalsRowDxfId="57"/>
  </tableColumns>
  <tableStyleInfo name="TableStyleLight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EA25B8F-E561-4801-A7AE-710FD3D692A3}" name="Table1835" displayName="Table1835" ref="Q9:T14" totalsRowCount="1">
  <autoFilter ref="Q9:T13" xr:uid="{FB47D3AC-C969-4250-8266-B380B57928AA}"/>
  <tableColumns count="4">
    <tableColumn id="1" xr3:uid="{9F418C9C-B5D5-4D05-A375-D2A79CDE66E5}" name="Col1" totalsRowLabel="Average"/>
    <tableColumn id="2" xr3:uid="{CC444293-0FA2-492D-869F-7E9F289C0D3E}" name="Col2" totalsRowFunction="average"/>
    <tableColumn id="3" xr3:uid="{F6DF41EF-529D-49FC-BE1C-DB31CD677B51}" name="Col3" totalsRowFunction="average"/>
    <tableColumn id="4" xr3:uid="{CA18CB21-C7BD-4D71-8A4A-CC44FDB902C4}" name="Col4" totalsRowFunction="average" totalsRowDxfId="30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30C43A-20C5-4BFD-A335-289B77B9F353}" name="Table1639" displayName="Table1639" ref="V9:Y14" totalsRowCount="1">
  <autoFilter ref="V9:Y13" xr:uid="{79565516-A031-44EB-9E1D-2F30A3085704}"/>
  <tableColumns count="4">
    <tableColumn id="1" xr3:uid="{FFE2C95D-5909-4830-BE41-5A90B7C9BBE7}" name="Col1" totalsRowLabel="Average"/>
    <tableColumn id="2" xr3:uid="{D053D206-99BC-4DB3-9119-08CA50458E6F}" name="Col2" totalsRowFunction="average"/>
    <tableColumn id="3" xr3:uid="{25755CD9-EE2E-4DC7-9FB7-05BAE2E1121B}" name="Col3" totalsRowFunction="average"/>
    <tableColumn id="4" xr3:uid="{18DC0B7F-8E51-4052-AC0A-1E5D55D4EDE0}" name="Col4" totalsRowFunction="average" totalsRowDxfId="29"/>
  </tableColumns>
  <tableStyleInfo name="TableStyleMedium10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6DA874-E593-4DBA-8020-18EFC44C007F}" name="Table1740" displayName="Table1740" ref="B16:E21" totalsRowCount="1">
  <autoFilter ref="B16:E20" xr:uid="{B9280501-BF8E-46FD-B0FC-7BCF99E66CB7}"/>
  <tableColumns count="4">
    <tableColumn id="1" xr3:uid="{CE243ABA-1E80-4D49-9BE5-C679424BBB47}" name="Col1" totalsRowLabel="Average"/>
    <tableColumn id="2" xr3:uid="{AFEE922A-B6A7-4D5C-9E3B-D8D1106F36A1}" name="Col2" totalsRowFunction="average"/>
    <tableColumn id="3" xr3:uid="{DABFDA12-BD69-479C-9212-C86EBD919E8A}" name="Col3" totalsRowFunction="average"/>
    <tableColumn id="4" xr3:uid="{8E59DA28-213A-4549-A492-A3B0141E8B59}" name="Col4" totalsRowFunction="average" totalsRowDxfId="28"/>
  </tableColumns>
  <tableStyleInfo name="TableStyleMedium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3F6766-3A82-46B6-8355-66F7C8D1091A}" name="Table1841" displayName="Table1841" ref="G16:J21" totalsRowCount="1">
  <autoFilter ref="G16:J20" xr:uid="{C27D2218-B104-4FAA-9684-ACFC7DEF0D63}"/>
  <tableColumns count="4">
    <tableColumn id="1" xr3:uid="{E82E4D21-14CF-4B59-A1C1-A772B99CC0FD}" name="Col1" totalsRowLabel="Average"/>
    <tableColumn id="2" xr3:uid="{E64661C3-7D39-4603-94EC-65A33B17D151}" name="Col2" totalsRowFunction="average"/>
    <tableColumn id="3" xr3:uid="{E1212F5A-F5D5-450B-80F6-07E7A6ACD0AE}" name="Col3" totalsRowFunction="average"/>
    <tableColumn id="4" xr3:uid="{FC0BC9C5-0B13-41E6-94C3-5FF47C40EE0C}" name="Col4" totalsRowFunction="average" totalsRowDxfId="27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746ED67-7EA7-45B9-85E2-8E3FFDA9E668}" name="Table1642" displayName="Table1642" ref="L16:O21" totalsRowCount="1">
  <autoFilter ref="L16:O20" xr:uid="{C040AF30-657E-44B3-9040-0A15813767F9}"/>
  <tableColumns count="4">
    <tableColumn id="1" xr3:uid="{1C449CB8-F585-4D31-A638-03A38DD72109}" name="Col1" totalsRowLabel="Average"/>
    <tableColumn id="2" xr3:uid="{DBD58B53-8671-4E2C-8EAC-11FD29F3A9BB}" name="Col2" totalsRowFunction="average"/>
    <tableColumn id="3" xr3:uid="{738260DE-B37A-4650-B9F8-A318B6389C32}" name="Col3" totalsRowFunction="average"/>
    <tableColumn id="4" xr3:uid="{55CBFCE0-E0FB-42E4-8297-5E39FA50BEDA}" name="Col4" totalsRowFunction="average" totalsRowDxfId="26"/>
  </tableColumns>
  <tableStyleInfo name="TableStyleMedium1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116B840-9C0A-4FA5-8705-15AB82AD8723}" name="Table1743" displayName="Table1743" ref="Q16:T21" totalsRowCount="1">
  <autoFilter ref="Q16:T20" xr:uid="{5C5E1899-050E-4E2F-B4D8-F14EA88FFD33}"/>
  <tableColumns count="4">
    <tableColumn id="1" xr3:uid="{3E3717AA-8036-4BAF-950D-217E06BC3927}" name="Col1" totalsRowLabel="Average"/>
    <tableColumn id="2" xr3:uid="{2C76D260-2DEF-4533-A96D-F9178BF8DEFC}" name="Col2" totalsRowFunction="average"/>
    <tableColumn id="3" xr3:uid="{776C7B8A-186A-4A20-8D40-1905AB871860}" name="Col3" totalsRowFunction="average"/>
    <tableColumn id="4" xr3:uid="{027859E3-6C75-472A-8622-51E69302BE9D}" name="Col4" totalsRowFunction="average" totalsRowDxfId="25"/>
  </tableColumns>
  <tableStyleInfo name="TableStyleMedium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BF8E06-1BF0-4B7A-826E-2589E66C0BAE}" name="Table1844" displayName="Table1844" ref="V16:Y21" totalsRowCount="1">
  <autoFilter ref="V16:Y20" xr:uid="{369D94F9-91DE-4FCE-B301-6919414D7349}"/>
  <tableColumns count="4">
    <tableColumn id="1" xr3:uid="{36A58761-0F2B-4C86-A0B1-CDE756DAA65D}" name="Col1" totalsRowLabel="Average"/>
    <tableColumn id="2" xr3:uid="{5F613BD9-B0DD-4F8A-960A-6936C5D64D37}" name="Col2" totalsRowFunction="average"/>
    <tableColumn id="3" xr3:uid="{D2819771-D1FD-4299-9EF2-5334340C0D0A}" name="Col3" totalsRowFunction="average"/>
    <tableColumn id="4" xr3:uid="{25D1727D-58F4-4804-BD18-DAFAA46DA9CA}" name="Col4" totalsRowFunction="average" totalsRowDxfId="24"/>
  </tableColumns>
  <tableStyleInfo name="TableStyleMedium15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34D9EC4-14F0-4606-B3B6-25E712D4FB50}" name="Table1645" displayName="Table1645" ref="B23:E28" totalsRowCount="1">
  <autoFilter ref="B23:E27" xr:uid="{B2CDC95A-7210-4168-85EC-1D7088E0C50B}"/>
  <tableColumns count="4">
    <tableColumn id="1" xr3:uid="{8C49DD0B-B897-40B6-B293-7A98BC8389B1}" name="Col1" totalsRowLabel="Average"/>
    <tableColumn id="2" xr3:uid="{FF390069-950C-4E08-B511-E3D89E8CDA1A}" name="Col2" totalsRowFunction="average"/>
    <tableColumn id="3" xr3:uid="{1A114502-44B7-4FB3-AB24-66AE46CA9C09}" name="Col3" totalsRowFunction="average"/>
    <tableColumn id="4" xr3:uid="{63A339F2-7F21-453E-8A82-6E85CDCA7F1E}" name="Col4" totalsRowFunction="average" totalsRowDxfId="23"/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5903F81-FA9A-481A-8215-628BC113F666}" name="Table1746" displayName="Table1746" ref="G23:J28" totalsRowCount="1">
  <autoFilter ref="G23:J27" xr:uid="{6C6847DA-4BD1-4101-9294-62F497102130}"/>
  <tableColumns count="4">
    <tableColumn id="1" xr3:uid="{9B1DA1BA-83B6-4443-A79C-EA64A1192B09}" name="Col1" totalsRowLabel="Average"/>
    <tableColumn id="2" xr3:uid="{E4A15D4B-4BB7-410A-8F65-9C1D6276F859}" name="Col2" totalsRowFunction="average"/>
    <tableColumn id="3" xr3:uid="{D51995BB-0AFC-40C3-840A-57BD7F17F324}" name="Col3" totalsRowFunction="average"/>
    <tableColumn id="4" xr3:uid="{2D499C08-8207-4E8E-9965-30DFF0F4DAE1}" name="Col4" totalsRowFunction="average" totalsRowDxfId="22"/>
  </tableColumns>
  <tableStyleInfo name="TableStyleMedium1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45BA537-6CC9-45B6-A9D1-4D975381B657}" name="Table1847" displayName="Table1847" ref="L23:O28" totalsRowCount="1">
  <autoFilter ref="L23:O27" xr:uid="{773870C7-C002-4E1A-8690-99B402F2A78D}"/>
  <tableColumns count="4">
    <tableColumn id="1" xr3:uid="{4092CA07-E755-4F9E-91F7-2522E6DF6FE7}" name="Col1" totalsRowLabel="Average"/>
    <tableColumn id="2" xr3:uid="{5D4B240B-DF7D-4B5B-BD7A-B981AA8A5D12}" name="Col2" totalsRowFunction="average"/>
    <tableColumn id="3" xr3:uid="{72232122-8347-4436-8DDF-C91733FB3FA6}" name="Col3" totalsRowFunction="average"/>
    <tableColumn id="4" xr3:uid="{4C36FAB3-12F7-4CED-A1AA-59CAB2EEFB5D}" name="Col4" totalsRowFunction="average" totalsRowDxfId="21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A05848-D39E-4D04-A4C2-825F1E8AA5A3}" name="Table112" displayName="Table112" ref="Q2:T7" totalsRowCount="1">
  <autoFilter ref="Q2:T6" xr:uid="{CA4C4E87-14FD-466D-B863-361C7262FF02}"/>
  <tableColumns count="4">
    <tableColumn id="1" xr3:uid="{89369C2A-AAFD-4851-90B3-694E627AD1F3}" name="Col1" totalsRowLabel="Average"/>
    <tableColumn id="2" xr3:uid="{54576B06-0B56-47B6-8257-35BD0F773558}" name="Col2" totalsRowFunction="average"/>
    <tableColumn id="3" xr3:uid="{A748E3E3-30AA-4A16-AF0F-4E55C22013E9}" name="Col3" totalsRowFunction="average"/>
    <tableColumn id="4" xr3:uid="{382DB078-CA4F-4167-A780-7345A5438E48}" name="Col4" totalsRowFunction="average" totalsRowDxfId="56"/>
  </tableColumns>
  <tableStyleInfo name="TableStyleLight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27E0B4A-E35B-46D1-9661-6780834451C2}" name="Table1648" displayName="Table1648" ref="Q23:T28" totalsRowCount="1">
  <autoFilter ref="Q23:T27" xr:uid="{E065EE02-6980-4AAC-955E-6B84DD1A5566}"/>
  <tableColumns count="4">
    <tableColumn id="1" xr3:uid="{E93B8556-B009-4035-872F-9139E9314E6F}" name="Col1" totalsRowLabel="Average"/>
    <tableColumn id="2" xr3:uid="{631F5F98-2A35-4AD5-A019-C530E8814CAE}" name="Col2" totalsRowFunction="average"/>
    <tableColumn id="3" xr3:uid="{9AC476C8-7AF4-46FC-B289-8122A88BD1B6}" name="Col3" totalsRowFunction="average"/>
    <tableColumn id="4" xr3:uid="{CDFD819B-F876-400D-8301-0E280C1C4826}" name="Col4" totalsRowFunction="average" totalsRowDxfId="20"/>
  </tableColumns>
  <tableStyleInfo name="TableStyleMedium1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2C29179-38FE-42C3-9AC7-D3E16A7BD93C}" name="Table1749" displayName="Table1749" ref="V23:Y28" totalsRowCount="1">
  <autoFilter ref="V23:Y27" xr:uid="{23966EE9-8E4C-4ADD-8D80-DE6589A81322}"/>
  <tableColumns count="4">
    <tableColumn id="1" xr3:uid="{3E4DFBC2-6BD7-4FFE-94B7-0256CA6B87FE}" name="Col1" totalsRowLabel="Average"/>
    <tableColumn id="2" xr3:uid="{1CE7325C-B49F-449E-9686-9DC51FF9D197}" name="Col2" totalsRowFunction="average"/>
    <tableColumn id="3" xr3:uid="{0EBC61FC-BD0C-4973-A4DB-E2691AA43C9A}" name="Col3" totalsRowFunction="average"/>
    <tableColumn id="4" xr3:uid="{789101C8-5AAD-4E9B-999A-C7A17FE74B6E}" name="Col4" totalsRowFunction="average" totalsRowDxfId="19"/>
  </tableColumns>
  <tableStyleInfo name="TableStyleMedium20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898BA68-F592-4F22-B517-276F68FFBB6A}" name="Table1850" displayName="Table1850" ref="B30:E35" totalsRowCount="1">
  <autoFilter ref="B30:E34" xr:uid="{28CEF1A9-8371-45BA-BDDB-1D5AAEA643F3}"/>
  <tableColumns count="4">
    <tableColumn id="1" xr3:uid="{91E94C20-A251-4047-9A90-1CEB8778543C}" name="Col1" totalsRowLabel="Average"/>
    <tableColumn id="2" xr3:uid="{7F4FFA5A-0E53-44D9-81AD-B33C5154B034}" name="Col2" totalsRowFunction="average"/>
    <tableColumn id="3" xr3:uid="{2AD5AABB-0767-43B9-8EE7-40EF40795653}" name="Col3" totalsRowFunction="average"/>
    <tableColumn id="4" xr3:uid="{7841F445-F1F6-4ACA-AB29-5A7CBA0B792F}" name="Col4" totalsRowFunction="average" totalsRowDxfId="18"/>
  </tableColumns>
  <tableStyleInfo name="TableStyleMedium2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5C0F5D1-5873-4830-8732-EB3DCDBAB238}" name="Table184460" displayName="Table184460" ref="G30:J35" totalsRowCount="1">
  <autoFilter ref="G30:J34" xr:uid="{23A5D256-D9CB-4BE5-835C-4120813814FF}"/>
  <tableColumns count="4">
    <tableColumn id="1" xr3:uid="{8986AEAA-D21B-4AC5-9320-CF94A4C113C3}" name="Col1" totalsRowLabel="Average"/>
    <tableColumn id="2" xr3:uid="{30CC5C1F-560F-4A35-B579-147189F57E41}" name="Col2" totalsRowFunction="average"/>
    <tableColumn id="3" xr3:uid="{910757D1-A355-455B-AF64-590E63FB046F}" name="Col3" totalsRowFunction="average"/>
    <tableColumn id="4" xr3:uid="{C1969693-875C-40A6-9A46-08EBF1D23229}" name="Col4" totalsRowFunction="average" totalsRowDxfId="17"/>
  </tableColumns>
  <tableStyleInfo name="TableStyleMedium2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97AE027-22F6-482B-A544-FA61EF0BA17A}" name="Table164561" displayName="Table164561" ref="L30:O35" totalsRowCount="1">
  <autoFilter ref="L30:O34" xr:uid="{709765C9-AFD2-41DD-B6FE-1E331B91C786}"/>
  <tableColumns count="4">
    <tableColumn id="1" xr3:uid="{DC7D530A-840F-407E-B6A8-096493BE7B57}" name="Col1" totalsRowLabel="Average"/>
    <tableColumn id="2" xr3:uid="{BF29D99D-9B48-4C51-8B49-544814465F96}" name="Col2" totalsRowFunction="average"/>
    <tableColumn id="3" xr3:uid="{248EF9E7-4DFF-4CBA-A858-1C3D229A7916}" name="Col3" totalsRowFunction="average"/>
    <tableColumn id="4" xr3:uid="{2EA98175-9E88-48C2-B34E-C7BDB6BC7872}" name="Col4" totalsRowFunction="average" totalsRowDxfId="16"/>
  </tableColumns>
  <tableStyleInfo name="TableStyleMedium23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B8FBDB0-CE3A-4396-A199-B744F564458C}" name="Table174662" displayName="Table174662" ref="Q30:T35" totalsRowCount="1">
  <autoFilter ref="Q30:T34" xr:uid="{874503C9-96F6-4356-9FCF-E8E00221F811}"/>
  <tableColumns count="4">
    <tableColumn id="1" xr3:uid="{9DF8485C-1BC5-4564-ADFC-85A1CA41C6B3}" name="Col1" totalsRowLabel="Average"/>
    <tableColumn id="2" xr3:uid="{2176E179-DE3C-4563-8026-92A34F9DEF7B}" name="Col2" totalsRowFunction="average"/>
    <tableColumn id="3" xr3:uid="{1211BCB9-65D2-48CE-87D0-6B9204C6E844}" name="Col3" totalsRowFunction="average"/>
    <tableColumn id="4" xr3:uid="{925199E7-29F9-48BF-8683-67FD9A0F7D17}" name="Col4" totalsRowFunction="average" totalsRowDxfId="15"/>
  </tableColumns>
  <tableStyleInfo name="TableStyleMedium2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1DB57BB-26B4-4B09-BB32-EA55871FDB06}" name="Table184763" displayName="Table184763" ref="V30:Y35" totalsRowCount="1">
  <autoFilter ref="V30:Y34" xr:uid="{A84D3BB9-2FC0-43C8-8610-F37E77B243C9}"/>
  <tableColumns count="4">
    <tableColumn id="1" xr3:uid="{B402108F-C038-4912-8429-DB31DB149ACA}" name="Col1" totalsRowLabel="Average"/>
    <tableColumn id="2" xr3:uid="{4965AB5C-AC7A-451F-B0D7-1EB653860B85}" name="Col2" totalsRowFunction="average"/>
    <tableColumn id="3" xr3:uid="{53189503-936E-450F-8078-CCB20681BCC3}" name="Col3" totalsRowFunction="average"/>
    <tableColumn id="4" xr3:uid="{9EF86B56-389C-4294-BA89-C34F779B9ABF}" name="Col4" totalsRowFunction="average" totalsRowDxfId="14"/>
  </tableColumns>
  <tableStyleInfo name="TableStyleMedium2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C922B6F-1FC1-43D5-BCD6-DD71EAD59C19}" name="Table164864" displayName="Table164864" ref="B37:E42" totalsRowCount="1">
  <autoFilter ref="B37:E41" xr:uid="{DEF486D3-80BC-42D4-BA87-A2D68D080183}"/>
  <tableColumns count="4">
    <tableColumn id="1" xr3:uid="{99B80D22-819D-422F-9514-9EF45C2A8C07}" name="Col1" totalsRowLabel="Average"/>
    <tableColumn id="2" xr3:uid="{76F73A8F-B399-4D45-B060-61972E6416C1}" name="Col2" totalsRowFunction="average"/>
    <tableColumn id="3" xr3:uid="{881F33D8-DC17-4AFA-B611-E4BDE69E4382}" name="Col3" totalsRowFunction="average"/>
    <tableColumn id="4" xr3:uid="{91F09850-F6FA-4714-8281-CD5F21C3F087}" name="Col4" totalsRowFunction="average" totalsRowDxfId="13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225FF63-BA93-4FCD-982F-47BCB312BEB2}" name="Table174965" displayName="Table174965" ref="G37:J42" totalsRowCount="1">
  <autoFilter ref="G37:J41" xr:uid="{6A7D9E7E-8C72-492A-8F82-1A9A3AAE5FB4}"/>
  <tableColumns count="4">
    <tableColumn id="1" xr3:uid="{EC726073-9DFF-4D91-8624-198B8E7E6DDE}" name="Col1" totalsRowLabel="Average"/>
    <tableColumn id="2" xr3:uid="{FD67802F-9F77-48A3-A8C3-6997CF6D4CC8}" name="Col2" totalsRowFunction="average"/>
    <tableColumn id="3" xr3:uid="{8A4E6549-A6D3-48D3-85C5-1A93CFD12453}" name="Col3" totalsRowFunction="average"/>
    <tableColumn id="4" xr3:uid="{D3683AA4-F67E-4E5A-A785-AB89EDE334A0}" name="Col4" totalsRowFunction="average" totalsRowDxfId="12"/>
  </tableColumns>
  <tableStyleInfo name="TableStyleMedium2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D1639C6-7622-46D4-AA5B-73EB51746E1B}" name="Table185066" displayName="Table185066" ref="L37:O42" totalsRowCount="1">
  <autoFilter ref="L37:O41" xr:uid="{B91F1296-E972-4DB1-858B-784C36AF2B63}"/>
  <tableColumns count="4">
    <tableColumn id="1" xr3:uid="{F722093E-9042-42FB-BE40-FEB0B84C57BD}" name="Col1" totalsRowLabel="Average"/>
    <tableColumn id="2" xr3:uid="{76520265-7A0A-47E9-9543-961523AC3F93}" name="Col2" totalsRowFunction="average"/>
    <tableColumn id="3" xr3:uid="{CF9EE20E-157C-4248-9E69-C8D24DDFC708}" name="Col3" totalsRowFunction="average"/>
    <tableColumn id="4" xr3:uid="{0292F048-4087-4F1E-B0FD-B9B46D03D3C7}" name="Col4" totalsRowFunction="average" totalsRowDxfId="11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0A01C8-09E4-4D50-B4E2-0CBD0ADF3A51}" name="Table1413" displayName="Table1413" ref="V2:Y7" totalsRowCount="1">
  <autoFilter ref="V2:Y6" xr:uid="{1B0299FE-7079-453A-BBF0-82AA06157D19}"/>
  <tableColumns count="4">
    <tableColumn id="1" xr3:uid="{985C4C89-0D90-4EC9-9B39-8A3F0F819AD9}" name="Col1" totalsRowLabel="Average"/>
    <tableColumn id="2" xr3:uid="{963AFBC8-2DCD-401A-9965-C1439D8CD9B2}" name="Col2" totalsRowFunction="average"/>
    <tableColumn id="3" xr3:uid="{AF32449B-CCEF-49CC-8B4C-3944C118D7D3}" name="Col3" totalsRowFunction="average"/>
    <tableColumn id="4" xr3:uid="{D8B25D24-765E-4323-863D-969C65A9614A}" name="Col4" totalsRowFunction="average" totalsRowDxfId="55"/>
  </tableColumns>
  <tableStyleInfo name="TableStyleLight5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7ED92EF-00E0-4518-A1D9-B4B4666406C1}" name="Table111" displayName="Table111" ref="L2:O7" totalsRowCount="1">
  <autoFilter ref="L2:O6" xr:uid="{E9954C92-8774-4D0A-948F-2B21EBC45063}"/>
  <tableColumns count="4">
    <tableColumn id="1" xr3:uid="{12CF4E60-F691-40FB-830A-0805BCEF111F}" name="Col1" totalsRowLabel="Average"/>
    <tableColumn id="2" xr3:uid="{226D96D9-4EBF-4060-A419-FE018EB502A6}" name="Col2" totalsRowFunction="average"/>
    <tableColumn id="3" xr3:uid="{137F3731-C9D2-44F1-A46D-8F019750B4CC}" name="Col3" totalsRowFunction="average"/>
    <tableColumn id="4" xr3:uid="{6D97BD91-0D27-4B42-8BA2-03E4DBEDE453}" name="Col4" totalsRowFunction="average" totalsRowDxfId="10"/>
  </tableColumns>
  <tableStyleInfo name="TableStyleDark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BD8D92D-2667-48DE-B311-0BF1305AB285}" name="Table1967" displayName="Table1967" ref="Q2:T7" totalsRowCount="1">
  <autoFilter ref="Q2:T6" xr:uid="{E0573AF2-2B92-430F-94BF-8B7B745F366F}"/>
  <tableColumns count="4">
    <tableColumn id="1" xr3:uid="{9EC8C626-594C-488B-BA20-EA7B23116D3C}" name="Col1" totalsRowLabel="Average"/>
    <tableColumn id="2" xr3:uid="{F77A8C70-3702-4B7C-99E4-1BB4844871FE}" name="Col2" totalsRowFunction="average"/>
    <tableColumn id="3" xr3:uid="{63EE71F9-5279-44C0-A2D8-A66E76925EDC}" name="Col3" totalsRowFunction="average"/>
    <tableColumn id="4" xr3:uid="{5BAAC793-B7A3-4198-9288-6E2502624EB4}" name="Col4" totalsRowFunction="average" totalsRowDxfId="9"/>
  </tableColumns>
  <tableStyleInfo name="TableStyleDark4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33DE66C-E584-4260-899B-50EF84F6AFAA}" name="Table11068" displayName="Table11068" ref="V2:Y7" totalsRowCount="1">
  <autoFilter ref="V2:Y6" xr:uid="{C23EAA39-AA96-4568-9BAE-D4B79BA6AF4B}"/>
  <tableColumns count="4">
    <tableColumn id="1" xr3:uid="{13DA79AC-F248-4521-ADD7-D324F735AB64}" name="Col1" totalsRowLabel="Average"/>
    <tableColumn id="2" xr3:uid="{9E089042-B9D3-4494-9426-5295D0450D1E}" name="Col2" totalsRowFunction="average"/>
    <tableColumn id="3" xr3:uid="{A0447D4A-5FCC-4763-91C5-14333F38A665}" name="Col3" totalsRowFunction="average"/>
    <tableColumn id="4" xr3:uid="{CD21BE91-14AE-4210-97BB-CFD5387F4048}" name="Col4" totalsRowFunction="average" totalsRowDxfId="8"/>
  </tableColumns>
  <tableStyleInfo name="TableStyleDark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712BABD-0271-4685-BA4E-6F6AB7C8E511}" name="Table11169" displayName="Table11169" ref="B9:E14" totalsRowCount="1">
  <autoFilter ref="B9:E13" xr:uid="{3C0E6BB4-C96F-48AD-88FA-D46D3D38759B}"/>
  <tableColumns count="4">
    <tableColumn id="1" xr3:uid="{6E54A795-E8E0-49FB-9110-CF0DC66C1E27}" name="Col1" totalsRowLabel="Average"/>
    <tableColumn id="2" xr3:uid="{04AA5C86-B106-4C7D-A6AA-F9DB46D277BF}" name="Col2" totalsRowFunction="average"/>
    <tableColumn id="3" xr3:uid="{1C4A6929-32CC-44B0-91B8-C9F5FC410CCF}" name="Col3" totalsRowFunction="average"/>
    <tableColumn id="4" xr3:uid="{7012F62D-5879-4536-BEFC-501103CCDFAA}" name="Col4" totalsRowFunction="average" totalsRowDxfId="7"/>
  </tableColumns>
  <tableStyleInfo name="TableStyleDark6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522C588-F685-4D74-8501-8996CB2EF652}" name="Table1116970" displayName="Table1116970" ref="G9:J14" totalsRowCount="1">
  <autoFilter ref="G9:J13" xr:uid="{4EAB2759-ECF7-460E-A488-3CC3D225A924}"/>
  <tableColumns count="4">
    <tableColumn id="1" xr3:uid="{8C9B3B70-9F59-49BB-BEF5-896FBB47F345}" name="Col1" totalsRowLabel="Average"/>
    <tableColumn id="2" xr3:uid="{0F9E9AA4-19F4-4F4A-BCCE-69C89BFDC314}" name="Col2" totalsRowFunction="average"/>
    <tableColumn id="3" xr3:uid="{BC4BBA18-8893-4B15-A1E6-89879543E754}" name="Col3" totalsRowFunction="average"/>
    <tableColumn id="4" xr3:uid="{E62912DB-43FE-461B-9F76-35A5B6D52348}" name="Col4" totalsRowFunction="average" totalsRowDxfId="6"/>
  </tableColumns>
  <tableStyleInfo name="TableStyleDark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20FDF14-03F8-41B2-819D-6661F91313F0}" name="Table111697071" displayName="Table111697071" ref="L9:O14" totalsRowCount="1">
  <autoFilter ref="L9:O13" xr:uid="{B3843DB7-AE25-44F2-A137-3984F87CD3D1}"/>
  <tableColumns count="4">
    <tableColumn id="1" xr3:uid="{8DDD8735-4CEA-44DB-8E2F-1E2AB3B4E6D6}" name="Col1" totalsRowLabel="Average"/>
    <tableColumn id="2" xr3:uid="{3868C1E3-CE81-4DCF-99A2-4343777D8044}" name="Col2" totalsRowFunction="average"/>
    <tableColumn id="3" xr3:uid="{E85CC803-0912-4C27-8726-1314AC238537}" name="Col3" totalsRowFunction="average"/>
    <tableColumn id="4" xr3:uid="{80A7832D-5EB8-46D6-B360-ABB60081BD24}" name="Col4" totalsRowFunction="average" totalsRowDxfId="5"/>
  </tableColumns>
  <tableStyleInfo name="TableStyleDark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2D681C-4B53-4473-9421-F2E1FD350360}" name="Table111697072" displayName="Table111697072" ref="Q9:T14" totalsRowCount="1">
  <autoFilter ref="Q9:T13" xr:uid="{17D0341E-A392-418B-A0CF-343B7D0AFE14}"/>
  <tableColumns count="4">
    <tableColumn id="1" xr3:uid="{1AA6FCC8-CBD2-4808-9B99-5E2CCDEE541E}" name="Col1" totalsRowLabel="Average"/>
    <tableColumn id="2" xr3:uid="{341A0184-1364-49D1-9BFE-4FB18CB0D960}" name="Col2" totalsRowFunction="average"/>
    <tableColumn id="3" xr3:uid="{7A2C56CD-D82F-40F6-9CF2-B12AB9AFDC79}" name="Col3" totalsRowFunction="average"/>
    <tableColumn id="4" xr3:uid="{8CBF2B28-8B95-45BE-A738-03CFF4531170}" name="Col4" totalsRowFunction="average" totalsRowDxfId="4"/>
  </tableColumns>
  <tableStyleInfo name="TableStyleDark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14E60E2-24C4-4E6C-841B-D668A1907104}" name="Table111697073" displayName="Table111697073" ref="V9:Y14" totalsRowCount="1">
  <autoFilter ref="V9:Y13" xr:uid="{FE2DC499-D2F0-451B-AE0F-8EB176230562}"/>
  <tableColumns count="4">
    <tableColumn id="1" xr3:uid="{416187C2-0950-4B23-A07E-263F607988A6}" name="Col1" totalsRowLabel="Average"/>
    <tableColumn id="2" xr3:uid="{D910FDB3-DE6A-4B7A-9D81-A40A33115622}" name="Col2" totalsRowFunction="average"/>
    <tableColumn id="3" xr3:uid="{59BDAC66-C43E-4F27-BA1E-ABCF9D387087}" name="Col3" totalsRowFunction="average"/>
    <tableColumn id="4" xr3:uid="{18EC30D6-7B79-411F-9550-89CC630219AB}" name="Col4" totalsRowFunction="average" totalsRowDxfId="3"/>
  </tableColumns>
  <tableStyleInfo name="TableStyleDark10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691E3B00-0F9D-4916-BEFB-1B5958A66EA4}" name="Table111697074" displayName="Table111697074" ref="B16:E21" totalsRowCount="1">
  <autoFilter ref="B16:E20" xr:uid="{BD442B7E-0555-43F8-992F-AA4B89D8C476}"/>
  <tableColumns count="4">
    <tableColumn id="1" xr3:uid="{657BB612-81B4-4848-BFE6-84228668B4CF}" name="Col1" totalsRowLabel="Average"/>
    <tableColumn id="2" xr3:uid="{5C0B0935-B568-4C13-BAE1-6E3816ABE85C}" name="Col2" totalsRowFunction="average"/>
    <tableColumn id="3" xr3:uid="{538D22F9-31D0-40D1-974B-FFD437F82125}" name="Col3" totalsRowFunction="average"/>
    <tableColumn id="4" xr3:uid="{91CBBF36-D51E-41DA-A6A0-5EBCD74B8D3F}" name="Col4" totalsRowFunction="average" totalsRowDxfId="2"/>
  </tableColumns>
  <tableStyleInfo name="TableStyleDark1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34C323C-D5DF-4099-9F70-3F2098184F33}" name="Table19" displayName="Table19" ref="B2:E7" totalsRowCount="1">
  <autoFilter ref="B2:E6" xr:uid="{78746B4F-135A-4657-AB81-22DCDB4B179D}"/>
  <tableColumns count="4">
    <tableColumn id="1" xr3:uid="{56F9D46F-2495-4856-947C-2C889305FE76}" name="Col1" totalsRowLabel="Average"/>
    <tableColumn id="2" xr3:uid="{B34872E1-7465-40A9-B969-4F4F0640C1EE}" name="Col2" totalsRowFunction="average"/>
    <tableColumn id="3" xr3:uid="{120AEA29-1CF7-4187-A593-DB87B94EF877}" name="Col3" totalsRowFunction="average"/>
    <tableColumn id="4" xr3:uid="{0DDC42E7-1BB7-4409-B4EB-5AA4DD235301}" name="Col4" totalsRowFunction="average" totalsRowDxfId="1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F34D7-4D27-4112-9026-85ADBE58044F}" name="Table1514" displayName="Table1514" ref="B9:E14" totalsRowCount="1">
  <autoFilter ref="B9:E13" xr:uid="{AFD3B0AD-3FDD-4321-AC6D-709B4E14449F}"/>
  <tableColumns count="4">
    <tableColumn id="1" xr3:uid="{8D00D98D-B22E-4174-97CF-A5FCF01D00C1}" name="Col1" totalsRowLabel="Average"/>
    <tableColumn id="2" xr3:uid="{4002E784-B0C9-487E-B374-5D9CBF8C3C6D}" name="Col2" totalsRowFunction="average"/>
    <tableColumn id="3" xr3:uid="{CE862D4D-51B4-4677-9AB6-F9571463C3FB}" name="Col3" totalsRowFunction="average"/>
    <tableColumn id="4" xr3:uid="{17CC1C4C-DFA4-4826-AF96-9A40EFCE2CFE}" name="Col4" totalsRowFunction="average" totalsRowDxfId="54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B1FFF69-87A9-4CCA-B929-0C60110E1266}" name="Table110" displayName="Table110" ref="G2:J7" totalsRowCount="1">
  <autoFilter ref="G2:J6" xr:uid="{5365D4B9-3A3D-4C78-AD39-867CE515A502}"/>
  <tableColumns count="4">
    <tableColumn id="1" xr3:uid="{9CADDA0F-AF7E-4000-83DE-1D339B3B8F6C}" name="Col1" totalsRowLabel="Average"/>
    <tableColumn id="2" xr3:uid="{21ED51FD-879A-498E-8B1D-4BC0BDB6C421}" name="Col2" totalsRowFunction="average"/>
    <tableColumn id="3" xr3:uid="{EC140CAC-0645-41AA-B4C0-29148BAD5E35}" name="Col3" totalsRowFunction="average"/>
    <tableColumn id="4" xr3:uid="{4A651059-62FE-482A-8DEA-6525631FC4FE}" name="Col4" totalsRowFunction="average" totalsRowDxfId="0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3C2BED-41DA-443A-9FF0-4A7C632D2F1A}" name="Table115" displayName="Table115" ref="G9:J14" totalsRowCount="1">
  <autoFilter ref="G9:J13" xr:uid="{0ECDED76-0A3C-4CC9-96A1-823238B5F6FD}"/>
  <tableColumns count="4">
    <tableColumn id="1" xr3:uid="{EB2DC73F-7308-4377-91A9-DDF7C0DB8332}" name="Col1" totalsRowLabel="Average"/>
    <tableColumn id="2" xr3:uid="{D74664DD-F199-44B0-B2CE-BB7E2E1EB03A}" name="Col2" totalsRowFunction="average"/>
    <tableColumn id="3" xr3:uid="{55188258-7E5F-4AEB-8C74-5A31DB3C9B0D}" name="Col3" totalsRowFunction="average"/>
    <tableColumn id="4" xr3:uid="{DD2B17FC-A88D-4A78-8CAB-D8389B423622}" name="Col4" totalsRowFunction="average" totalsRowDxfId="53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EE51E8-C286-4008-9A0C-64131CE27891}" name="Table1416" displayName="Table1416" ref="L9:O14" totalsRowCount="1">
  <autoFilter ref="L9:O13" xr:uid="{CC7C6FC4-CB39-476A-A7E8-793A47E7A243}"/>
  <tableColumns count="4">
    <tableColumn id="1" xr3:uid="{351D36A6-73EE-4CC1-AFC3-4DFADACC531C}" name="Col1" totalsRowLabel="Average"/>
    <tableColumn id="2" xr3:uid="{F36BB85E-7948-4FB6-9C9F-E634DE1CB6DD}" name="Col2" totalsRowFunction="average"/>
    <tableColumn id="3" xr3:uid="{48D8358E-0EBA-4C0F-BB05-FF5E49AACF97}" name="Col3" totalsRowFunction="average"/>
    <tableColumn id="4" xr3:uid="{82FD444E-F4F9-4A25-9DA8-B3A451E5718F}" name="Col4" totalsRowFunction="average" totalsRowDxfId="5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52220B-DB9E-41B4-A00A-A7C87FD4DF1C}" name="Table1517" displayName="Table1517" ref="Q9:T14" totalsRowCount="1">
  <autoFilter ref="Q9:T13" xr:uid="{9D6F856A-22CF-4257-812D-570262E79B21}"/>
  <tableColumns count="4">
    <tableColumn id="1" xr3:uid="{70A52F19-FDCE-4FCB-8633-6494CF505F70}" name="Col1" totalsRowLabel="Average"/>
    <tableColumn id="2" xr3:uid="{A421C6C5-C625-4AA4-BE55-076D0043DF05}" name="Col2" totalsRowFunction="average"/>
    <tableColumn id="3" xr3:uid="{EC6DF4ED-C104-4102-9725-3E91B8581D53}" name="Col3" totalsRowFunction="average"/>
    <tableColumn id="4" xr3:uid="{7B4BE242-9097-470A-9DBF-0863AA99879E}" name="Col4" totalsRowFunction="average" totalsRowDxfId="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9.xml"/><Relationship Id="rId13" Type="http://schemas.openxmlformats.org/officeDocument/2006/relationships/table" Target="../tables/table34.xml"/><Relationship Id="rId18" Type="http://schemas.openxmlformats.org/officeDocument/2006/relationships/table" Target="../tables/table39.xml"/><Relationship Id="rId26" Type="http://schemas.openxmlformats.org/officeDocument/2006/relationships/table" Target="../tables/table47.xml"/><Relationship Id="rId3" Type="http://schemas.openxmlformats.org/officeDocument/2006/relationships/table" Target="../tables/table24.xml"/><Relationship Id="rId21" Type="http://schemas.openxmlformats.org/officeDocument/2006/relationships/table" Target="../tables/table42.xml"/><Relationship Id="rId7" Type="http://schemas.openxmlformats.org/officeDocument/2006/relationships/table" Target="../tables/table28.xml"/><Relationship Id="rId12" Type="http://schemas.openxmlformats.org/officeDocument/2006/relationships/table" Target="../tables/table33.xml"/><Relationship Id="rId17" Type="http://schemas.openxmlformats.org/officeDocument/2006/relationships/table" Target="../tables/table38.xml"/><Relationship Id="rId25" Type="http://schemas.openxmlformats.org/officeDocument/2006/relationships/table" Target="../tables/table46.xml"/><Relationship Id="rId2" Type="http://schemas.openxmlformats.org/officeDocument/2006/relationships/table" Target="../tables/table23.xml"/><Relationship Id="rId16" Type="http://schemas.openxmlformats.org/officeDocument/2006/relationships/table" Target="../tables/table37.xml"/><Relationship Id="rId20" Type="http://schemas.openxmlformats.org/officeDocument/2006/relationships/table" Target="../tables/table41.xml"/><Relationship Id="rId1" Type="http://schemas.openxmlformats.org/officeDocument/2006/relationships/table" Target="../tables/table22.xml"/><Relationship Id="rId6" Type="http://schemas.openxmlformats.org/officeDocument/2006/relationships/table" Target="../tables/table27.xml"/><Relationship Id="rId11" Type="http://schemas.openxmlformats.org/officeDocument/2006/relationships/table" Target="../tables/table32.xml"/><Relationship Id="rId24" Type="http://schemas.openxmlformats.org/officeDocument/2006/relationships/table" Target="../tables/table45.xml"/><Relationship Id="rId5" Type="http://schemas.openxmlformats.org/officeDocument/2006/relationships/table" Target="../tables/table26.xml"/><Relationship Id="rId15" Type="http://schemas.openxmlformats.org/officeDocument/2006/relationships/table" Target="../tables/table36.xml"/><Relationship Id="rId23" Type="http://schemas.openxmlformats.org/officeDocument/2006/relationships/table" Target="../tables/table44.xml"/><Relationship Id="rId28" Type="http://schemas.openxmlformats.org/officeDocument/2006/relationships/table" Target="../tables/table49.xml"/><Relationship Id="rId10" Type="http://schemas.openxmlformats.org/officeDocument/2006/relationships/table" Target="../tables/table31.xml"/><Relationship Id="rId19" Type="http://schemas.openxmlformats.org/officeDocument/2006/relationships/table" Target="../tables/table40.xml"/><Relationship Id="rId4" Type="http://schemas.openxmlformats.org/officeDocument/2006/relationships/table" Target="../tables/table25.xml"/><Relationship Id="rId9" Type="http://schemas.openxmlformats.org/officeDocument/2006/relationships/table" Target="../tables/table30.xml"/><Relationship Id="rId14" Type="http://schemas.openxmlformats.org/officeDocument/2006/relationships/table" Target="../tables/table35.xml"/><Relationship Id="rId22" Type="http://schemas.openxmlformats.org/officeDocument/2006/relationships/table" Target="../tables/table43.xml"/><Relationship Id="rId27" Type="http://schemas.openxmlformats.org/officeDocument/2006/relationships/table" Target="../tables/table4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2" Type="http://schemas.openxmlformats.org/officeDocument/2006/relationships/table" Target="../tables/table51.xml"/><Relationship Id="rId1" Type="http://schemas.openxmlformats.org/officeDocument/2006/relationships/table" Target="../tables/table50.xm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F042-99B7-45D2-AF74-2B27D3940375}">
  <dimension ref="B1:AI35"/>
  <sheetViews>
    <sheetView workbookViewId="0">
      <selection activeCell="I32" sqref="I32"/>
    </sheetView>
  </sheetViews>
  <sheetFormatPr defaultRowHeight="15" x14ac:dyDescent="0.25"/>
  <sheetData>
    <row r="1" spans="2:35" x14ac:dyDescent="0.25">
      <c r="B1" t="s">
        <v>9</v>
      </c>
      <c r="G1" t="s">
        <v>49</v>
      </c>
      <c r="L1" t="s">
        <v>50</v>
      </c>
      <c r="Q1" t="s">
        <v>51</v>
      </c>
      <c r="V1" t="s">
        <v>52</v>
      </c>
    </row>
    <row r="2" spans="2:3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</row>
    <row r="3" spans="2:35" x14ac:dyDescent="0.25">
      <c r="B3" t="s">
        <v>4</v>
      </c>
      <c r="C3">
        <v>12</v>
      </c>
      <c r="D3">
        <v>13</v>
      </c>
      <c r="E3" s="1">
        <v>0.14000000000000001</v>
      </c>
      <c r="G3" t="s">
        <v>4</v>
      </c>
      <c r="H3">
        <v>12</v>
      </c>
      <c r="I3">
        <v>13</v>
      </c>
      <c r="J3" s="1">
        <v>0.14000000000000001</v>
      </c>
      <c r="L3" t="s">
        <v>4</v>
      </c>
      <c r="M3">
        <v>12</v>
      </c>
      <c r="N3">
        <v>13</v>
      </c>
      <c r="O3" s="1">
        <v>0.14000000000000001</v>
      </c>
      <c r="Q3" t="s">
        <v>4</v>
      </c>
      <c r="R3">
        <v>12</v>
      </c>
      <c r="S3">
        <v>13</v>
      </c>
      <c r="T3" s="1">
        <v>0.14000000000000001</v>
      </c>
      <c r="V3" t="s">
        <v>4</v>
      </c>
      <c r="W3">
        <v>12</v>
      </c>
      <c r="X3">
        <v>13</v>
      </c>
      <c r="Y3" s="1">
        <v>0.14000000000000001</v>
      </c>
    </row>
    <row r="4" spans="2:35" x14ac:dyDescent="0.25">
      <c r="B4" t="s">
        <v>5</v>
      </c>
      <c r="C4">
        <v>22</v>
      </c>
      <c r="D4">
        <v>23</v>
      </c>
      <c r="E4" s="1">
        <v>0.24</v>
      </c>
      <c r="G4" t="s">
        <v>5</v>
      </c>
      <c r="H4">
        <v>22</v>
      </c>
      <c r="I4">
        <v>23</v>
      </c>
      <c r="J4" s="1">
        <v>0.24</v>
      </c>
      <c r="L4" t="s">
        <v>5</v>
      </c>
      <c r="M4">
        <v>22</v>
      </c>
      <c r="N4">
        <v>23</v>
      </c>
      <c r="O4" s="1">
        <v>0.24</v>
      </c>
      <c r="Q4" t="s">
        <v>5</v>
      </c>
      <c r="R4">
        <v>22</v>
      </c>
      <c r="S4">
        <v>23</v>
      </c>
      <c r="T4" s="1">
        <v>0.24</v>
      </c>
      <c r="V4" t="s">
        <v>5</v>
      </c>
      <c r="W4">
        <v>22</v>
      </c>
      <c r="X4">
        <v>23</v>
      </c>
      <c r="Y4" s="1">
        <v>0.24</v>
      </c>
    </row>
    <row r="5" spans="2:35" x14ac:dyDescent="0.25">
      <c r="B5" t="s">
        <v>6</v>
      </c>
      <c r="C5">
        <v>32</v>
      </c>
      <c r="D5" s="2">
        <v>33</v>
      </c>
      <c r="E5" s="1">
        <v>0.34</v>
      </c>
      <c r="G5" t="s">
        <v>6</v>
      </c>
      <c r="H5">
        <v>32</v>
      </c>
      <c r="I5" s="2">
        <v>33</v>
      </c>
      <c r="J5" s="1">
        <v>0.34</v>
      </c>
      <c r="L5" t="s">
        <v>6</v>
      </c>
      <c r="M5">
        <v>32</v>
      </c>
      <c r="N5" s="2">
        <v>33</v>
      </c>
      <c r="O5" s="1">
        <v>0.34</v>
      </c>
      <c r="Q5" t="s">
        <v>6</v>
      </c>
      <c r="R5">
        <v>32</v>
      </c>
      <c r="S5" s="2">
        <v>33</v>
      </c>
      <c r="T5" s="1">
        <v>0.34</v>
      </c>
      <c r="V5" t="s">
        <v>6</v>
      </c>
      <c r="W5">
        <v>32</v>
      </c>
      <c r="X5" s="2">
        <v>33</v>
      </c>
      <c r="Y5" s="1">
        <v>0.34</v>
      </c>
    </row>
    <row r="6" spans="2:35" x14ac:dyDescent="0.25">
      <c r="B6" t="s">
        <v>7</v>
      </c>
      <c r="C6">
        <v>42</v>
      </c>
      <c r="D6">
        <v>43</v>
      </c>
      <c r="E6" s="1">
        <v>0.44</v>
      </c>
      <c r="G6" t="s">
        <v>7</v>
      </c>
      <c r="H6">
        <v>42</v>
      </c>
      <c r="I6">
        <v>43</v>
      </c>
      <c r="J6" s="1">
        <v>0.44</v>
      </c>
      <c r="L6" t="s">
        <v>7</v>
      </c>
      <c r="M6">
        <v>42</v>
      </c>
      <c r="N6">
        <v>43</v>
      </c>
      <c r="O6" s="1">
        <v>0.44</v>
      </c>
      <c r="Q6" t="s">
        <v>7</v>
      </c>
      <c r="R6">
        <v>42</v>
      </c>
      <c r="S6">
        <v>43</v>
      </c>
      <c r="T6" s="1">
        <v>0.44</v>
      </c>
      <c r="V6" t="s">
        <v>7</v>
      </c>
      <c r="W6">
        <v>42</v>
      </c>
      <c r="X6">
        <v>43</v>
      </c>
      <c r="Y6" s="1">
        <v>0.44</v>
      </c>
    </row>
    <row r="7" spans="2:35" x14ac:dyDescent="0.25">
      <c r="B7" t="s">
        <v>8</v>
      </c>
      <c r="C7">
        <f>SUBTOTAL(101,Table1[Col2])</f>
        <v>27</v>
      </c>
      <c r="D7">
        <f>SUBTOTAL(101,Table1[Col3])</f>
        <v>28</v>
      </c>
      <c r="E7" s="1">
        <f>SUBTOTAL(101,Table1[Col4])</f>
        <v>0.28999999999999998</v>
      </c>
      <c r="G7" t="s">
        <v>8</v>
      </c>
      <c r="H7">
        <f>SUBTOTAL(101,Table14[Col2])</f>
        <v>27</v>
      </c>
      <c r="I7">
        <f>SUBTOTAL(101,Table14[Col3])</f>
        <v>28</v>
      </c>
      <c r="J7" s="1">
        <f>SUBTOTAL(101,Table14[Col4])</f>
        <v>0.28999999999999998</v>
      </c>
      <c r="L7" t="s">
        <v>8</v>
      </c>
      <c r="M7">
        <f>SUBTOTAL(101,Table15[Col2])</f>
        <v>27</v>
      </c>
      <c r="N7">
        <f>SUBTOTAL(101,Table15[Col3])</f>
        <v>28</v>
      </c>
      <c r="O7" s="1">
        <f>SUBTOTAL(101,Table15[Col4])</f>
        <v>0.28999999999999998</v>
      </c>
      <c r="Q7" t="s">
        <v>8</v>
      </c>
      <c r="R7">
        <f>SUBTOTAL(101,Table112[Col2])</f>
        <v>27</v>
      </c>
      <c r="S7">
        <f>SUBTOTAL(101,Table112[Col3])</f>
        <v>28</v>
      </c>
      <c r="T7" s="1">
        <f>SUBTOTAL(101,Table112[Col4])</f>
        <v>0.28999999999999998</v>
      </c>
      <c r="V7" t="s">
        <v>8</v>
      </c>
      <c r="W7">
        <f>SUBTOTAL(101,Table1413[Col2])</f>
        <v>27</v>
      </c>
      <c r="X7">
        <f>SUBTOTAL(101,Table1413[Col3])</f>
        <v>28</v>
      </c>
      <c r="Y7" s="1">
        <f>SUBTOTAL(101,Table1413[Col4])</f>
        <v>0.28999999999999998</v>
      </c>
    </row>
    <row r="8" spans="2:35" x14ac:dyDescent="0.25">
      <c r="B8" t="s">
        <v>53</v>
      </c>
      <c r="G8" t="s">
        <v>54</v>
      </c>
      <c r="L8" t="s">
        <v>55</v>
      </c>
      <c r="Q8" t="s">
        <v>56</v>
      </c>
      <c r="V8" t="s">
        <v>57</v>
      </c>
    </row>
    <row r="9" spans="2:35" x14ac:dyDescent="0.25">
      <c r="B9" t="s">
        <v>0</v>
      </c>
      <c r="C9" t="s">
        <v>1</v>
      </c>
      <c r="D9" t="s">
        <v>2</v>
      </c>
      <c r="E9" t="s">
        <v>3</v>
      </c>
      <c r="G9" t="s">
        <v>0</v>
      </c>
      <c r="H9" t="s">
        <v>1</v>
      </c>
      <c r="I9" t="s">
        <v>2</v>
      </c>
      <c r="J9" t="s">
        <v>3</v>
      </c>
      <c r="L9" t="s">
        <v>0</v>
      </c>
      <c r="M9" t="s">
        <v>1</v>
      </c>
      <c r="N9" t="s">
        <v>2</v>
      </c>
      <c r="O9" t="s">
        <v>3</v>
      </c>
      <c r="Q9" t="s">
        <v>0</v>
      </c>
      <c r="R9" t="s">
        <v>1</v>
      </c>
      <c r="S9" t="s">
        <v>2</v>
      </c>
      <c r="T9" t="s">
        <v>3</v>
      </c>
      <c r="V9" t="s">
        <v>0</v>
      </c>
      <c r="W9" t="s">
        <v>1</v>
      </c>
      <c r="X9" t="s">
        <v>2</v>
      </c>
      <c r="Y9" t="s">
        <v>3</v>
      </c>
    </row>
    <row r="10" spans="2:35" x14ac:dyDescent="0.25">
      <c r="B10" t="s">
        <v>4</v>
      </c>
      <c r="C10">
        <v>12</v>
      </c>
      <c r="D10">
        <v>13</v>
      </c>
      <c r="E10" s="1">
        <v>0.14000000000000001</v>
      </c>
      <c r="G10" t="s">
        <v>4</v>
      </c>
      <c r="H10">
        <v>12</v>
      </c>
      <c r="I10">
        <v>13</v>
      </c>
      <c r="J10" s="1">
        <v>0.14000000000000001</v>
      </c>
      <c r="L10" t="s">
        <v>4</v>
      </c>
      <c r="M10">
        <v>12</v>
      </c>
      <c r="N10">
        <v>13</v>
      </c>
      <c r="O10" s="1">
        <v>0.14000000000000001</v>
      </c>
      <c r="Q10" t="s">
        <v>4</v>
      </c>
      <c r="R10">
        <v>12</v>
      </c>
      <c r="S10">
        <v>13</v>
      </c>
      <c r="T10" s="1">
        <v>0.14000000000000001</v>
      </c>
      <c r="V10" t="s">
        <v>4</v>
      </c>
      <c r="W10">
        <v>12</v>
      </c>
      <c r="X10">
        <v>13</v>
      </c>
      <c r="Y10" s="1">
        <v>0.14000000000000001</v>
      </c>
      <c r="AD10" s="1"/>
      <c r="AI10" s="1"/>
    </row>
    <row r="11" spans="2:35" x14ac:dyDescent="0.25">
      <c r="B11" t="s">
        <v>5</v>
      </c>
      <c r="C11">
        <v>22</v>
      </c>
      <c r="D11">
        <v>23</v>
      </c>
      <c r="E11" s="1">
        <v>0.24</v>
      </c>
      <c r="G11" t="s">
        <v>5</v>
      </c>
      <c r="H11">
        <v>22</v>
      </c>
      <c r="I11">
        <v>23</v>
      </c>
      <c r="J11" s="1">
        <v>0.24</v>
      </c>
      <c r="L11" t="s">
        <v>5</v>
      </c>
      <c r="M11">
        <v>22</v>
      </c>
      <c r="N11">
        <v>23</v>
      </c>
      <c r="O11" s="1">
        <v>0.24</v>
      </c>
      <c r="Q11" t="s">
        <v>5</v>
      </c>
      <c r="R11">
        <v>22</v>
      </c>
      <c r="S11">
        <v>23</v>
      </c>
      <c r="T11" s="1">
        <v>0.24</v>
      </c>
      <c r="V11" t="s">
        <v>5</v>
      </c>
      <c r="W11">
        <v>22</v>
      </c>
      <c r="X11">
        <v>23</v>
      </c>
      <c r="Y11" s="1">
        <v>0.24</v>
      </c>
      <c r="AD11" s="1"/>
      <c r="AI11" s="1"/>
    </row>
    <row r="12" spans="2:35" x14ac:dyDescent="0.25">
      <c r="B12" t="s">
        <v>6</v>
      </c>
      <c r="C12">
        <v>32</v>
      </c>
      <c r="D12" s="2">
        <v>33</v>
      </c>
      <c r="E12" s="1">
        <v>0.34</v>
      </c>
      <c r="G12" t="s">
        <v>6</v>
      </c>
      <c r="H12">
        <v>32</v>
      </c>
      <c r="I12" s="2">
        <v>33</v>
      </c>
      <c r="J12" s="1">
        <v>0.34</v>
      </c>
      <c r="L12" t="s">
        <v>6</v>
      </c>
      <c r="M12">
        <v>32</v>
      </c>
      <c r="N12" s="2">
        <v>33</v>
      </c>
      <c r="O12" s="1">
        <v>0.34</v>
      </c>
      <c r="Q12" t="s">
        <v>6</v>
      </c>
      <c r="R12">
        <v>32</v>
      </c>
      <c r="S12" s="2">
        <v>33</v>
      </c>
      <c r="T12" s="1">
        <v>0.34</v>
      </c>
      <c r="V12" t="s">
        <v>6</v>
      </c>
      <c r="W12">
        <v>32</v>
      </c>
      <c r="X12" s="2">
        <v>33</v>
      </c>
      <c r="Y12" s="1">
        <v>0.34</v>
      </c>
      <c r="AC12" s="2"/>
      <c r="AD12" s="1"/>
      <c r="AH12" s="2"/>
      <c r="AI12" s="1"/>
    </row>
    <row r="13" spans="2:35" x14ac:dyDescent="0.25">
      <c r="B13" t="s">
        <v>7</v>
      </c>
      <c r="C13">
        <v>42</v>
      </c>
      <c r="D13">
        <v>43</v>
      </c>
      <c r="E13" s="1">
        <v>0.44</v>
      </c>
      <c r="G13" t="s">
        <v>7</v>
      </c>
      <c r="H13">
        <v>42</v>
      </c>
      <c r="I13">
        <v>43</v>
      </c>
      <c r="J13" s="1">
        <v>0.44</v>
      </c>
      <c r="L13" t="s">
        <v>7</v>
      </c>
      <c r="M13">
        <v>42</v>
      </c>
      <c r="N13">
        <v>43</v>
      </c>
      <c r="O13" s="1">
        <v>0.44</v>
      </c>
      <c r="Q13" t="s">
        <v>7</v>
      </c>
      <c r="R13">
        <v>42</v>
      </c>
      <c r="S13">
        <v>43</v>
      </c>
      <c r="T13" s="1">
        <v>0.44</v>
      </c>
      <c r="V13" t="s">
        <v>7</v>
      </c>
      <c r="W13">
        <v>42</v>
      </c>
      <c r="X13">
        <v>43</v>
      </c>
      <c r="Y13" s="1">
        <v>0.44</v>
      </c>
      <c r="AD13" s="1"/>
      <c r="AI13" s="1"/>
    </row>
    <row r="14" spans="2:35" x14ac:dyDescent="0.25">
      <c r="B14" t="s">
        <v>8</v>
      </c>
      <c r="C14">
        <f>SUBTOTAL(101,Table1514[Col2])</f>
        <v>27</v>
      </c>
      <c r="D14">
        <f>SUBTOTAL(101,Table1514[Col3])</f>
        <v>28</v>
      </c>
      <c r="E14" s="1">
        <f>SUBTOTAL(101,Table1514[Col4])</f>
        <v>0.28999999999999998</v>
      </c>
      <c r="G14" t="s">
        <v>8</v>
      </c>
      <c r="H14">
        <f>SUBTOTAL(101,Table115[Col2])</f>
        <v>27</v>
      </c>
      <c r="I14">
        <f>SUBTOTAL(101,Table115[Col3])</f>
        <v>28</v>
      </c>
      <c r="J14" s="1">
        <f>SUBTOTAL(101,Table115[Col4])</f>
        <v>0.28999999999999998</v>
      </c>
      <c r="L14" t="s">
        <v>8</v>
      </c>
      <c r="M14">
        <f>SUBTOTAL(101,Table1416[Col2])</f>
        <v>27</v>
      </c>
      <c r="N14">
        <f>SUBTOTAL(101,Table1416[Col3])</f>
        <v>28</v>
      </c>
      <c r="O14" s="1">
        <f>SUBTOTAL(101,Table1416[Col4])</f>
        <v>0.28999999999999998</v>
      </c>
      <c r="Q14" t="s">
        <v>8</v>
      </c>
      <c r="R14">
        <f>SUBTOTAL(101,Table1517[Col2])</f>
        <v>27</v>
      </c>
      <c r="S14">
        <f>SUBTOTAL(101,Table1517[Col3])</f>
        <v>28</v>
      </c>
      <c r="T14" s="1">
        <f>SUBTOTAL(101,Table1517[Col4])</f>
        <v>0.28999999999999998</v>
      </c>
      <c r="V14" t="s">
        <v>8</v>
      </c>
      <c r="W14">
        <f>SUBTOTAL(101,Table118[Col2])</f>
        <v>27</v>
      </c>
      <c r="X14">
        <f>SUBTOTAL(101,Table118[Col3])</f>
        <v>28</v>
      </c>
      <c r="Y14" s="1">
        <f>SUBTOTAL(101,Table118[Col4])</f>
        <v>0.28999999999999998</v>
      </c>
      <c r="AD14" s="1"/>
      <c r="AI14" s="1"/>
    </row>
    <row r="15" spans="2:35" x14ac:dyDescent="0.25">
      <c r="B15" t="s">
        <v>58</v>
      </c>
      <c r="G15" t="s">
        <v>59</v>
      </c>
      <c r="L15" t="s">
        <v>60</v>
      </c>
      <c r="Q15" t="s">
        <v>61</v>
      </c>
      <c r="V15" t="s">
        <v>63</v>
      </c>
    </row>
    <row r="16" spans="2:35" x14ac:dyDescent="0.25">
      <c r="B16" t="s">
        <v>0</v>
      </c>
      <c r="C16" t="s">
        <v>1</v>
      </c>
      <c r="D16" t="s">
        <v>2</v>
      </c>
      <c r="E16" t="s">
        <v>3</v>
      </c>
      <c r="G16" t="s">
        <v>0</v>
      </c>
      <c r="H16" t="s">
        <v>1</v>
      </c>
      <c r="I16" t="s">
        <v>2</v>
      </c>
      <c r="J16" t="s">
        <v>3</v>
      </c>
      <c r="L16" t="s">
        <v>0</v>
      </c>
      <c r="M16" t="s">
        <v>1</v>
      </c>
      <c r="N16" t="s">
        <v>2</v>
      </c>
      <c r="O16" t="s">
        <v>3</v>
      </c>
      <c r="Q16" t="s">
        <v>0</v>
      </c>
      <c r="R16" t="s">
        <v>1</v>
      </c>
      <c r="S16" t="s">
        <v>2</v>
      </c>
      <c r="T16" t="s">
        <v>3</v>
      </c>
      <c r="V16" t="s">
        <v>0</v>
      </c>
      <c r="W16" t="s">
        <v>1</v>
      </c>
      <c r="X16" t="s">
        <v>2</v>
      </c>
      <c r="Y16" t="s">
        <v>3</v>
      </c>
    </row>
    <row r="17" spans="2:25" x14ac:dyDescent="0.25">
      <c r="B17" t="s">
        <v>4</v>
      </c>
      <c r="C17">
        <v>12</v>
      </c>
      <c r="D17">
        <v>13</v>
      </c>
      <c r="E17" s="1">
        <v>0.14000000000000001</v>
      </c>
      <c r="G17" t="s">
        <v>4</v>
      </c>
      <c r="H17">
        <v>12</v>
      </c>
      <c r="I17">
        <v>13</v>
      </c>
      <c r="J17" s="1">
        <v>0.14000000000000001</v>
      </c>
      <c r="L17" t="s">
        <v>4</v>
      </c>
      <c r="M17">
        <v>12</v>
      </c>
      <c r="N17">
        <v>13</v>
      </c>
      <c r="O17" s="1">
        <v>0.14000000000000001</v>
      </c>
      <c r="Q17" t="s">
        <v>4</v>
      </c>
      <c r="R17">
        <v>12</v>
      </c>
      <c r="S17">
        <v>13</v>
      </c>
      <c r="T17" s="1">
        <v>0.14000000000000001</v>
      </c>
      <c r="V17" t="s">
        <v>4</v>
      </c>
      <c r="W17">
        <v>12</v>
      </c>
      <c r="X17">
        <v>13</v>
      </c>
      <c r="Y17" s="1">
        <v>0.14000000000000001</v>
      </c>
    </row>
    <row r="18" spans="2:25" x14ac:dyDescent="0.25">
      <c r="B18" t="s">
        <v>5</v>
      </c>
      <c r="C18">
        <v>22</v>
      </c>
      <c r="D18">
        <v>23</v>
      </c>
      <c r="E18" s="1">
        <v>0.24</v>
      </c>
      <c r="G18" t="s">
        <v>5</v>
      </c>
      <c r="H18">
        <v>22</v>
      </c>
      <c r="I18">
        <v>23</v>
      </c>
      <c r="J18" s="1">
        <v>0.24</v>
      </c>
      <c r="L18" t="s">
        <v>5</v>
      </c>
      <c r="M18">
        <v>22</v>
      </c>
      <c r="N18">
        <v>23</v>
      </c>
      <c r="O18" s="1">
        <v>0.24</v>
      </c>
      <c r="Q18" t="s">
        <v>5</v>
      </c>
      <c r="R18">
        <v>22</v>
      </c>
      <c r="S18">
        <v>23</v>
      </c>
      <c r="T18" s="1">
        <v>0.24</v>
      </c>
      <c r="V18" t="s">
        <v>5</v>
      </c>
      <c r="W18">
        <v>22</v>
      </c>
      <c r="X18">
        <v>23</v>
      </c>
      <c r="Y18" s="1">
        <v>0.24</v>
      </c>
    </row>
    <row r="19" spans="2:25" x14ac:dyDescent="0.25">
      <c r="B19" t="s">
        <v>6</v>
      </c>
      <c r="C19">
        <v>32</v>
      </c>
      <c r="D19" s="2">
        <v>33</v>
      </c>
      <c r="E19" s="1">
        <v>0.34</v>
      </c>
      <c r="G19" t="s">
        <v>6</v>
      </c>
      <c r="H19">
        <v>32</v>
      </c>
      <c r="I19" s="2">
        <v>33</v>
      </c>
      <c r="J19" s="1">
        <v>0.34</v>
      </c>
      <c r="L19" t="s">
        <v>6</v>
      </c>
      <c r="M19">
        <v>32</v>
      </c>
      <c r="N19" s="2">
        <v>33</v>
      </c>
      <c r="O19" s="1">
        <v>0.34</v>
      </c>
      <c r="Q19" t="s">
        <v>6</v>
      </c>
      <c r="R19">
        <v>32</v>
      </c>
      <c r="S19" s="2">
        <v>33</v>
      </c>
      <c r="T19" s="1">
        <v>0.34</v>
      </c>
      <c r="V19" t="s">
        <v>6</v>
      </c>
      <c r="W19">
        <v>32</v>
      </c>
      <c r="X19" s="2">
        <v>33</v>
      </c>
      <c r="Y19" s="1">
        <v>0.34</v>
      </c>
    </row>
    <row r="20" spans="2:25" x14ac:dyDescent="0.25">
      <c r="B20" t="s">
        <v>7</v>
      </c>
      <c r="C20">
        <v>42</v>
      </c>
      <c r="D20">
        <v>43</v>
      </c>
      <c r="E20" s="1">
        <v>0.44</v>
      </c>
      <c r="G20" t="s">
        <v>7</v>
      </c>
      <c r="H20">
        <v>42</v>
      </c>
      <c r="I20">
        <v>43</v>
      </c>
      <c r="J20" s="1">
        <v>0.44</v>
      </c>
      <c r="L20" t="s">
        <v>7</v>
      </c>
      <c r="M20">
        <v>42</v>
      </c>
      <c r="N20">
        <v>43</v>
      </c>
      <c r="O20" s="1">
        <v>0.44</v>
      </c>
      <c r="Q20" t="s">
        <v>7</v>
      </c>
      <c r="R20">
        <v>42</v>
      </c>
      <c r="S20">
        <v>43</v>
      </c>
      <c r="T20" s="1">
        <v>0.44</v>
      </c>
      <c r="V20" t="s">
        <v>7</v>
      </c>
      <c r="W20">
        <v>42</v>
      </c>
      <c r="X20">
        <v>43</v>
      </c>
      <c r="Y20" s="1">
        <v>0.44</v>
      </c>
    </row>
    <row r="21" spans="2:25" x14ac:dyDescent="0.25">
      <c r="B21" t="s">
        <v>8</v>
      </c>
      <c r="C21">
        <f>SUBTOTAL(101,Table1419[Col2])</f>
        <v>27</v>
      </c>
      <c r="D21">
        <f>SUBTOTAL(101,Table1419[Col3])</f>
        <v>28</v>
      </c>
      <c r="E21" s="1">
        <f>SUBTOTAL(101,Table1419[Col4])</f>
        <v>0.28999999999999998</v>
      </c>
      <c r="G21" t="s">
        <v>8</v>
      </c>
      <c r="H21">
        <f>SUBTOTAL(101,Table1520[Col2])</f>
        <v>27</v>
      </c>
      <c r="I21">
        <f>SUBTOTAL(101,Table1520[Col3])</f>
        <v>28</v>
      </c>
      <c r="J21" s="1">
        <f>SUBTOTAL(101,Table1520[Col4])</f>
        <v>0.28999999999999998</v>
      </c>
      <c r="L21" t="s">
        <v>8</v>
      </c>
      <c r="M21">
        <f>SUBTOTAL(101,Table11221[Col2])</f>
        <v>27</v>
      </c>
      <c r="N21">
        <f>SUBTOTAL(101,Table11221[Col3])</f>
        <v>28</v>
      </c>
      <c r="O21" s="1">
        <f>SUBTOTAL(101,Table11221[Col4])</f>
        <v>0.28999999999999998</v>
      </c>
      <c r="Q21" t="s">
        <v>8</v>
      </c>
      <c r="R21">
        <f>SUBTOTAL(101,Table141322[Col2])</f>
        <v>27</v>
      </c>
      <c r="S21">
        <f>SUBTOTAL(101,Table141322[Col3])</f>
        <v>28</v>
      </c>
      <c r="T21" s="1">
        <f>SUBTOTAL(101,Table141322[Col4])</f>
        <v>0.28999999999999998</v>
      </c>
      <c r="V21" t="s">
        <v>8</v>
      </c>
      <c r="W21">
        <f>SUBTOTAL(101,Table1413225755[Col2])</f>
        <v>27</v>
      </c>
      <c r="X21">
        <f>SUBTOTAL(101,Table1413225755[Col3])</f>
        <v>28</v>
      </c>
      <c r="Y21" s="1">
        <f>SUBTOTAL(101,Table1413225755[Col4])</f>
        <v>0.28999999999999998</v>
      </c>
    </row>
    <row r="22" spans="2:25" x14ac:dyDescent="0.25">
      <c r="B22" t="s">
        <v>64</v>
      </c>
      <c r="G22" t="s">
        <v>65</v>
      </c>
      <c r="L22" t="s">
        <v>66</v>
      </c>
      <c r="Q22" t="s">
        <v>67</v>
      </c>
      <c r="V22" t="s">
        <v>68</v>
      </c>
    </row>
    <row r="23" spans="2:25" x14ac:dyDescent="0.25">
      <c r="B23" t="s">
        <v>0</v>
      </c>
      <c r="C23" t="s">
        <v>1</v>
      </c>
      <c r="D23" t="s">
        <v>2</v>
      </c>
      <c r="E23" t="s">
        <v>3</v>
      </c>
      <c r="G23" t="s">
        <v>0</v>
      </c>
      <c r="H23" t="s">
        <v>1</v>
      </c>
      <c r="I23" t="s">
        <v>2</v>
      </c>
      <c r="J23" t="s">
        <v>3</v>
      </c>
      <c r="L23" t="s">
        <v>0</v>
      </c>
      <c r="M23" t="s">
        <v>1</v>
      </c>
      <c r="N23" t="s">
        <v>2</v>
      </c>
      <c r="O23" t="s">
        <v>3</v>
      </c>
      <c r="Q23" t="s">
        <v>0</v>
      </c>
      <c r="R23" t="s">
        <v>1</v>
      </c>
      <c r="S23" t="s">
        <v>2</v>
      </c>
      <c r="T23" t="s">
        <v>3</v>
      </c>
      <c r="V23" t="s">
        <v>0</v>
      </c>
      <c r="W23" t="s">
        <v>1</v>
      </c>
      <c r="X23" t="s">
        <v>2</v>
      </c>
      <c r="Y23" t="s">
        <v>3</v>
      </c>
    </row>
    <row r="24" spans="2:25" x14ac:dyDescent="0.25">
      <c r="B24" t="s">
        <v>4</v>
      </c>
      <c r="C24">
        <v>12</v>
      </c>
      <c r="D24">
        <v>13</v>
      </c>
      <c r="E24" s="1">
        <v>0.14000000000000001</v>
      </c>
      <c r="G24" t="s">
        <v>4</v>
      </c>
      <c r="H24">
        <v>12</v>
      </c>
      <c r="I24">
        <v>13</v>
      </c>
      <c r="J24" s="1">
        <v>0.14000000000000001</v>
      </c>
      <c r="L24" t="s">
        <v>4</v>
      </c>
      <c r="M24">
        <v>12</v>
      </c>
      <c r="N24">
        <v>13</v>
      </c>
      <c r="O24" s="1">
        <v>0.14000000000000001</v>
      </c>
      <c r="Q24" t="s">
        <v>4</v>
      </c>
      <c r="R24">
        <v>12</v>
      </c>
      <c r="S24">
        <v>13</v>
      </c>
      <c r="T24" s="1">
        <v>0.14000000000000001</v>
      </c>
      <c r="V24" t="s">
        <v>4</v>
      </c>
      <c r="W24">
        <v>12</v>
      </c>
      <c r="X24">
        <v>13</v>
      </c>
      <c r="Y24" s="1">
        <v>0.14000000000000001</v>
      </c>
    </row>
    <row r="25" spans="2:25" x14ac:dyDescent="0.25">
      <c r="B25" t="s">
        <v>5</v>
      </c>
      <c r="C25">
        <v>22</v>
      </c>
      <c r="D25">
        <v>23</v>
      </c>
      <c r="E25" s="1">
        <v>0.24</v>
      </c>
      <c r="G25" t="s">
        <v>5</v>
      </c>
      <c r="H25">
        <v>22</v>
      </c>
      <c r="I25">
        <v>23</v>
      </c>
      <c r="J25" s="1">
        <v>0.24</v>
      </c>
      <c r="L25" t="s">
        <v>5</v>
      </c>
      <c r="M25">
        <v>22</v>
      </c>
      <c r="N25">
        <v>23</v>
      </c>
      <c r="O25" s="1">
        <v>0.24</v>
      </c>
      <c r="Q25" t="s">
        <v>5</v>
      </c>
      <c r="R25">
        <v>22</v>
      </c>
      <c r="S25">
        <v>23</v>
      </c>
      <c r="T25" s="1">
        <v>0.24</v>
      </c>
      <c r="V25" t="s">
        <v>5</v>
      </c>
      <c r="W25">
        <v>22</v>
      </c>
      <c r="X25">
        <v>23</v>
      </c>
      <c r="Y25" s="1">
        <v>0.24</v>
      </c>
    </row>
    <row r="26" spans="2:25" x14ac:dyDescent="0.25">
      <c r="B26" t="s">
        <v>6</v>
      </c>
      <c r="C26">
        <v>32</v>
      </c>
      <c r="D26" s="2">
        <v>33</v>
      </c>
      <c r="E26" s="1">
        <v>0.34</v>
      </c>
      <c r="G26" t="s">
        <v>6</v>
      </c>
      <c r="H26">
        <v>32</v>
      </c>
      <c r="I26" s="2">
        <v>33</v>
      </c>
      <c r="J26" s="1">
        <v>0.34</v>
      </c>
      <c r="L26" t="s">
        <v>6</v>
      </c>
      <c r="M26">
        <v>32</v>
      </c>
      <c r="N26" s="2">
        <v>33</v>
      </c>
      <c r="O26" s="1">
        <v>0.34</v>
      </c>
      <c r="Q26" t="s">
        <v>6</v>
      </c>
      <c r="R26">
        <v>32</v>
      </c>
      <c r="S26" s="2">
        <v>33</v>
      </c>
      <c r="T26" s="1">
        <v>0.34</v>
      </c>
      <c r="V26" t="s">
        <v>6</v>
      </c>
      <c r="W26">
        <v>32</v>
      </c>
      <c r="X26" s="2">
        <v>33</v>
      </c>
      <c r="Y26" s="1">
        <v>0.34</v>
      </c>
    </row>
    <row r="27" spans="2:25" x14ac:dyDescent="0.25">
      <c r="B27" t="s">
        <v>7</v>
      </c>
      <c r="C27">
        <v>42</v>
      </c>
      <c r="D27">
        <v>43</v>
      </c>
      <c r="E27" s="1">
        <v>0.44</v>
      </c>
      <c r="G27" t="s">
        <v>7</v>
      </c>
      <c r="H27">
        <v>42</v>
      </c>
      <c r="I27">
        <v>43</v>
      </c>
      <c r="J27" s="1">
        <v>0.44</v>
      </c>
      <c r="L27" t="s">
        <v>7</v>
      </c>
      <c r="M27">
        <v>42</v>
      </c>
      <c r="N27">
        <v>43</v>
      </c>
      <c r="O27" s="1">
        <v>0.44</v>
      </c>
      <c r="Q27" t="s">
        <v>7</v>
      </c>
      <c r="R27">
        <v>42</v>
      </c>
      <c r="S27">
        <v>43</v>
      </c>
      <c r="T27" s="1">
        <v>0.44</v>
      </c>
      <c r="V27" t="s">
        <v>7</v>
      </c>
      <c r="W27">
        <v>42</v>
      </c>
      <c r="X27">
        <v>43</v>
      </c>
      <c r="Y27" s="1">
        <v>0.44</v>
      </c>
    </row>
    <row r="28" spans="2:25" x14ac:dyDescent="0.25">
      <c r="B28" t="s">
        <v>8</v>
      </c>
      <c r="C28">
        <f>SUBTOTAL(101,Table141322575556[Col2])</f>
        <v>27</v>
      </c>
      <c r="D28">
        <f>SUBTOTAL(101,Table141322575556[Col3])</f>
        <v>28</v>
      </c>
      <c r="E28" s="1">
        <f>SUBTOTAL(101,Table141322575556[Col4])</f>
        <v>0.28999999999999998</v>
      </c>
      <c r="G28" t="s">
        <v>8</v>
      </c>
      <c r="H28">
        <f>SUBTOTAL(101,Table14132257555658[Col2])</f>
        <v>27</v>
      </c>
      <c r="I28">
        <f>SUBTOTAL(101,Table14132257555658[Col3])</f>
        <v>28</v>
      </c>
      <c r="J28" s="1">
        <f>SUBTOTAL(101,Table14132257555658[Col4])</f>
        <v>0.28999999999999998</v>
      </c>
      <c r="L28" t="s">
        <v>8</v>
      </c>
      <c r="M28">
        <f>SUBTOTAL(101,Table1413225755565859[Col2])</f>
        <v>27</v>
      </c>
      <c r="N28">
        <f>SUBTOTAL(101,Table1413225755565859[Col3])</f>
        <v>28</v>
      </c>
      <c r="O28" s="1">
        <f>SUBTOTAL(101,Table1413225755565859[Col4])</f>
        <v>0.28999999999999998</v>
      </c>
      <c r="Q28" t="s">
        <v>8</v>
      </c>
      <c r="R28">
        <f>SUBTOTAL(101,Table141322575556585960[Col2])</f>
        <v>27</v>
      </c>
      <c r="S28">
        <f>SUBTOTAL(101,Table141322575556585960[Col3])</f>
        <v>28</v>
      </c>
      <c r="T28" s="1">
        <f>SUBTOTAL(101,Table141322575556585960[Col4])</f>
        <v>0.28999999999999998</v>
      </c>
      <c r="V28" t="s">
        <v>8</v>
      </c>
      <c r="W28">
        <f>SUBTOTAL(101,Table141322575556585961[Col2])</f>
        <v>27</v>
      </c>
      <c r="X28">
        <f>SUBTOTAL(101,Table141322575556585961[Col3])</f>
        <v>28</v>
      </c>
      <c r="Y28" s="1">
        <f>SUBTOTAL(101,Table141322575556585961[Col4])</f>
        <v>0.28999999999999998</v>
      </c>
    </row>
    <row r="29" spans="2:25" x14ac:dyDescent="0.25">
      <c r="B29" t="s">
        <v>62</v>
      </c>
    </row>
    <row r="30" spans="2:25" x14ac:dyDescent="0.25">
      <c r="B30" t="s">
        <v>0</v>
      </c>
      <c r="C30" t="s">
        <v>1</v>
      </c>
      <c r="D30" t="s">
        <v>2</v>
      </c>
      <c r="E30" t="s">
        <v>3</v>
      </c>
    </row>
    <row r="31" spans="2:25" x14ac:dyDescent="0.25">
      <c r="B31" t="s">
        <v>4</v>
      </c>
      <c r="C31">
        <v>12</v>
      </c>
      <c r="D31">
        <v>13</v>
      </c>
      <c r="E31" s="1">
        <v>0.14000000000000001</v>
      </c>
    </row>
    <row r="32" spans="2:25" x14ac:dyDescent="0.25">
      <c r="B32" t="s">
        <v>5</v>
      </c>
      <c r="C32">
        <v>22</v>
      </c>
      <c r="D32">
        <v>23</v>
      </c>
      <c r="E32" s="1">
        <v>0.24</v>
      </c>
    </row>
    <row r="33" spans="2:5" x14ac:dyDescent="0.25">
      <c r="B33" t="s">
        <v>6</v>
      </c>
      <c r="C33">
        <v>32</v>
      </c>
      <c r="D33" s="2">
        <v>33</v>
      </c>
      <c r="E33" s="1">
        <v>0.34</v>
      </c>
    </row>
    <row r="34" spans="2:5" x14ac:dyDescent="0.25">
      <c r="B34" t="s">
        <v>7</v>
      </c>
      <c r="C34">
        <v>42</v>
      </c>
      <c r="D34">
        <v>43</v>
      </c>
      <c r="E34" s="1">
        <v>0.44</v>
      </c>
    </row>
    <row r="35" spans="2:5" x14ac:dyDescent="0.25">
      <c r="B35" t="s">
        <v>8</v>
      </c>
      <c r="C35">
        <f>SUBTOTAL(101,Table14132257[Col2])</f>
        <v>27</v>
      </c>
      <c r="D35">
        <f>SUBTOTAL(101,Table14132257[Col3])</f>
        <v>28</v>
      </c>
      <c r="E35" s="1">
        <f>SUBTOTAL(101,Table14132257[Col4])</f>
        <v>0.28999999999999998</v>
      </c>
    </row>
  </sheetData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EB9E-602A-42D4-8E73-94630F811EE3}">
  <dimension ref="B1:AI42"/>
  <sheetViews>
    <sheetView zoomScaleNormal="100" workbookViewId="0">
      <selection activeCell="K31" sqref="K31"/>
    </sheetView>
  </sheetViews>
  <sheetFormatPr defaultRowHeight="15" x14ac:dyDescent="0.25"/>
  <sheetData>
    <row r="1" spans="2:35" x14ac:dyDescent="0.25">
      <c r="B1" t="s">
        <v>21</v>
      </c>
      <c r="G1" t="s">
        <v>22</v>
      </c>
      <c r="L1" t="s">
        <v>23</v>
      </c>
      <c r="Q1" t="s">
        <v>24</v>
      </c>
      <c r="V1" t="s">
        <v>25</v>
      </c>
    </row>
    <row r="2" spans="2:3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</row>
    <row r="3" spans="2:35" x14ac:dyDescent="0.25">
      <c r="B3" t="s">
        <v>4</v>
      </c>
      <c r="C3">
        <v>12</v>
      </c>
      <c r="D3">
        <v>13</v>
      </c>
      <c r="E3" s="1">
        <v>0.14000000000000001</v>
      </c>
      <c r="G3" t="s">
        <v>4</v>
      </c>
      <c r="H3">
        <v>12</v>
      </c>
      <c r="I3">
        <v>13</v>
      </c>
      <c r="J3" s="1">
        <v>0.14000000000000001</v>
      </c>
      <c r="L3" t="s">
        <v>4</v>
      </c>
      <c r="M3">
        <v>12</v>
      </c>
      <c r="N3">
        <v>13</v>
      </c>
      <c r="O3" s="1">
        <v>0.14000000000000001</v>
      </c>
      <c r="Q3" t="s">
        <v>4</v>
      </c>
      <c r="R3">
        <v>12</v>
      </c>
      <c r="S3">
        <v>13</v>
      </c>
      <c r="T3" s="1">
        <v>0.14000000000000001</v>
      </c>
      <c r="V3" t="s">
        <v>4</v>
      </c>
      <c r="W3">
        <v>12</v>
      </c>
      <c r="X3">
        <v>13</v>
      </c>
      <c r="Y3" s="1">
        <v>0.14000000000000001</v>
      </c>
    </row>
    <row r="4" spans="2:35" x14ac:dyDescent="0.25">
      <c r="B4" t="s">
        <v>5</v>
      </c>
      <c r="C4">
        <v>22</v>
      </c>
      <c r="D4">
        <v>23</v>
      </c>
      <c r="E4" s="1">
        <v>0.24</v>
      </c>
      <c r="G4" t="s">
        <v>5</v>
      </c>
      <c r="H4">
        <v>22</v>
      </c>
      <c r="I4">
        <v>23</v>
      </c>
      <c r="J4" s="1">
        <v>0.24</v>
      </c>
      <c r="L4" t="s">
        <v>5</v>
      </c>
      <c r="M4">
        <v>22</v>
      </c>
      <c r="N4">
        <v>23</v>
      </c>
      <c r="O4" s="1">
        <v>0.24</v>
      </c>
      <c r="Q4" t="s">
        <v>5</v>
      </c>
      <c r="R4">
        <v>22</v>
      </c>
      <c r="S4">
        <v>23</v>
      </c>
      <c r="T4" s="1">
        <v>0.24</v>
      </c>
      <c r="V4" t="s">
        <v>5</v>
      </c>
      <c r="W4">
        <v>22</v>
      </c>
      <c r="X4">
        <v>23</v>
      </c>
      <c r="Y4" s="1">
        <v>0.24</v>
      </c>
    </row>
    <row r="5" spans="2:35" x14ac:dyDescent="0.25">
      <c r="B5" t="s">
        <v>6</v>
      </c>
      <c r="C5">
        <v>32</v>
      </c>
      <c r="D5" s="2">
        <v>33</v>
      </c>
      <c r="E5" s="1">
        <v>0.34</v>
      </c>
      <c r="G5" t="s">
        <v>6</v>
      </c>
      <c r="H5">
        <v>32</v>
      </c>
      <c r="I5" s="2">
        <v>33</v>
      </c>
      <c r="J5" s="1">
        <v>0.34</v>
      </c>
      <c r="L5" t="s">
        <v>6</v>
      </c>
      <c r="M5">
        <v>32</v>
      </c>
      <c r="N5" s="2">
        <v>33</v>
      </c>
      <c r="O5" s="1">
        <v>0.34</v>
      </c>
      <c r="Q5" t="s">
        <v>6</v>
      </c>
      <c r="R5">
        <v>32</v>
      </c>
      <c r="S5" s="2">
        <v>33</v>
      </c>
      <c r="T5" s="1">
        <v>0.34</v>
      </c>
      <c r="V5" t="s">
        <v>6</v>
      </c>
      <c r="W5">
        <v>32</v>
      </c>
      <c r="X5" s="2">
        <v>33</v>
      </c>
      <c r="Y5" s="1">
        <v>0.34</v>
      </c>
    </row>
    <row r="6" spans="2:35" x14ac:dyDescent="0.25">
      <c r="B6" t="s">
        <v>7</v>
      </c>
      <c r="C6">
        <v>42</v>
      </c>
      <c r="D6">
        <v>43</v>
      </c>
      <c r="E6" s="1">
        <v>0.44</v>
      </c>
      <c r="G6" t="s">
        <v>7</v>
      </c>
      <c r="H6">
        <v>42</v>
      </c>
      <c r="I6">
        <v>43</v>
      </c>
      <c r="J6" s="1">
        <v>0.44</v>
      </c>
      <c r="L6" t="s">
        <v>7</v>
      </c>
      <c r="M6">
        <v>42</v>
      </c>
      <c r="N6">
        <v>43</v>
      </c>
      <c r="O6" s="1">
        <v>0.44</v>
      </c>
      <c r="Q6" t="s">
        <v>7</v>
      </c>
      <c r="R6">
        <v>42</v>
      </c>
      <c r="S6">
        <v>43</v>
      </c>
      <c r="T6" s="1">
        <v>0.44</v>
      </c>
      <c r="V6" t="s">
        <v>7</v>
      </c>
      <c r="W6">
        <v>42</v>
      </c>
      <c r="X6">
        <v>43</v>
      </c>
      <c r="Y6" s="1">
        <v>0.44</v>
      </c>
    </row>
    <row r="7" spans="2:35" x14ac:dyDescent="0.25">
      <c r="B7" t="s">
        <v>8</v>
      </c>
      <c r="C7">
        <f>SUBTOTAL(101,Table16[Col2])</f>
        <v>27</v>
      </c>
      <c r="D7">
        <f>SUBTOTAL(101,Table16[Col3])</f>
        <v>28</v>
      </c>
      <c r="E7" s="1">
        <f>SUBTOTAL(101,Table16[Col4])</f>
        <v>0.28999999999999998</v>
      </c>
      <c r="G7" t="s">
        <v>8</v>
      </c>
      <c r="H7">
        <f>SUBTOTAL(101,Table17[Col2])</f>
        <v>27</v>
      </c>
      <c r="I7">
        <f>SUBTOTAL(101,Table17[Col3])</f>
        <v>28</v>
      </c>
      <c r="J7" s="1">
        <f>SUBTOTAL(101,Table17[Col4])</f>
        <v>0.28999999999999998</v>
      </c>
      <c r="L7" t="s">
        <v>8</v>
      </c>
      <c r="M7">
        <f>SUBTOTAL(101,Table18[Col2])</f>
        <v>27</v>
      </c>
      <c r="N7">
        <f>SUBTOTAL(101,Table18[Col3])</f>
        <v>28</v>
      </c>
      <c r="O7" s="1">
        <f>SUBTOTAL(101,Table18[Col4])</f>
        <v>0.28999999999999998</v>
      </c>
      <c r="Q7" t="s">
        <v>8</v>
      </c>
      <c r="R7">
        <f>SUBTOTAL(101,Table1630[Col2])</f>
        <v>27</v>
      </c>
      <c r="S7">
        <f>SUBTOTAL(101,Table1630[Col3])</f>
        <v>28</v>
      </c>
      <c r="T7" s="1">
        <f>SUBTOTAL(101,Table1630[Col4])</f>
        <v>0.28999999999999998</v>
      </c>
      <c r="V7" t="s">
        <v>8</v>
      </c>
      <c r="W7">
        <f>SUBTOTAL(101,Table1731[Col2])</f>
        <v>27</v>
      </c>
      <c r="X7">
        <f>SUBTOTAL(101,Table1731[Col3])</f>
        <v>28</v>
      </c>
      <c r="Y7" s="1">
        <f>SUBTOTAL(101,Table1731[Col4])</f>
        <v>0.28999999999999998</v>
      </c>
    </row>
    <row r="8" spans="2:35" x14ac:dyDescent="0.25">
      <c r="B8" t="s">
        <v>26</v>
      </c>
      <c r="G8" t="s">
        <v>27</v>
      </c>
      <c r="L8" t="s">
        <v>28</v>
      </c>
      <c r="Q8" t="s">
        <v>29</v>
      </c>
      <c r="V8" t="s">
        <v>30</v>
      </c>
    </row>
    <row r="9" spans="2:35" x14ac:dyDescent="0.25">
      <c r="B9" t="s">
        <v>0</v>
      </c>
      <c r="C9" t="s">
        <v>1</v>
      </c>
      <c r="D9" t="s">
        <v>2</v>
      </c>
      <c r="E9" t="s">
        <v>3</v>
      </c>
      <c r="G9" t="s">
        <v>0</v>
      </c>
      <c r="H9" t="s">
        <v>1</v>
      </c>
      <c r="I9" t="s">
        <v>2</v>
      </c>
      <c r="J9" t="s">
        <v>3</v>
      </c>
      <c r="L9" t="s">
        <v>0</v>
      </c>
      <c r="M9" t="s">
        <v>1</v>
      </c>
      <c r="N9" t="s">
        <v>2</v>
      </c>
      <c r="O9" t="s">
        <v>3</v>
      </c>
      <c r="Q9" t="s">
        <v>0</v>
      </c>
      <c r="R9" t="s">
        <v>1</v>
      </c>
      <c r="S9" t="s">
        <v>2</v>
      </c>
      <c r="T9" t="s">
        <v>3</v>
      </c>
      <c r="V9" t="s">
        <v>0</v>
      </c>
      <c r="W9" t="s">
        <v>1</v>
      </c>
      <c r="X9" t="s">
        <v>2</v>
      </c>
      <c r="Y9" t="s">
        <v>3</v>
      </c>
    </row>
    <row r="10" spans="2:35" x14ac:dyDescent="0.25">
      <c r="B10" t="s">
        <v>4</v>
      </c>
      <c r="C10">
        <v>12</v>
      </c>
      <c r="D10">
        <v>13</v>
      </c>
      <c r="E10" s="1">
        <v>0.14000000000000001</v>
      </c>
      <c r="G10" t="s">
        <v>4</v>
      </c>
      <c r="H10">
        <v>12</v>
      </c>
      <c r="I10">
        <v>13</v>
      </c>
      <c r="J10" s="1">
        <v>0.14000000000000001</v>
      </c>
      <c r="L10" t="s">
        <v>4</v>
      </c>
      <c r="M10">
        <v>12</v>
      </c>
      <c r="N10">
        <v>13</v>
      </c>
      <c r="O10" s="1">
        <v>0.14000000000000001</v>
      </c>
      <c r="Q10" t="s">
        <v>4</v>
      </c>
      <c r="R10">
        <v>12</v>
      </c>
      <c r="S10">
        <v>13</v>
      </c>
      <c r="T10" s="1">
        <v>0.14000000000000001</v>
      </c>
      <c r="V10" t="s">
        <v>4</v>
      </c>
      <c r="W10">
        <v>12</v>
      </c>
      <c r="X10">
        <v>13</v>
      </c>
      <c r="Y10" s="1">
        <v>0.14000000000000001</v>
      </c>
      <c r="AD10" s="1"/>
      <c r="AI10" s="1"/>
    </row>
    <row r="11" spans="2:35" x14ac:dyDescent="0.25">
      <c r="B11" t="s">
        <v>5</v>
      </c>
      <c r="C11">
        <v>22</v>
      </c>
      <c r="D11">
        <v>23</v>
      </c>
      <c r="E11" s="1">
        <v>0.24</v>
      </c>
      <c r="G11" t="s">
        <v>5</v>
      </c>
      <c r="H11">
        <v>22</v>
      </c>
      <c r="I11">
        <v>23</v>
      </c>
      <c r="J11" s="1">
        <v>0.24</v>
      </c>
      <c r="L11" t="s">
        <v>5</v>
      </c>
      <c r="M11">
        <v>22</v>
      </c>
      <c r="N11">
        <v>23</v>
      </c>
      <c r="O11" s="1">
        <v>0.24</v>
      </c>
      <c r="Q11" t="s">
        <v>5</v>
      </c>
      <c r="R11">
        <v>22</v>
      </c>
      <c r="S11">
        <v>23</v>
      </c>
      <c r="T11" s="1">
        <v>0.24</v>
      </c>
      <c r="V11" t="s">
        <v>5</v>
      </c>
      <c r="W11">
        <v>22</v>
      </c>
      <c r="X11">
        <v>23</v>
      </c>
      <c r="Y11" s="1">
        <v>0.24</v>
      </c>
      <c r="AD11" s="1"/>
      <c r="AI11" s="1"/>
    </row>
    <row r="12" spans="2:35" x14ac:dyDescent="0.25">
      <c r="B12" t="s">
        <v>6</v>
      </c>
      <c r="C12">
        <v>32</v>
      </c>
      <c r="D12" s="2">
        <v>33</v>
      </c>
      <c r="E12" s="1">
        <v>0.34</v>
      </c>
      <c r="G12" t="s">
        <v>6</v>
      </c>
      <c r="H12">
        <v>32</v>
      </c>
      <c r="I12" s="2">
        <v>33</v>
      </c>
      <c r="J12" s="1">
        <v>0.34</v>
      </c>
      <c r="L12" t="s">
        <v>6</v>
      </c>
      <c r="M12">
        <v>32</v>
      </c>
      <c r="N12" s="2">
        <v>33</v>
      </c>
      <c r="O12" s="1">
        <v>0.34</v>
      </c>
      <c r="Q12" t="s">
        <v>6</v>
      </c>
      <c r="R12">
        <v>32</v>
      </c>
      <c r="S12" s="2">
        <v>33</v>
      </c>
      <c r="T12" s="1">
        <v>0.34</v>
      </c>
      <c r="V12" t="s">
        <v>6</v>
      </c>
      <c r="W12">
        <v>32</v>
      </c>
      <c r="X12" s="2">
        <v>33</v>
      </c>
      <c r="Y12" s="1">
        <v>0.34</v>
      </c>
      <c r="AC12" s="2"/>
      <c r="AD12" s="1"/>
      <c r="AH12" s="2"/>
      <c r="AI12" s="1"/>
    </row>
    <row r="13" spans="2:35" x14ac:dyDescent="0.25">
      <c r="B13" t="s">
        <v>7</v>
      </c>
      <c r="C13">
        <v>42</v>
      </c>
      <c r="D13">
        <v>43</v>
      </c>
      <c r="E13" s="1">
        <v>0.44</v>
      </c>
      <c r="G13" t="s">
        <v>7</v>
      </c>
      <c r="H13">
        <v>42</v>
      </c>
      <c r="I13">
        <v>43</v>
      </c>
      <c r="J13" s="1">
        <v>0.44</v>
      </c>
      <c r="L13" t="s">
        <v>7</v>
      </c>
      <c r="M13">
        <v>42</v>
      </c>
      <c r="N13">
        <v>43</v>
      </c>
      <c r="O13" s="1">
        <v>0.44</v>
      </c>
      <c r="Q13" t="s">
        <v>7</v>
      </c>
      <c r="R13">
        <v>42</v>
      </c>
      <c r="S13">
        <v>43</v>
      </c>
      <c r="T13" s="1">
        <v>0.44</v>
      </c>
      <c r="V13" t="s">
        <v>7</v>
      </c>
      <c r="W13">
        <v>42</v>
      </c>
      <c r="X13">
        <v>43</v>
      </c>
      <c r="Y13" s="1">
        <v>0.44</v>
      </c>
      <c r="AD13" s="1"/>
      <c r="AI13" s="1"/>
    </row>
    <row r="14" spans="2:35" x14ac:dyDescent="0.25">
      <c r="B14" t="s">
        <v>8</v>
      </c>
      <c r="C14">
        <f>SUBTOTAL(101,Table1832[Col2])</f>
        <v>27</v>
      </c>
      <c r="D14">
        <f>SUBTOTAL(101,Table1832[Col3])</f>
        <v>28</v>
      </c>
      <c r="E14" s="1">
        <f>SUBTOTAL(101,Table1832[Col4])</f>
        <v>0.28999999999999998</v>
      </c>
      <c r="G14" t="s">
        <v>8</v>
      </c>
      <c r="H14">
        <f>SUBTOTAL(101,Table1633[Col2])</f>
        <v>27</v>
      </c>
      <c r="I14">
        <f>SUBTOTAL(101,Table1633[Col3])</f>
        <v>28</v>
      </c>
      <c r="J14" s="1">
        <f>SUBTOTAL(101,Table1633[Col4])</f>
        <v>0.28999999999999998</v>
      </c>
      <c r="L14" t="s">
        <v>8</v>
      </c>
      <c r="M14">
        <f>SUBTOTAL(101,Table1734[Col2])</f>
        <v>27</v>
      </c>
      <c r="N14">
        <f>SUBTOTAL(101,Table1734[Col3])</f>
        <v>28</v>
      </c>
      <c r="O14" s="1">
        <f>SUBTOTAL(101,Table1734[Col4])</f>
        <v>0.28999999999999998</v>
      </c>
      <c r="Q14" t="s">
        <v>8</v>
      </c>
      <c r="R14">
        <f>SUBTOTAL(101,Table1835[Col2])</f>
        <v>27</v>
      </c>
      <c r="S14">
        <f>SUBTOTAL(101,Table1835[Col3])</f>
        <v>28</v>
      </c>
      <c r="T14" s="1">
        <f>SUBTOTAL(101,Table1835[Col4])</f>
        <v>0.28999999999999998</v>
      </c>
      <c r="V14" t="s">
        <v>8</v>
      </c>
      <c r="W14">
        <f>SUBTOTAL(101,Table1639[Col2])</f>
        <v>27</v>
      </c>
      <c r="X14">
        <f>SUBTOTAL(101,Table1639[Col3])</f>
        <v>28</v>
      </c>
      <c r="Y14" s="1">
        <f>SUBTOTAL(101,Table1639[Col4])</f>
        <v>0.28999999999999998</v>
      </c>
      <c r="AD14" s="1"/>
      <c r="AI14" s="1"/>
    </row>
    <row r="15" spans="2:35" x14ac:dyDescent="0.25">
      <c r="B15" t="s">
        <v>31</v>
      </c>
      <c r="G15" t="s">
        <v>32</v>
      </c>
      <c r="L15" t="s">
        <v>33</v>
      </c>
      <c r="Q15" t="s">
        <v>34</v>
      </c>
      <c r="V15" t="s">
        <v>35</v>
      </c>
    </row>
    <row r="16" spans="2:35" x14ac:dyDescent="0.25">
      <c r="B16" t="s">
        <v>0</v>
      </c>
      <c r="C16" t="s">
        <v>1</v>
      </c>
      <c r="D16" t="s">
        <v>2</v>
      </c>
      <c r="E16" t="s">
        <v>3</v>
      </c>
      <c r="G16" t="s">
        <v>0</v>
      </c>
      <c r="H16" t="s">
        <v>1</v>
      </c>
      <c r="I16" t="s">
        <v>2</v>
      </c>
      <c r="J16" t="s">
        <v>3</v>
      </c>
      <c r="L16" t="s">
        <v>0</v>
      </c>
      <c r="M16" t="s">
        <v>1</v>
      </c>
      <c r="N16" t="s">
        <v>2</v>
      </c>
      <c r="O16" t="s">
        <v>3</v>
      </c>
      <c r="Q16" t="s">
        <v>0</v>
      </c>
      <c r="R16" t="s">
        <v>1</v>
      </c>
      <c r="S16" t="s">
        <v>2</v>
      </c>
      <c r="T16" t="s">
        <v>3</v>
      </c>
      <c r="V16" t="s">
        <v>0</v>
      </c>
      <c r="W16" t="s">
        <v>1</v>
      </c>
      <c r="X16" t="s">
        <v>2</v>
      </c>
      <c r="Y16" t="s">
        <v>3</v>
      </c>
    </row>
    <row r="17" spans="2:25" x14ac:dyDescent="0.25">
      <c r="B17" t="s">
        <v>4</v>
      </c>
      <c r="C17">
        <v>12</v>
      </c>
      <c r="D17">
        <v>13</v>
      </c>
      <c r="E17" s="1">
        <v>0.14000000000000001</v>
      </c>
      <c r="G17" t="s">
        <v>4</v>
      </c>
      <c r="H17">
        <v>12</v>
      </c>
      <c r="I17">
        <v>13</v>
      </c>
      <c r="J17" s="1">
        <v>0.14000000000000001</v>
      </c>
      <c r="L17" t="s">
        <v>4</v>
      </c>
      <c r="M17">
        <v>12</v>
      </c>
      <c r="N17">
        <v>13</v>
      </c>
      <c r="O17" s="1">
        <v>0.14000000000000001</v>
      </c>
      <c r="Q17" t="s">
        <v>4</v>
      </c>
      <c r="R17">
        <v>12</v>
      </c>
      <c r="S17">
        <v>13</v>
      </c>
      <c r="T17" s="1">
        <v>0.14000000000000001</v>
      </c>
      <c r="V17" t="s">
        <v>4</v>
      </c>
      <c r="W17">
        <v>12</v>
      </c>
      <c r="X17">
        <v>13</v>
      </c>
      <c r="Y17" s="1">
        <v>0.14000000000000001</v>
      </c>
    </row>
    <row r="18" spans="2:25" x14ac:dyDescent="0.25">
      <c r="B18" t="s">
        <v>5</v>
      </c>
      <c r="C18">
        <v>22</v>
      </c>
      <c r="D18">
        <v>23</v>
      </c>
      <c r="E18" s="1">
        <v>0.24</v>
      </c>
      <c r="G18" t="s">
        <v>5</v>
      </c>
      <c r="H18">
        <v>22</v>
      </c>
      <c r="I18">
        <v>23</v>
      </c>
      <c r="J18" s="1">
        <v>0.24</v>
      </c>
      <c r="L18" t="s">
        <v>5</v>
      </c>
      <c r="M18">
        <v>22</v>
      </c>
      <c r="N18">
        <v>23</v>
      </c>
      <c r="O18" s="1">
        <v>0.24</v>
      </c>
      <c r="Q18" t="s">
        <v>5</v>
      </c>
      <c r="R18">
        <v>22</v>
      </c>
      <c r="S18">
        <v>23</v>
      </c>
      <c r="T18" s="1">
        <v>0.24</v>
      </c>
      <c r="V18" t="s">
        <v>5</v>
      </c>
      <c r="W18">
        <v>22</v>
      </c>
      <c r="X18">
        <v>23</v>
      </c>
      <c r="Y18" s="1">
        <v>0.24</v>
      </c>
    </row>
    <row r="19" spans="2:25" x14ac:dyDescent="0.25">
      <c r="B19" t="s">
        <v>6</v>
      </c>
      <c r="C19">
        <v>32</v>
      </c>
      <c r="D19" s="2">
        <v>33</v>
      </c>
      <c r="E19" s="1">
        <v>0.34</v>
      </c>
      <c r="G19" t="s">
        <v>6</v>
      </c>
      <c r="H19">
        <v>32</v>
      </c>
      <c r="I19" s="2">
        <v>33</v>
      </c>
      <c r="J19" s="1">
        <v>0.34</v>
      </c>
      <c r="L19" t="s">
        <v>6</v>
      </c>
      <c r="M19">
        <v>32</v>
      </c>
      <c r="N19" s="2">
        <v>33</v>
      </c>
      <c r="O19" s="1">
        <v>0.34</v>
      </c>
      <c r="Q19" t="s">
        <v>6</v>
      </c>
      <c r="R19">
        <v>32</v>
      </c>
      <c r="S19" s="2">
        <v>33</v>
      </c>
      <c r="T19" s="1">
        <v>0.34</v>
      </c>
      <c r="V19" t="s">
        <v>6</v>
      </c>
      <c r="W19">
        <v>32</v>
      </c>
      <c r="X19" s="2">
        <v>33</v>
      </c>
      <c r="Y19" s="1">
        <v>0.34</v>
      </c>
    </row>
    <row r="20" spans="2:25" x14ac:dyDescent="0.25">
      <c r="B20" t="s">
        <v>7</v>
      </c>
      <c r="C20">
        <v>42</v>
      </c>
      <c r="D20">
        <v>43</v>
      </c>
      <c r="E20" s="1">
        <v>0.44</v>
      </c>
      <c r="G20" t="s">
        <v>7</v>
      </c>
      <c r="H20">
        <v>42</v>
      </c>
      <c r="I20">
        <v>43</v>
      </c>
      <c r="J20" s="1">
        <v>0.44</v>
      </c>
      <c r="L20" t="s">
        <v>7</v>
      </c>
      <c r="M20">
        <v>42</v>
      </c>
      <c r="N20">
        <v>43</v>
      </c>
      <c r="O20" s="1">
        <v>0.44</v>
      </c>
      <c r="Q20" t="s">
        <v>7</v>
      </c>
      <c r="R20">
        <v>42</v>
      </c>
      <c r="S20">
        <v>43</v>
      </c>
      <c r="T20" s="1">
        <v>0.44</v>
      </c>
      <c r="V20" t="s">
        <v>7</v>
      </c>
      <c r="W20">
        <v>42</v>
      </c>
      <c r="X20">
        <v>43</v>
      </c>
      <c r="Y20" s="1">
        <v>0.44</v>
      </c>
    </row>
    <row r="21" spans="2:25" x14ac:dyDescent="0.25">
      <c r="B21" t="s">
        <v>8</v>
      </c>
      <c r="C21">
        <f>SUBTOTAL(101,Table1740[Col2])</f>
        <v>27</v>
      </c>
      <c r="D21">
        <f>SUBTOTAL(101,Table1740[Col3])</f>
        <v>28</v>
      </c>
      <c r="E21" s="1">
        <f>SUBTOTAL(101,Table1740[Col4])</f>
        <v>0.28999999999999998</v>
      </c>
      <c r="G21" t="s">
        <v>8</v>
      </c>
      <c r="H21">
        <f>SUBTOTAL(101,Table1841[Col2])</f>
        <v>27</v>
      </c>
      <c r="I21">
        <f>SUBTOTAL(101,Table1841[Col3])</f>
        <v>28</v>
      </c>
      <c r="J21" s="1">
        <f>SUBTOTAL(101,Table1841[Col4])</f>
        <v>0.28999999999999998</v>
      </c>
      <c r="L21" t="s">
        <v>8</v>
      </c>
      <c r="M21">
        <f>SUBTOTAL(101,Table1642[Col2])</f>
        <v>27</v>
      </c>
      <c r="N21">
        <f>SUBTOTAL(101,Table1642[Col3])</f>
        <v>28</v>
      </c>
      <c r="O21" s="1">
        <f>SUBTOTAL(101,Table1642[Col4])</f>
        <v>0.28999999999999998</v>
      </c>
      <c r="Q21" t="s">
        <v>8</v>
      </c>
      <c r="R21">
        <f>SUBTOTAL(101,Table1743[Col2])</f>
        <v>27</v>
      </c>
      <c r="S21">
        <f>SUBTOTAL(101,Table1743[Col3])</f>
        <v>28</v>
      </c>
      <c r="T21" s="1">
        <f>SUBTOTAL(101,Table1743[Col4])</f>
        <v>0.28999999999999998</v>
      </c>
      <c r="V21" t="s">
        <v>8</v>
      </c>
      <c r="W21">
        <f>SUBTOTAL(101,Table1844[Col2])</f>
        <v>27</v>
      </c>
      <c r="X21">
        <f>SUBTOTAL(101,Table1844[Col3])</f>
        <v>28</v>
      </c>
      <c r="Y21" s="1">
        <f>SUBTOTAL(101,Table1844[Col4])</f>
        <v>0.28999999999999998</v>
      </c>
    </row>
    <row r="22" spans="2:25" x14ac:dyDescent="0.25">
      <c r="B22" t="s">
        <v>36</v>
      </c>
      <c r="G22" t="s">
        <v>37</v>
      </c>
      <c r="L22" t="s">
        <v>38</v>
      </c>
      <c r="Q22" t="s">
        <v>39</v>
      </c>
      <c r="V22" t="s">
        <v>40</v>
      </c>
    </row>
    <row r="23" spans="2:25" x14ac:dyDescent="0.25">
      <c r="B23" t="s">
        <v>0</v>
      </c>
      <c r="C23" t="s">
        <v>1</v>
      </c>
      <c r="D23" t="s">
        <v>2</v>
      </c>
      <c r="E23" t="s">
        <v>3</v>
      </c>
      <c r="G23" t="s">
        <v>0</v>
      </c>
      <c r="H23" t="s">
        <v>1</v>
      </c>
      <c r="I23" t="s">
        <v>2</v>
      </c>
      <c r="J23" t="s">
        <v>3</v>
      </c>
      <c r="L23" t="s">
        <v>0</v>
      </c>
      <c r="M23" t="s">
        <v>1</v>
      </c>
      <c r="N23" t="s">
        <v>2</v>
      </c>
      <c r="O23" t="s">
        <v>3</v>
      </c>
      <c r="Q23" t="s">
        <v>0</v>
      </c>
      <c r="R23" t="s">
        <v>1</v>
      </c>
      <c r="S23" t="s">
        <v>2</v>
      </c>
      <c r="T23" t="s">
        <v>3</v>
      </c>
      <c r="V23" t="s">
        <v>0</v>
      </c>
      <c r="W23" t="s">
        <v>1</v>
      </c>
      <c r="X23" t="s">
        <v>2</v>
      </c>
      <c r="Y23" t="s">
        <v>3</v>
      </c>
    </row>
    <row r="24" spans="2:25" x14ac:dyDescent="0.25">
      <c r="B24" t="s">
        <v>4</v>
      </c>
      <c r="C24">
        <v>12</v>
      </c>
      <c r="D24">
        <v>13</v>
      </c>
      <c r="E24" s="1">
        <v>0.14000000000000001</v>
      </c>
      <c r="G24" t="s">
        <v>4</v>
      </c>
      <c r="H24">
        <v>12</v>
      </c>
      <c r="I24">
        <v>13</v>
      </c>
      <c r="J24" s="1">
        <v>0.14000000000000001</v>
      </c>
      <c r="L24" t="s">
        <v>4</v>
      </c>
      <c r="M24">
        <v>12</v>
      </c>
      <c r="N24">
        <v>13</v>
      </c>
      <c r="O24" s="1">
        <v>0.14000000000000001</v>
      </c>
      <c r="Q24" t="s">
        <v>4</v>
      </c>
      <c r="R24">
        <v>12</v>
      </c>
      <c r="S24">
        <v>13</v>
      </c>
      <c r="T24" s="1">
        <v>0.14000000000000001</v>
      </c>
      <c r="V24" t="s">
        <v>4</v>
      </c>
      <c r="W24">
        <v>12</v>
      </c>
      <c r="X24">
        <v>13</v>
      </c>
      <c r="Y24" s="1">
        <v>0.14000000000000001</v>
      </c>
    </row>
    <row r="25" spans="2:25" x14ac:dyDescent="0.25">
      <c r="B25" t="s">
        <v>5</v>
      </c>
      <c r="C25">
        <v>22</v>
      </c>
      <c r="D25">
        <v>23</v>
      </c>
      <c r="E25" s="1">
        <v>0.24</v>
      </c>
      <c r="G25" t="s">
        <v>5</v>
      </c>
      <c r="H25">
        <v>22</v>
      </c>
      <c r="I25">
        <v>23</v>
      </c>
      <c r="J25" s="1">
        <v>0.24</v>
      </c>
      <c r="L25" t="s">
        <v>5</v>
      </c>
      <c r="M25">
        <v>22</v>
      </c>
      <c r="N25">
        <v>23</v>
      </c>
      <c r="O25" s="1">
        <v>0.24</v>
      </c>
      <c r="Q25" t="s">
        <v>5</v>
      </c>
      <c r="R25">
        <v>22</v>
      </c>
      <c r="S25">
        <v>23</v>
      </c>
      <c r="T25" s="1">
        <v>0.24</v>
      </c>
      <c r="V25" t="s">
        <v>5</v>
      </c>
      <c r="W25">
        <v>22</v>
      </c>
      <c r="X25">
        <v>23</v>
      </c>
      <c r="Y25" s="1">
        <v>0.24</v>
      </c>
    </row>
    <row r="26" spans="2:25" x14ac:dyDescent="0.25">
      <c r="B26" t="s">
        <v>6</v>
      </c>
      <c r="C26">
        <v>32</v>
      </c>
      <c r="D26" s="2">
        <v>33</v>
      </c>
      <c r="E26" s="1">
        <v>0.34</v>
      </c>
      <c r="G26" t="s">
        <v>6</v>
      </c>
      <c r="H26">
        <v>32</v>
      </c>
      <c r="I26" s="2">
        <v>33</v>
      </c>
      <c r="J26" s="1">
        <v>0.34</v>
      </c>
      <c r="L26" t="s">
        <v>6</v>
      </c>
      <c r="M26">
        <v>32</v>
      </c>
      <c r="N26" s="2">
        <v>33</v>
      </c>
      <c r="O26" s="1">
        <v>0.34</v>
      </c>
      <c r="Q26" t="s">
        <v>6</v>
      </c>
      <c r="R26">
        <v>32</v>
      </c>
      <c r="S26" s="2">
        <v>33</v>
      </c>
      <c r="T26" s="1">
        <v>0.34</v>
      </c>
      <c r="V26" t="s">
        <v>6</v>
      </c>
      <c r="W26">
        <v>32</v>
      </c>
      <c r="X26" s="2">
        <v>33</v>
      </c>
      <c r="Y26" s="1">
        <v>0.34</v>
      </c>
    </row>
    <row r="27" spans="2:25" x14ac:dyDescent="0.25">
      <c r="B27" t="s">
        <v>7</v>
      </c>
      <c r="C27">
        <v>42</v>
      </c>
      <c r="D27">
        <v>43</v>
      </c>
      <c r="E27" s="1">
        <v>0.44</v>
      </c>
      <c r="G27" t="s">
        <v>7</v>
      </c>
      <c r="H27">
        <v>42</v>
      </c>
      <c r="I27">
        <v>43</v>
      </c>
      <c r="J27" s="1">
        <v>0.44</v>
      </c>
      <c r="L27" t="s">
        <v>7</v>
      </c>
      <c r="M27">
        <v>42</v>
      </c>
      <c r="N27">
        <v>43</v>
      </c>
      <c r="O27" s="1">
        <v>0.44</v>
      </c>
      <c r="Q27" t="s">
        <v>7</v>
      </c>
      <c r="R27">
        <v>42</v>
      </c>
      <c r="S27">
        <v>43</v>
      </c>
      <c r="T27" s="1">
        <v>0.44</v>
      </c>
      <c r="V27" t="s">
        <v>7</v>
      </c>
      <c r="W27">
        <v>42</v>
      </c>
      <c r="X27">
        <v>43</v>
      </c>
      <c r="Y27" s="1">
        <v>0.44</v>
      </c>
    </row>
    <row r="28" spans="2:25" x14ac:dyDescent="0.25">
      <c r="B28" t="s">
        <v>8</v>
      </c>
      <c r="C28">
        <f>SUBTOTAL(101,Table1645[Col2])</f>
        <v>27</v>
      </c>
      <c r="D28">
        <f>SUBTOTAL(101,Table1645[Col3])</f>
        <v>28</v>
      </c>
      <c r="E28" s="1">
        <f>SUBTOTAL(101,Table1645[Col4])</f>
        <v>0.28999999999999998</v>
      </c>
      <c r="G28" t="s">
        <v>8</v>
      </c>
      <c r="H28">
        <f>SUBTOTAL(101,Table1746[Col2])</f>
        <v>27</v>
      </c>
      <c r="I28">
        <f>SUBTOTAL(101,Table1746[Col3])</f>
        <v>28</v>
      </c>
      <c r="J28" s="1">
        <f>SUBTOTAL(101,Table1746[Col4])</f>
        <v>0.28999999999999998</v>
      </c>
      <c r="L28" t="s">
        <v>8</v>
      </c>
      <c r="M28">
        <f>SUBTOTAL(101,Table1847[Col2])</f>
        <v>27</v>
      </c>
      <c r="N28">
        <f>SUBTOTAL(101,Table1847[Col3])</f>
        <v>28</v>
      </c>
      <c r="O28" s="1">
        <f>SUBTOTAL(101,Table1847[Col4])</f>
        <v>0.28999999999999998</v>
      </c>
      <c r="Q28" t="s">
        <v>8</v>
      </c>
      <c r="R28">
        <f>SUBTOTAL(101,Table1648[Col2])</f>
        <v>27</v>
      </c>
      <c r="S28">
        <f>SUBTOTAL(101,Table1648[Col3])</f>
        <v>28</v>
      </c>
      <c r="T28" s="1">
        <f>SUBTOTAL(101,Table1648[Col4])</f>
        <v>0.28999999999999998</v>
      </c>
      <c r="V28" t="s">
        <v>8</v>
      </c>
      <c r="W28">
        <f>SUBTOTAL(101,Table1749[Col2])</f>
        <v>27</v>
      </c>
      <c r="X28">
        <f>SUBTOTAL(101,Table1749[Col3])</f>
        <v>28</v>
      </c>
      <c r="Y28" s="1">
        <f>SUBTOTAL(101,Table1749[Col4])</f>
        <v>0.28999999999999998</v>
      </c>
    </row>
    <row r="29" spans="2:25" x14ac:dyDescent="0.25">
      <c r="B29" t="s">
        <v>41</v>
      </c>
      <c r="G29" t="s">
        <v>42</v>
      </c>
      <c r="L29" t="s">
        <v>43</v>
      </c>
      <c r="Q29" t="s">
        <v>44</v>
      </c>
      <c r="V29" t="s">
        <v>45</v>
      </c>
    </row>
    <row r="30" spans="2:25" x14ac:dyDescent="0.25">
      <c r="B30" t="s">
        <v>0</v>
      </c>
      <c r="C30" t="s">
        <v>1</v>
      </c>
      <c r="D30" t="s">
        <v>2</v>
      </c>
      <c r="E30" t="s">
        <v>3</v>
      </c>
      <c r="G30" t="s">
        <v>0</v>
      </c>
      <c r="H30" t="s">
        <v>1</v>
      </c>
      <c r="I30" t="s">
        <v>2</v>
      </c>
      <c r="J30" t="s">
        <v>3</v>
      </c>
      <c r="L30" t="s">
        <v>0</v>
      </c>
      <c r="M30" t="s">
        <v>1</v>
      </c>
      <c r="N30" t="s">
        <v>2</v>
      </c>
      <c r="O30" t="s">
        <v>3</v>
      </c>
      <c r="Q30" t="s">
        <v>0</v>
      </c>
      <c r="R30" t="s">
        <v>1</v>
      </c>
      <c r="S30" t="s">
        <v>2</v>
      </c>
      <c r="T30" t="s">
        <v>3</v>
      </c>
      <c r="V30" t="s">
        <v>0</v>
      </c>
      <c r="W30" t="s">
        <v>1</v>
      </c>
      <c r="X30" t="s">
        <v>2</v>
      </c>
      <c r="Y30" t="s">
        <v>3</v>
      </c>
    </row>
    <row r="31" spans="2:25" x14ac:dyDescent="0.25">
      <c r="B31" t="s">
        <v>4</v>
      </c>
      <c r="C31">
        <v>12</v>
      </c>
      <c r="D31">
        <v>13</v>
      </c>
      <c r="E31" s="1">
        <v>0.14000000000000001</v>
      </c>
      <c r="G31" t="s">
        <v>4</v>
      </c>
      <c r="H31">
        <v>12</v>
      </c>
      <c r="I31">
        <v>13</v>
      </c>
      <c r="J31" s="1">
        <v>0.14000000000000001</v>
      </c>
      <c r="L31" t="s">
        <v>4</v>
      </c>
      <c r="M31">
        <v>12</v>
      </c>
      <c r="N31">
        <v>13</v>
      </c>
      <c r="O31" s="1">
        <v>0.14000000000000001</v>
      </c>
      <c r="Q31" t="s">
        <v>4</v>
      </c>
      <c r="R31">
        <v>12</v>
      </c>
      <c r="S31">
        <v>13</v>
      </c>
      <c r="T31" s="1">
        <v>0.14000000000000001</v>
      </c>
      <c r="V31" t="s">
        <v>4</v>
      </c>
      <c r="W31">
        <v>12</v>
      </c>
      <c r="X31">
        <v>13</v>
      </c>
      <c r="Y31" s="1">
        <v>0.14000000000000001</v>
      </c>
    </row>
    <row r="32" spans="2:25" x14ac:dyDescent="0.25">
      <c r="B32" t="s">
        <v>5</v>
      </c>
      <c r="C32">
        <v>22</v>
      </c>
      <c r="D32">
        <v>23</v>
      </c>
      <c r="E32" s="1">
        <v>0.24</v>
      </c>
      <c r="G32" t="s">
        <v>5</v>
      </c>
      <c r="H32">
        <v>22</v>
      </c>
      <c r="I32">
        <v>23</v>
      </c>
      <c r="J32" s="1">
        <v>0.24</v>
      </c>
      <c r="L32" t="s">
        <v>5</v>
      </c>
      <c r="M32">
        <v>22</v>
      </c>
      <c r="N32">
        <v>23</v>
      </c>
      <c r="O32" s="1">
        <v>0.24</v>
      </c>
      <c r="Q32" t="s">
        <v>5</v>
      </c>
      <c r="R32">
        <v>22</v>
      </c>
      <c r="S32">
        <v>23</v>
      </c>
      <c r="T32" s="1">
        <v>0.24</v>
      </c>
      <c r="V32" t="s">
        <v>5</v>
      </c>
      <c r="W32">
        <v>22</v>
      </c>
      <c r="X32">
        <v>23</v>
      </c>
      <c r="Y32" s="1">
        <v>0.24</v>
      </c>
    </row>
    <row r="33" spans="2:25" x14ac:dyDescent="0.25">
      <c r="B33" t="s">
        <v>6</v>
      </c>
      <c r="C33">
        <v>32</v>
      </c>
      <c r="D33" s="2">
        <v>33</v>
      </c>
      <c r="E33" s="1">
        <v>0.34</v>
      </c>
      <c r="G33" t="s">
        <v>6</v>
      </c>
      <c r="H33">
        <v>32</v>
      </c>
      <c r="I33" s="2">
        <v>33</v>
      </c>
      <c r="J33" s="1">
        <v>0.34</v>
      </c>
      <c r="L33" t="s">
        <v>6</v>
      </c>
      <c r="M33">
        <v>32</v>
      </c>
      <c r="N33" s="2">
        <v>33</v>
      </c>
      <c r="O33" s="1">
        <v>0.34</v>
      </c>
      <c r="Q33" t="s">
        <v>6</v>
      </c>
      <c r="R33">
        <v>32</v>
      </c>
      <c r="S33" s="2">
        <v>33</v>
      </c>
      <c r="T33" s="1">
        <v>0.34</v>
      </c>
      <c r="V33" t="s">
        <v>6</v>
      </c>
      <c r="W33">
        <v>32</v>
      </c>
      <c r="X33" s="2">
        <v>33</v>
      </c>
      <c r="Y33" s="1">
        <v>0.34</v>
      </c>
    </row>
    <row r="34" spans="2:25" x14ac:dyDescent="0.25">
      <c r="B34" t="s">
        <v>7</v>
      </c>
      <c r="C34">
        <v>42</v>
      </c>
      <c r="D34">
        <v>43</v>
      </c>
      <c r="E34" s="1">
        <v>0.44</v>
      </c>
      <c r="G34" t="s">
        <v>7</v>
      </c>
      <c r="H34">
        <v>42</v>
      </c>
      <c r="I34">
        <v>43</v>
      </c>
      <c r="J34" s="1">
        <v>0.44</v>
      </c>
      <c r="L34" t="s">
        <v>7</v>
      </c>
      <c r="M34">
        <v>42</v>
      </c>
      <c r="N34">
        <v>43</v>
      </c>
      <c r="O34" s="1">
        <v>0.44</v>
      </c>
      <c r="Q34" t="s">
        <v>7</v>
      </c>
      <c r="R34">
        <v>42</v>
      </c>
      <c r="S34">
        <v>43</v>
      </c>
      <c r="T34" s="1">
        <v>0.44</v>
      </c>
      <c r="V34" t="s">
        <v>7</v>
      </c>
      <c r="W34">
        <v>42</v>
      </c>
      <c r="X34">
        <v>43</v>
      </c>
      <c r="Y34" s="1">
        <v>0.44</v>
      </c>
    </row>
    <row r="35" spans="2:25" x14ac:dyDescent="0.25">
      <c r="B35" t="s">
        <v>8</v>
      </c>
      <c r="C35">
        <f>SUBTOTAL(101,Table1850[Col2])</f>
        <v>27</v>
      </c>
      <c r="D35">
        <f>SUBTOTAL(101,Table1850[Col3])</f>
        <v>28</v>
      </c>
      <c r="E35" s="1">
        <f>SUBTOTAL(101,Table1850[Col4])</f>
        <v>0.28999999999999998</v>
      </c>
      <c r="G35" t="s">
        <v>8</v>
      </c>
      <c r="H35">
        <f>SUBTOTAL(101,Table184460[Col2])</f>
        <v>27</v>
      </c>
      <c r="I35">
        <f>SUBTOTAL(101,Table184460[Col3])</f>
        <v>28</v>
      </c>
      <c r="J35" s="1">
        <f>SUBTOTAL(101,Table184460[Col4])</f>
        <v>0.28999999999999998</v>
      </c>
      <c r="L35" t="s">
        <v>8</v>
      </c>
      <c r="M35">
        <f>SUBTOTAL(101,Table164561[Col2])</f>
        <v>27</v>
      </c>
      <c r="N35">
        <f>SUBTOTAL(101,Table164561[Col3])</f>
        <v>28</v>
      </c>
      <c r="O35" s="1">
        <f>SUBTOTAL(101,Table164561[Col4])</f>
        <v>0.28999999999999998</v>
      </c>
      <c r="Q35" t="s">
        <v>8</v>
      </c>
      <c r="R35">
        <f>SUBTOTAL(101,Table174662[Col2])</f>
        <v>27</v>
      </c>
      <c r="S35">
        <f>SUBTOTAL(101,Table174662[Col3])</f>
        <v>28</v>
      </c>
      <c r="T35" s="1">
        <f>SUBTOTAL(101,Table174662[Col4])</f>
        <v>0.28999999999999998</v>
      </c>
      <c r="V35" t="s">
        <v>8</v>
      </c>
      <c r="W35">
        <f>SUBTOTAL(101,Table184763[Col2])</f>
        <v>27</v>
      </c>
      <c r="X35">
        <f>SUBTOTAL(101,Table184763[Col3])</f>
        <v>28</v>
      </c>
      <c r="Y35" s="1">
        <f>SUBTOTAL(101,Table184763[Col4])</f>
        <v>0.28999999999999998</v>
      </c>
    </row>
    <row r="36" spans="2:25" x14ac:dyDescent="0.25">
      <c r="B36" t="s">
        <v>46</v>
      </c>
      <c r="G36" t="s">
        <v>47</v>
      </c>
      <c r="L36" t="s">
        <v>48</v>
      </c>
    </row>
    <row r="37" spans="2:25" x14ac:dyDescent="0.25">
      <c r="B37" t="s">
        <v>0</v>
      </c>
      <c r="C37" t="s">
        <v>1</v>
      </c>
      <c r="D37" t="s">
        <v>2</v>
      </c>
      <c r="E37" t="s">
        <v>3</v>
      </c>
      <c r="G37" t="s">
        <v>0</v>
      </c>
      <c r="H37" t="s">
        <v>1</v>
      </c>
      <c r="I37" t="s">
        <v>2</v>
      </c>
      <c r="J37" t="s">
        <v>3</v>
      </c>
      <c r="L37" t="s">
        <v>0</v>
      </c>
      <c r="M37" t="s">
        <v>1</v>
      </c>
      <c r="N37" t="s">
        <v>2</v>
      </c>
      <c r="O37" t="s">
        <v>3</v>
      </c>
    </row>
    <row r="38" spans="2:25" x14ac:dyDescent="0.25">
      <c r="B38" t="s">
        <v>4</v>
      </c>
      <c r="C38">
        <v>12</v>
      </c>
      <c r="D38">
        <v>13</v>
      </c>
      <c r="E38" s="1">
        <v>0.14000000000000001</v>
      </c>
      <c r="G38" t="s">
        <v>4</v>
      </c>
      <c r="H38">
        <v>12</v>
      </c>
      <c r="I38">
        <v>13</v>
      </c>
      <c r="J38" s="1">
        <v>0.14000000000000001</v>
      </c>
      <c r="L38" t="s">
        <v>4</v>
      </c>
      <c r="M38">
        <v>12</v>
      </c>
      <c r="N38">
        <v>13</v>
      </c>
      <c r="O38" s="1">
        <v>0.14000000000000001</v>
      </c>
    </row>
    <row r="39" spans="2:25" x14ac:dyDescent="0.25">
      <c r="B39" t="s">
        <v>5</v>
      </c>
      <c r="C39">
        <v>22</v>
      </c>
      <c r="D39">
        <v>23</v>
      </c>
      <c r="E39" s="1">
        <v>0.24</v>
      </c>
      <c r="G39" t="s">
        <v>5</v>
      </c>
      <c r="H39">
        <v>22</v>
      </c>
      <c r="I39">
        <v>23</v>
      </c>
      <c r="J39" s="1">
        <v>0.24</v>
      </c>
      <c r="L39" t="s">
        <v>5</v>
      </c>
      <c r="M39">
        <v>22</v>
      </c>
      <c r="N39">
        <v>23</v>
      </c>
      <c r="O39" s="1">
        <v>0.24</v>
      </c>
    </row>
    <row r="40" spans="2:25" x14ac:dyDescent="0.25">
      <c r="B40" t="s">
        <v>6</v>
      </c>
      <c r="C40">
        <v>32</v>
      </c>
      <c r="D40" s="2">
        <v>33</v>
      </c>
      <c r="E40" s="1">
        <v>0.34</v>
      </c>
      <c r="G40" t="s">
        <v>6</v>
      </c>
      <c r="H40">
        <v>32</v>
      </c>
      <c r="I40" s="2">
        <v>33</v>
      </c>
      <c r="J40" s="1">
        <v>0.34</v>
      </c>
      <c r="L40" t="s">
        <v>6</v>
      </c>
      <c r="M40">
        <v>32</v>
      </c>
      <c r="N40" s="2">
        <v>33</v>
      </c>
      <c r="O40" s="1">
        <v>0.34</v>
      </c>
    </row>
    <row r="41" spans="2:25" x14ac:dyDescent="0.25">
      <c r="B41" t="s">
        <v>7</v>
      </c>
      <c r="C41">
        <v>42</v>
      </c>
      <c r="D41">
        <v>43</v>
      </c>
      <c r="E41" s="1">
        <v>0.44</v>
      </c>
      <c r="G41" t="s">
        <v>7</v>
      </c>
      <c r="H41">
        <v>42</v>
      </c>
      <c r="I41">
        <v>43</v>
      </c>
      <c r="J41" s="1">
        <v>0.44</v>
      </c>
      <c r="L41" t="s">
        <v>7</v>
      </c>
      <c r="M41">
        <v>42</v>
      </c>
      <c r="N41">
        <v>43</v>
      </c>
      <c r="O41" s="1">
        <v>0.44</v>
      </c>
    </row>
    <row r="42" spans="2:25" x14ac:dyDescent="0.25">
      <c r="B42" t="s">
        <v>8</v>
      </c>
      <c r="C42">
        <f>SUBTOTAL(101,Table164864[Col2])</f>
        <v>27</v>
      </c>
      <c r="D42">
        <f>SUBTOTAL(101,Table164864[Col3])</f>
        <v>28</v>
      </c>
      <c r="E42" s="1">
        <f>SUBTOTAL(101,Table164864[Col4])</f>
        <v>0.28999999999999998</v>
      </c>
      <c r="G42" t="s">
        <v>8</v>
      </c>
      <c r="H42">
        <f>SUBTOTAL(101,Table174965[Col2])</f>
        <v>27</v>
      </c>
      <c r="I42">
        <f>SUBTOTAL(101,Table174965[Col3])</f>
        <v>28</v>
      </c>
      <c r="J42" s="1">
        <f>SUBTOTAL(101,Table174965[Col4])</f>
        <v>0.28999999999999998</v>
      </c>
      <c r="L42" t="s">
        <v>8</v>
      </c>
      <c r="M42">
        <f>SUBTOTAL(101,Table185066[Col2])</f>
        <v>27</v>
      </c>
      <c r="N42">
        <f>SUBTOTAL(101,Table185066[Col3])</f>
        <v>28</v>
      </c>
      <c r="O42" s="1">
        <f>SUBTOTAL(101,Table185066[Col4])</f>
        <v>0.28999999999999998</v>
      </c>
    </row>
  </sheetData>
  <pageMargins left="0.7" right="0.7" top="0.75" bottom="0.75" header="0.3" footer="0.3"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280-32FF-4235-A9BE-A2BFF89ED337}">
  <dimension ref="B1:AI21"/>
  <sheetViews>
    <sheetView tabSelected="1" workbookViewId="0">
      <selection activeCell="K24" sqref="K24"/>
    </sheetView>
  </sheetViews>
  <sheetFormatPr defaultRowHeight="15" x14ac:dyDescent="0.25"/>
  <sheetData>
    <row r="1" spans="2:35" x14ac:dyDescent="0.25">
      <c r="B1" t="s">
        <v>10</v>
      </c>
      <c r="G1" t="s">
        <v>11</v>
      </c>
      <c r="L1" t="s">
        <v>12</v>
      </c>
      <c r="Q1" t="s">
        <v>13</v>
      </c>
      <c r="V1" t="s">
        <v>14</v>
      </c>
    </row>
    <row r="2" spans="2:3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  <c r="M2" t="s">
        <v>1</v>
      </c>
      <c r="N2" t="s">
        <v>2</v>
      </c>
      <c r="O2" t="s">
        <v>3</v>
      </c>
      <c r="Q2" t="s">
        <v>0</v>
      </c>
      <c r="R2" t="s">
        <v>1</v>
      </c>
      <c r="S2" t="s">
        <v>2</v>
      </c>
      <c r="T2" t="s">
        <v>3</v>
      </c>
      <c r="V2" t="s">
        <v>0</v>
      </c>
      <c r="W2" t="s">
        <v>1</v>
      </c>
      <c r="X2" t="s">
        <v>2</v>
      </c>
      <c r="Y2" t="s">
        <v>3</v>
      </c>
    </row>
    <row r="3" spans="2:35" x14ac:dyDescent="0.25">
      <c r="B3" t="s">
        <v>4</v>
      </c>
      <c r="C3">
        <v>12</v>
      </c>
      <c r="D3">
        <v>13</v>
      </c>
      <c r="E3" s="1">
        <v>0.14000000000000001</v>
      </c>
      <c r="G3" t="s">
        <v>4</v>
      </c>
      <c r="H3">
        <v>12</v>
      </c>
      <c r="I3">
        <v>13</v>
      </c>
      <c r="J3" s="1">
        <v>0.14000000000000001</v>
      </c>
      <c r="L3" t="s">
        <v>4</v>
      </c>
      <c r="M3">
        <v>12</v>
      </c>
      <c r="N3">
        <v>13</v>
      </c>
      <c r="O3" s="1">
        <v>0.14000000000000001</v>
      </c>
      <c r="Q3" t="s">
        <v>4</v>
      </c>
      <c r="R3">
        <v>12</v>
      </c>
      <c r="S3">
        <v>13</v>
      </c>
      <c r="T3" s="1">
        <v>0.14000000000000001</v>
      </c>
      <c r="V3" t="s">
        <v>4</v>
      </c>
      <c r="W3">
        <v>12</v>
      </c>
      <c r="X3">
        <v>13</v>
      </c>
      <c r="Y3" s="1">
        <v>0.14000000000000001</v>
      </c>
    </row>
    <row r="4" spans="2:35" x14ac:dyDescent="0.25">
      <c r="B4" t="s">
        <v>5</v>
      </c>
      <c r="C4">
        <v>22</v>
      </c>
      <c r="D4">
        <v>23</v>
      </c>
      <c r="E4" s="1">
        <v>0.24</v>
      </c>
      <c r="G4" t="s">
        <v>5</v>
      </c>
      <c r="H4">
        <v>22</v>
      </c>
      <c r="I4">
        <v>23</v>
      </c>
      <c r="J4" s="1">
        <v>0.24</v>
      </c>
      <c r="L4" t="s">
        <v>5</v>
      </c>
      <c r="M4">
        <v>22</v>
      </c>
      <c r="N4">
        <v>23</v>
      </c>
      <c r="O4" s="1">
        <v>0.24</v>
      </c>
      <c r="Q4" t="s">
        <v>5</v>
      </c>
      <c r="R4">
        <v>22</v>
      </c>
      <c r="S4">
        <v>23</v>
      </c>
      <c r="T4" s="1">
        <v>0.24</v>
      </c>
      <c r="V4" t="s">
        <v>5</v>
      </c>
      <c r="W4">
        <v>22</v>
      </c>
      <c r="X4">
        <v>23</v>
      </c>
      <c r="Y4" s="1">
        <v>0.24</v>
      </c>
    </row>
    <row r="5" spans="2:35" x14ac:dyDescent="0.25">
      <c r="B5" t="s">
        <v>6</v>
      </c>
      <c r="C5">
        <v>32</v>
      </c>
      <c r="D5" s="2">
        <v>33</v>
      </c>
      <c r="E5" s="1">
        <v>0.34</v>
      </c>
      <c r="G5" t="s">
        <v>6</v>
      </c>
      <c r="H5">
        <v>32</v>
      </c>
      <c r="I5" s="2">
        <v>33</v>
      </c>
      <c r="J5" s="1">
        <v>0.34</v>
      </c>
      <c r="L5" t="s">
        <v>6</v>
      </c>
      <c r="M5">
        <v>32</v>
      </c>
      <c r="N5" s="2">
        <v>33</v>
      </c>
      <c r="O5" s="1">
        <v>0.34</v>
      </c>
      <c r="Q5" t="s">
        <v>6</v>
      </c>
      <c r="R5">
        <v>32</v>
      </c>
      <c r="S5" s="2">
        <v>33</v>
      </c>
      <c r="T5" s="1">
        <v>0.34</v>
      </c>
      <c r="V5" t="s">
        <v>6</v>
      </c>
      <c r="W5">
        <v>32</v>
      </c>
      <c r="X5" s="2">
        <v>33</v>
      </c>
      <c r="Y5" s="1">
        <v>0.34</v>
      </c>
    </row>
    <row r="6" spans="2:35" x14ac:dyDescent="0.25">
      <c r="B6" t="s">
        <v>7</v>
      </c>
      <c r="C6">
        <v>42</v>
      </c>
      <c r="D6">
        <v>43</v>
      </c>
      <c r="E6" s="1">
        <v>0.44</v>
      </c>
      <c r="G6" t="s">
        <v>7</v>
      </c>
      <c r="H6">
        <v>42</v>
      </c>
      <c r="I6">
        <v>43</v>
      </c>
      <c r="J6" s="1">
        <v>0.44</v>
      </c>
      <c r="L6" t="s">
        <v>7</v>
      </c>
      <c r="M6">
        <v>42</v>
      </c>
      <c r="N6">
        <v>43</v>
      </c>
      <c r="O6" s="1">
        <v>0.44</v>
      </c>
      <c r="Q6" t="s">
        <v>7</v>
      </c>
      <c r="R6">
        <v>42</v>
      </c>
      <c r="S6">
        <v>43</v>
      </c>
      <c r="T6" s="1">
        <v>0.44</v>
      </c>
      <c r="V6" t="s">
        <v>7</v>
      </c>
      <c r="W6">
        <v>42</v>
      </c>
      <c r="X6">
        <v>43</v>
      </c>
      <c r="Y6" s="1">
        <v>0.44</v>
      </c>
    </row>
    <row r="7" spans="2:35" x14ac:dyDescent="0.25">
      <c r="B7" t="s">
        <v>8</v>
      </c>
      <c r="C7">
        <f>SUBTOTAL(101,Table19[Col2])</f>
        <v>27</v>
      </c>
      <c r="D7">
        <f>SUBTOTAL(101,Table19[Col3])</f>
        <v>28</v>
      </c>
      <c r="E7" s="1">
        <f>SUBTOTAL(101,Table19[Col4])</f>
        <v>0.28999999999999998</v>
      </c>
      <c r="G7" t="s">
        <v>8</v>
      </c>
      <c r="H7">
        <f>SUBTOTAL(101,Table110[Col2])</f>
        <v>27</v>
      </c>
      <c r="I7">
        <f>SUBTOTAL(101,Table110[Col3])</f>
        <v>28</v>
      </c>
      <c r="J7" s="1">
        <f>SUBTOTAL(101,Table110[Col4])</f>
        <v>0.28999999999999998</v>
      </c>
      <c r="L7" t="s">
        <v>8</v>
      </c>
      <c r="M7">
        <f>SUBTOTAL(101,Table111[Col2])</f>
        <v>27</v>
      </c>
      <c r="N7">
        <f>SUBTOTAL(101,Table111[Col3])</f>
        <v>28</v>
      </c>
      <c r="O7" s="1">
        <f>SUBTOTAL(101,Table111[Col4])</f>
        <v>0.28999999999999998</v>
      </c>
      <c r="Q7" t="s">
        <v>8</v>
      </c>
      <c r="R7">
        <f>SUBTOTAL(101,Table1967[Col2])</f>
        <v>27</v>
      </c>
      <c r="S7">
        <f>SUBTOTAL(101,Table1967[Col3])</f>
        <v>28</v>
      </c>
      <c r="T7" s="1">
        <f>SUBTOTAL(101,Table1967[Col4])</f>
        <v>0.28999999999999998</v>
      </c>
      <c r="V7" t="s">
        <v>8</v>
      </c>
      <c r="W7">
        <f>SUBTOTAL(101,Table11068[Col2])</f>
        <v>27</v>
      </c>
      <c r="X7">
        <f>SUBTOTAL(101,Table11068[Col3])</f>
        <v>28</v>
      </c>
      <c r="Y7" s="1">
        <f>SUBTOTAL(101,Table11068[Col4])</f>
        <v>0.28999999999999998</v>
      </c>
    </row>
    <row r="8" spans="2:35" x14ac:dyDescent="0.25">
      <c r="B8" t="s">
        <v>15</v>
      </c>
      <c r="G8" t="s">
        <v>16</v>
      </c>
      <c r="L8" t="s">
        <v>17</v>
      </c>
      <c r="Q8" t="s">
        <v>18</v>
      </c>
      <c r="V8" t="s">
        <v>19</v>
      </c>
    </row>
    <row r="9" spans="2:35" x14ac:dyDescent="0.25">
      <c r="B9" t="s">
        <v>0</v>
      </c>
      <c r="C9" t="s">
        <v>1</v>
      </c>
      <c r="D9" t="s">
        <v>2</v>
      </c>
      <c r="E9" t="s">
        <v>3</v>
      </c>
      <c r="G9" t="s">
        <v>0</v>
      </c>
      <c r="H9" t="s">
        <v>1</v>
      </c>
      <c r="I9" t="s">
        <v>2</v>
      </c>
      <c r="J9" t="s">
        <v>3</v>
      </c>
      <c r="L9" t="s">
        <v>0</v>
      </c>
      <c r="M9" t="s">
        <v>1</v>
      </c>
      <c r="N9" t="s">
        <v>2</v>
      </c>
      <c r="O9" t="s">
        <v>3</v>
      </c>
      <c r="Q9" t="s">
        <v>0</v>
      </c>
      <c r="R9" t="s">
        <v>1</v>
      </c>
      <c r="S9" t="s">
        <v>2</v>
      </c>
      <c r="T9" t="s">
        <v>3</v>
      </c>
      <c r="V9" t="s">
        <v>0</v>
      </c>
      <c r="W9" t="s">
        <v>1</v>
      </c>
      <c r="X9" t="s">
        <v>2</v>
      </c>
      <c r="Y9" t="s">
        <v>3</v>
      </c>
    </row>
    <row r="10" spans="2:35" x14ac:dyDescent="0.25">
      <c r="B10" t="s">
        <v>4</v>
      </c>
      <c r="C10">
        <v>12</v>
      </c>
      <c r="D10">
        <v>13</v>
      </c>
      <c r="E10" s="1">
        <v>0.14000000000000001</v>
      </c>
      <c r="G10" t="s">
        <v>4</v>
      </c>
      <c r="H10">
        <v>12</v>
      </c>
      <c r="I10">
        <v>13</v>
      </c>
      <c r="J10" s="1">
        <v>0.14000000000000001</v>
      </c>
      <c r="L10" t="s">
        <v>4</v>
      </c>
      <c r="M10">
        <v>12</v>
      </c>
      <c r="N10">
        <v>13</v>
      </c>
      <c r="O10" s="1">
        <v>0.14000000000000001</v>
      </c>
      <c r="Q10" t="s">
        <v>4</v>
      </c>
      <c r="R10">
        <v>12</v>
      </c>
      <c r="S10">
        <v>13</v>
      </c>
      <c r="T10" s="1">
        <v>0.14000000000000001</v>
      </c>
      <c r="V10" t="s">
        <v>4</v>
      </c>
      <c r="W10">
        <v>12</v>
      </c>
      <c r="X10">
        <v>13</v>
      </c>
      <c r="Y10" s="1">
        <v>0.14000000000000001</v>
      </c>
      <c r="AD10" s="1"/>
      <c r="AI10" s="1"/>
    </row>
    <row r="11" spans="2:35" x14ac:dyDescent="0.25">
      <c r="B11" t="s">
        <v>5</v>
      </c>
      <c r="C11">
        <v>22</v>
      </c>
      <c r="D11">
        <v>23</v>
      </c>
      <c r="E11" s="1">
        <v>0.24</v>
      </c>
      <c r="G11" t="s">
        <v>5</v>
      </c>
      <c r="H11">
        <v>22</v>
      </c>
      <c r="I11">
        <v>23</v>
      </c>
      <c r="J11" s="1">
        <v>0.24</v>
      </c>
      <c r="L11" t="s">
        <v>5</v>
      </c>
      <c r="M11">
        <v>22</v>
      </c>
      <c r="N11">
        <v>23</v>
      </c>
      <c r="O11" s="1">
        <v>0.24</v>
      </c>
      <c r="Q11" t="s">
        <v>5</v>
      </c>
      <c r="R11">
        <v>22</v>
      </c>
      <c r="S11">
        <v>23</v>
      </c>
      <c r="T11" s="1">
        <v>0.24</v>
      </c>
      <c r="V11" t="s">
        <v>5</v>
      </c>
      <c r="W11">
        <v>22</v>
      </c>
      <c r="X11">
        <v>23</v>
      </c>
      <c r="Y11" s="1">
        <v>0.24</v>
      </c>
      <c r="AD11" s="1"/>
      <c r="AI11" s="1"/>
    </row>
    <row r="12" spans="2:35" x14ac:dyDescent="0.25">
      <c r="B12" t="s">
        <v>6</v>
      </c>
      <c r="C12">
        <v>32</v>
      </c>
      <c r="D12" s="2">
        <v>33</v>
      </c>
      <c r="E12" s="1">
        <v>0.34</v>
      </c>
      <c r="G12" t="s">
        <v>6</v>
      </c>
      <c r="H12">
        <v>32</v>
      </c>
      <c r="I12" s="2">
        <v>33</v>
      </c>
      <c r="J12" s="1">
        <v>0.34</v>
      </c>
      <c r="L12" t="s">
        <v>6</v>
      </c>
      <c r="M12">
        <v>32</v>
      </c>
      <c r="N12" s="2">
        <v>33</v>
      </c>
      <c r="O12" s="1">
        <v>0.34</v>
      </c>
      <c r="Q12" t="s">
        <v>6</v>
      </c>
      <c r="R12">
        <v>32</v>
      </c>
      <c r="S12" s="2">
        <v>33</v>
      </c>
      <c r="T12" s="1">
        <v>0.34</v>
      </c>
      <c r="V12" t="s">
        <v>6</v>
      </c>
      <c r="W12">
        <v>32</v>
      </c>
      <c r="X12" s="2">
        <v>33</v>
      </c>
      <c r="Y12" s="1">
        <v>0.34</v>
      </c>
      <c r="AC12" s="2"/>
      <c r="AD12" s="1"/>
      <c r="AH12" s="2"/>
      <c r="AI12" s="1"/>
    </row>
    <row r="13" spans="2:35" x14ac:dyDescent="0.25">
      <c r="B13" t="s">
        <v>7</v>
      </c>
      <c r="C13">
        <v>42</v>
      </c>
      <c r="D13">
        <v>43</v>
      </c>
      <c r="E13" s="1">
        <v>0.44</v>
      </c>
      <c r="G13" t="s">
        <v>7</v>
      </c>
      <c r="H13">
        <v>42</v>
      </c>
      <c r="I13">
        <v>43</v>
      </c>
      <c r="J13" s="1">
        <v>0.44</v>
      </c>
      <c r="L13" t="s">
        <v>7</v>
      </c>
      <c r="M13">
        <v>42</v>
      </c>
      <c r="N13">
        <v>43</v>
      </c>
      <c r="O13" s="1">
        <v>0.44</v>
      </c>
      <c r="Q13" t="s">
        <v>7</v>
      </c>
      <c r="R13">
        <v>42</v>
      </c>
      <c r="S13">
        <v>43</v>
      </c>
      <c r="T13" s="1">
        <v>0.44</v>
      </c>
      <c r="V13" t="s">
        <v>7</v>
      </c>
      <c r="W13">
        <v>42</v>
      </c>
      <c r="X13">
        <v>43</v>
      </c>
      <c r="Y13" s="1">
        <v>0.44</v>
      </c>
      <c r="AD13" s="1"/>
      <c r="AI13" s="1"/>
    </row>
    <row r="14" spans="2:35" x14ac:dyDescent="0.25">
      <c r="B14" t="s">
        <v>8</v>
      </c>
      <c r="C14">
        <f>SUBTOTAL(101,Table11169[Col2])</f>
        <v>27</v>
      </c>
      <c r="D14">
        <f>SUBTOTAL(101,Table11169[Col3])</f>
        <v>28</v>
      </c>
      <c r="E14" s="1">
        <f>SUBTOTAL(101,Table11169[Col4])</f>
        <v>0.28999999999999998</v>
      </c>
      <c r="G14" t="s">
        <v>8</v>
      </c>
      <c r="H14">
        <f>SUBTOTAL(101,Table1116970[Col2])</f>
        <v>27</v>
      </c>
      <c r="I14">
        <f>SUBTOTAL(101,Table1116970[Col3])</f>
        <v>28</v>
      </c>
      <c r="J14" s="1">
        <f>SUBTOTAL(101,Table1116970[Col4])</f>
        <v>0.28999999999999998</v>
      </c>
      <c r="L14" t="s">
        <v>8</v>
      </c>
      <c r="M14">
        <f>SUBTOTAL(101,Table111697071[Col2])</f>
        <v>27</v>
      </c>
      <c r="N14">
        <f>SUBTOTAL(101,Table111697071[Col3])</f>
        <v>28</v>
      </c>
      <c r="O14" s="1">
        <f>SUBTOTAL(101,Table111697071[Col4])</f>
        <v>0.28999999999999998</v>
      </c>
      <c r="Q14" t="s">
        <v>8</v>
      </c>
      <c r="R14">
        <f>SUBTOTAL(101,Table111697072[Col2])</f>
        <v>27</v>
      </c>
      <c r="S14">
        <f>SUBTOTAL(101,Table111697072[Col3])</f>
        <v>28</v>
      </c>
      <c r="T14" s="1">
        <f>SUBTOTAL(101,Table111697072[Col4])</f>
        <v>0.28999999999999998</v>
      </c>
      <c r="V14" t="s">
        <v>8</v>
      </c>
      <c r="W14">
        <f>SUBTOTAL(101,Table111697073[Col2])</f>
        <v>27</v>
      </c>
      <c r="X14">
        <f>SUBTOTAL(101,Table111697073[Col3])</f>
        <v>28</v>
      </c>
      <c r="Y14" s="1">
        <f>SUBTOTAL(101,Table111697073[Col4])</f>
        <v>0.28999999999999998</v>
      </c>
      <c r="AD14" s="1"/>
      <c r="AI14" s="1"/>
    </row>
    <row r="15" spans="2:35" x14ac:dyDescent="0.25">
      <c r="B15" t="s">
        <v>20</v>
      </c>
    </row>
    <row r="16" spans="2:35" x14ac:dyDescent="0.25">
      <c r="B16" t="s">
        <v>0</v>
      </c>
      <c r="C16" t="s">
        <v>1</v>
      </c>
      <c r="D16" t="s">
        <v>2</v>
      </c>
      <c r="E16" t="s">
        <v>3</v>
      </c>
    </row>
    <row r="17" spans="2:5" x14ac:dyDescent="0.25">
      <c r="B17" t="s">
        <v>4</v>
      </c>
      <c r="C17">
        <v>12</v>
      </c>
      <c r="D17">
        <v>13</v>
      </c>
      <c r="E17" s="1">
        <v>0.14000000000000001</v>
      </c>
    </row>
    <row r="18" spans="2:5" x14ac:dyDescent="0.25">
      <c r="B18" t="s">
        <v>5</v>
      </c>
      <c r="C18">
        <v>22</v>
      </c>
      <c r="D18">
        <v>23</v>
      </c>
      <c r="E18" s="1">
        <v>0.24</v>
      </c>
    </row>
    <row r="19" spans="2:5" x14ac:dyDescent="0.25">
      <c r="B19" t="s">
        <v>6</v>
      </c>
      <c r="C19">
        <v>32</v>
      </c>
      <c r="D19" s="2">
        <v>33</v>
      </c>
      <c r="E19" s="1">
        <v>0.34</v>
      </c>
    </row>
    <row r="20" spans="2:5" x14ac:dyDescent="0.25">
      <c r="B20" t="s">
        <v>7</v>
      </c>
      <c r="C20">
        <v>42</v>
      </c>
      <c r="D20">
        <v>43</v>
      </c>
      <c r="E20" s="1">
        <v>0.44</v>
      </c>
    </row>
    <row r="21" spans="2:5" x14ac:dyDescent="0.25">
      <c r="B21" t="s">
        <v>8</v>
      </c>
      <c r="C21">
        <f>SUBTOTAL(101,Table111697074[Col2])</f>
        <v>27</v>
      </c>
      <c r="D21">
        <f>SUBTOTAL(101,Table111697074[Col3])</f>
        <v>28</v>
      </c>
      <c r="E21" s="1">
        <f>SUBTOTAL(101,Table111697074[Col4])</f>
        <v>0.28999999999999998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 themes</vt:lpstr>
      <vt:lpstr>Medium themes</vt:lpstr>
      <vt:lpstr>Dark themes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Dunin-Ślęczek</dc:creator>
  <cp:lastModifiedBy>Oskar Kowalów</cp:lastModifiedBy>
  <dcterms:created xsi:type="dcterms:W3CDTF">2020-04-21T13:50:34Z</dcterms:created>
  <dcterms:modified xsi:type="dcterms:W3CDTF">2020-09-22T13:11:50Z</dcterms:modified>
</cp:coreProperties>
</file>